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https://txhhs-my.sharepoint.com/personal/rose_nelson_hhs_texas_gov/Documents/Documents 1/Tool Revisions 2017 to 2020/Cooper Consultants Tool Revisions Kellye Prosise/PHCFCCAS Revisions 2024/Revised Tools/Posted Versions to Alfedo 02_07_2024/"/>
    </mc:Choice>
  </mc:AlternateContent>
  <xr:revisionPtr revIDLastSave="0" documentId="13_ncr:81_{4B307948-9831-420E-92CD-CF69CC44E98F}" xr6:coauthVersionLast="47" xr6:coauthVersionMax="47" xr10:uidLastSave="{00000000-0000-0000-0000-000000000000}"/>
  <bookViews>
    <workbookView xWindow="-110" yWindow="-110" windowWidth="19420" windowHeight="10420" tabRatio="889" firstSheet="1" activeTab="1" xr2:uid="{00000000-000D-0000-FFFF-FFFF00000000}"/>
  </bookViews>
  <sheets>
    <sheet name="Data" sheetId="1" state="hidden" r:id="rId1"/>
    <sheet name="Monitoring Workbook" sheetId="2" r:id="rId2"/>
    <sheet name="IWP01" sheetId="3" r:id="rId3"/>
    <sheet name="IWP02" sheetId="4" r:id="rId4"/>
    <sheet name="IWP03" sheetId="5" r:id="rId5"/>
    <sheet name="IWP04" sheetId="6" r:id="rId6"/>
    <sheet name="IWP05" sheetId="7" r:id="rId7"/>
    <sheet name="IWP06" sheetId="8" r:id="rId8"/>
    <sheet name="IWP07" sheetId="9" r:id="rId9"/>
    <sheet name="IWP08" sheetId="10" r:id="rId10"/>
    <sheet name="IWP09" sheetId="11" r:id="rId11"/>
    <sheet name="IWP10" sheetId="12" r:id="rId12"/>
    <sheet name="IWP11" sheetId="13" r:id="rId13"/>
    <sheet name="IWP12" sheetId="14" r:id="rId14"/>
    <sheet name="IWP13" sheetId="15" r:id="rId15"/>
    <sheet name="IWP14" sheetId="16" r:id="rId16"/>
    <sheet name="IWP15" sheetId="17" r:id="rId17"/>
    <sheet name="IWP16" sheetId="18" r:id="rId18"/>
    <sheet name="IWP17" sheetId="19" r:id="rId19"/>
    <sheet name="IWP18" sheetId="20" r:id="rId20"/>
    <sheet name="IWP19" sheetId="21" r:id="rId21"/>
    <sheet name="IWP20" sheetId="22" r:id="rId22"/>
    <sheet name="IWP21" sheetId="23" r:id="rId23"/>
    <sheet name="IWP22" sheetId="24" r:id="rId24"/>
    <sheet name="IWP23" sheetId="25" r:id="rId25"/>
    <sheet name="IWP24" sheetId="26" r:id="rId26"/>
    <sheet name="IWP25" sheetId="27" r:id="rId27"/>
    <sheet name="IWP26" sheetId="28" r:id="rId28"/>
    <sheet name="IWP27" sheetId="29" r:id="rId29"/>
    <sheet name="IWP28" sheetId="30" r:id="rId30"/>
    <sheet name="IWP29" sheetId="31" r:id="rId31"/>
    <sheet name="IWP30" sheetId="32" r:id="rId32"/>
    <sheet name="Compliance Summary (Print)" sheetId="33" r:id="rId33"/>
    <sheet name="Demand for Pmt. (Print)" sheetId="34" r:id="rId34"/>
    <sheet name="Vehicle Checklist (Print)" sheetId="35" r:id="rId35"/>
    <sheet name="Employee Req. Table (Print)" sheetId="36" r:id="rId36"/>
    <sheet name="Samples (Print)" sheetId="37" r:id="rId37"/>
    <sheet name="Notes (Print)" sheetId="38" r:id="rId38"/>
  </sheets>
  <definedNames>
    <definedName name="ClientID" localSheetId="2">'IWP01'!$T$2</definedName>
    <definedName name="ClientID" localSheetId="3">'IWP02'!$T$2</definedName>
    <definedName name="ClientID" localSheetId="4">'IWP03'!$T$2</definedName>
    <definedName name="ClientID" localSheetId="5">'IWP04'!$T$2</definedName>
    <definedName name="ClientID" localSheetId="6">'IWP05'!$T$2</definedName>
    <definedName name="ClientID" localSheetId="7">'IWP06'!$T$2</definedName>
    <definedName name="ClientID" localSheetId="8">'IWP07'!$T$2</definedName>
    <definedName name="ClientID" localSheetId="9">'IWP08'!$T$2</definedName>
    <definedName name="ClientID" localSheetId="10">'IWP09'!$T$2</definedName>
    <definedName name="ClientID" localSheetId="11">'IWP10'!$T$2</definedName>
    <definedName name="ClientID" localSheetId="12">'IWP11'!$T$2</definedName>
    <definedName name="ClientID" localSheetId="13">'IWP12'!$T$2</definedName>
    <definedName name="ClientID" localSheetId="14">'IWP13'!$T$2</definedName>
    <definedName name="ClientID" localSheetId="15">'IWP14'!$T$2</definedName>
    <definedName name="ClientID" localSheetId="16">'IWP15'!$T$2</definedName>
    <definedName name="ClientID" localSheetId="17">'IWP16'!$T$2</definedName>
    <definedName name="ClientID" localSheetId="18">'IWP17'!$T$2</definedName>
    <definedName name="ClientID" localSheetId="19">'IWP18'!$T$2</definedName>
    <definedName name="ClientID" localSheetId="20">'IWP19'!$T$2</definedName>
    <definedName name="ClientID" localSheetId="21">'IWP20'!$T$2</definedName>
    <definedName name="ClientID" localSheetId="22">'IWP21'!$T$2</definedName>
    <definedName name="ClientID" localSheetId="23">'IWP22'!$T$2</definedName>
    <definedName name="ClientID" localSheetId="24">'IWP23'!$T$2</definedName>
    <definedName name="ClientID" localSheetId="25">'IWP24'!$T$2</definedName>
    <definedName name="ClientID" localSheetId="26">'IWP25'!$T$2</definedName>
    <definedName name="ClientID" localSheetId="27">'IWP26'!$T$2</definedName>
    <definedName name="ClientID" localSheetId="28">'IWP27'!$T$2</definedName>
    <definedName name="ClientID" localSheetId="29">'IWP28'!$T$2</definedName>
    <definedName name="ClientID" localSheetId="30">'IWP29'!$T$2</definedName>
    <definedName name="ClientID" localSheetId="31">'IWP30'!$T$2</definedName>
    <definedName name="CompletedByFirstName" localSheetId="2">'IWP01'!$D$4</definedName>
    <definedName name="CompletedByFirstName" localSheetId="3">'IWP02'!$D$4</definedName>
    <definedName name="CompletedByFirstName" localSheetId="4">'IWP03'!$D$4</definedName>
    <definedName name="CompletedByFirstName" localSheetId="5">'IWP04'!$D$4</definedName>
    <definedName name="CompletedByFirstName" localSheetId="6">'IWP05'!$D$4</definedName>
    <definedName name="CompletedByFirstName" localSheetId="7">'IWP06'!$D$4</definedName>
    <definedName name="CompletedByFirstName" localSheetId="8">'IWP07'!$D$4</definedName>
    <definedName name="CompletedByFirstName" localSheetId="9">'IWP08'!$D$4</definedName>
    <definedName name="CompletedByFirstName" localSheetId="10">'IWP09'!$D$4</definedName>
    <definedName name="CompletedByFirstName" localSheetId="11">'IWP10'!$D$4</definedName>
    <definedName name="CompletedByFirstName" localSheetId="12">'IWP11'!$D$4</definedName>
    <definedName name="CompletedByFirstName" localSheetId="13">'IWP12'!$D$4</definedName>
    <definedName name="CompletedByFirstName" localSheetId="14">'IWP13'!$D$4</definedName>
    <definedName name="CompletedByFirstName" localSheetId="15">'IWP14'!$D$4</definedName>
    <definedName name="CompletedByFirstName" localSheetId="16">'IWP15'!$D$4</definedName>
    <definedName name="CompletedByFirstName" localSheetId="17">'IWP16'!$D$4</definedName>
    <definedName name="CompletedByFirstName" localSheetId="18">'IWP17'!$D$4</definedName>
    <definedName name="CompletedByFirstName" localSheetId="19">'IWP18'!$D$4</definedName>
    <definedName name="CompletedByFirstName" localSheetId="20">'IWP19'!$D$4</definedName>
    <definedName name="CompletedByFirstName" localSheetId="21">'IWP20'!$D$4</definedName>
    <definedName name="CompletedByFirstName" localSheetId="22">'IWP21'!$D$4</definedName>
    <definedName name="CompletedByFirstName" localSheetId="23">'IWP22'!$D$4</definedName>
    <definedName name="CompletedByFirstName" localSheetId="24">'IWP23'!$D$4</definedName>
    <definedName name="CompletedByFirstName" localSheetId="25">'IWP24'!$D$4</definedName>
    <definedName name="CompletedByFirstName" localSheetId="26">'IWP25'!$D$4</definedName>
    <definedName name="CompletedByFirstName" localSheetId="27">'IWP26'!$D$4</definedName>
    <definedName name="CompletedByFirstName" localSheetId="28">'IWP27'!$D$4</definedName>
    <definedName name="CompletedByFirstName" localSheetId="29">'IWP28'!$D$4</definedName>
    <definedName name="CompletedByFirstName" localSheetId="30">'IWP29'!$D$4</definedName>
    <definedName name="CompletedByFirstName" localSheetId="31">'IWP30'!$D$4</definedName>
    <definedName name="CompletedByFirstName">'Monitoring Workbook'!$B$5</definedName>
    <definedName name="CompletedByLastName" localSheetId="2">'IWP01'!$D$3</definedName>
    <definedName name="CompletedByLastName" localSheetId="3">'IWP02'!$D$3</definedName>
    <definedName name="CompletedByLastName" localSheetId="4">'IWP03'!$D$3</definedName>
    <definedName name="CompletedByLastName" localSheetId="5">'IWP04'!$D$3</definedName>
    <definedName name="CompletedByLastName" localSheetId="6">'IWP05'!$D$3</definedName>
    <definedName name="CompletedByLastName" localSheetId="7">'IWP06'!$D$3</definedName>
    <definedName name="CompletedByLastName" localSheetId="8">'IWP07'!$D$3</definedName>
    <definedName name="CompletedByLastName" localSheetId="9">'IWP08'!$D$3</definedName>
    <definedName name="CompletedByLastName" localSheetId="10">'IWP09'!$D$3</definedName>
    <definedName name="CompletedByLastName" localSheetId="11">'IWP10'!$D$3</definedName>
    <definedName name="CompletedByLastName" localSheetId="12">'IWP11'!$D$3</definedName>
    <definedName name="CompletedByLastName" localSheetId="13">'IWP12'!$D$3</definedName>
    <definedName name="CompletedByLastName" localSheetId="14">'IWP13'!$D$3</definedName>
    <definedName name="CompletedByLastName" localSheetId="15">'IWP14'!$D$3</definedName>
    <definedName name="CompletedByLastName" localSheetId="16">'IWP15'!$D$3</definedName>
    <definedName name="CompletedByLastName" localSheetId="17">'IWP16'!$D$3</definedName>
    <definedName name="CompletedByLastName" localSheetId="18">'IWP17'!$D$3</definedName>
    <definedName name="CompletedByLastName" localSheetId="19">'IWP18'!$D$3</definedName>
    <definedName name="CompletedByLastName" localSheetId="20">'IWP19'!$D$3</definedName>
    <definedName name="CompletedByLastName" localSheetId="21">'IWP20'!$D$3</definedName>
    <definedName name="CompletedByLastName" localSheetId="22">'IWP21'!$D$3</definedName>
    <definedName name="CompletedByLastName" localSheetId="23">'IWP22'!$D$3</definedName>
    <definedName name="CompletedByLastName" localSheetId="24">'IWP23'!$D$3</definedName>
    <definedName name="CompletedByLastName" localSheetId="25">'IWP24'!$D$3</definedName>
    <definedName name="CompletedByLastName" localSheetId="26">'IWP25'!$D$3</definedName>
    <definedName name="CompletedByLastName" localSheetId="27">'IWP26'!$D$3</definedName>
    <definedName name="CompletedByLastName" localSheetId="28">'IWP27'!$D$3</definedName>
    <definedName name="CompletedByLastName" localSheetId="29">'IWP28'!$D$3</definedName>
    <definedName name="CompletedByLastName" localSheetId="30">'IWP29'!$D$3</definedName>
    <definedName name="CompletedByLastName" localSheetId="31">'IWP30'!$D$3</definedName>
    <definedName name="CompletedByLastName">'Monitoring Workbook'!$B$4</definedName>
    <definedName name="ContractNumber" localSheetId="2">'IWP01'!$B$2</definedName>
    <definedName name="ContractNumber" localSheetId="3">'IWP02'!$B$2</definedName>
    <definedName name="ContractNumber" localSheetId="4">'IWP03'!$B$2</definedName>
    <definedName name="ContractNumber" localSheetId="5">'IWP04'!$B$2</definedName>
    <definedName name="ContractNumber" localSheetId="6">'IWP05'!$B$2</definedName>
    <definedName name="ContractNumber" localSheetId="7">'IWP06'!$B$2</definedName>
    <definedName name="ContractNumber" localSheetId="8">'IWP07'!$B$2</definedName>
    <definedName name="ContractNumber" localSheetId="9">'IWP08'!$B$2</definedName>
    <definedName name="ContractNumber" localSheetId="10">'IWP09'!$B$2</definedName>
    <definedName name="ContractNumber" localSheetId="11">'IWP10'!$B$2</definedName>
    <definedName name="ContractNumber" localSheetId="12">'IWP11'!$B$2</definedName>
    <definedName name="ContractNumber" localSheetId="13">'IWP12'!$B$2</definedName>
    <definedName name="ContractNumber" localSheetId="14">'IWP13'!$B$2</definedName>
    <definedName name="ContractNumber" localSheetId="15">'IWP14'!$B$2</definedName>
    <definedName name="ContractNumber" localSheetId="16">'IWP15'!$B$2</definedName>
    <definedName name="ContractNumber" localSheetId="17">'IWP16'!$B$2</definedName>
    <definedName name="ContractNumber" localSheetId="18">'IWP17'!$B$2</definedName>
    <definedName name="ContractNumber" localSheetId="19">'IWP18'!$B$2</definedName>
    <definedName name="ContractNumber" localSheetId="20">'IWP19'!$B$2</definedName>
    <definedName name="ContractNumber" localSheetId="21">'IWP20'!$B$2</definedName>
    <definedName name="ContractNumber" localSheetId="22">'IWP21'!$B$2</definedName>
    <definedName name="ContractNumber" localSheetId="23">'IWP22'!$B$2</definedName>
    <definedName name="ContractNumber" localSheetId="24">'IWP23'!$B$2</definedName>
    <definedName name="ContractNumber" localSheetId="25">'IWP24'!$B$2</definedName>
    <definedName name="ContractNumber" localSheetId="26">'IWP25'!$B$2</definedName>
    <definedName name="ContractNumber" localSheetId="27">'IWP26'!$B$2</definedName>
    <definedName name="ContractNumber" localSheetId="28">'IWP27'!$B$2</definedName>
    <definedName name="ContractNumber" localSheetId="29">'IWP28'!$B$2</definedName>
    <definedName name="ContractNumber" localSheetId="30">'IWP29'!$B$2</definedName>
    <definedName name="ContractNumber" localSheetId="31">'IWP30'!$B$2</definedName>
    <definedName name="ContractNumber">'Monitoring Workbook'!$I$2</definedName>
    <definedName name="ContractNumbers" localSheetId="0">Data!$A$6:$B$7</definedName>
    <definedName name="DateCompleted" localSheetId="2">'IWP01'!$G$4</definedName>
    <definedName name="DateCompleted" localSheetId="3">'IWP02'!$G$4</definedName>
    <definedName name="DateCompleted" localSheetId="4">'IWP03'!$G$4</definedName>
    <definedName name="DateCompleted" localSheetId="5">'IWP04'!$G$4</definedName>
    <definedName name="DateCompleted" localSheetId="6">'IWP05'!$G$4</definedName>
    <definedName name="DateCompleted" localSheetId="7">'IWP06'!$G$4</definedName>
    <definedName name="DateCompleted" localSheetId="8">'IWP07'!$G$4</definedName>
    <definedName name="DateCompleted" localSheetId="9">'IWP08'!$G$4</definedName>
    <definedName name="DateCompleted" localSheetId="10">'IWP09'!$G$4</definedName>
    <definedName name="DateCompleted" localSheetId="11">'IWP10'!$G$4</definedName>
    <definedName name="DateCompleted" localSheetId="12">'IWP11'!$G$4</definedName>
    <definedName name="DateCompleted" localSheetId="13">'IWP12'!$G$4</definedName>
    <definedName name="DateCompleted" localSheetId="14">'IWP13'!$G$4</definedName>
    <definedName name="DateCompleted" localSheetId="15">'IWP14'!$G$4</definedName>
    <definedName name="DateCompleted" localSheetId="16">'IWP15'!$G$4</definedName>
    <definedName name="DateCompleted" localSheetId="17">'IWP16'!$G$4</definedName>
    <definedName name="DateCompleted" localSheetId="18">'IWP17'!$G$4</definedName>
    <definedName name="DateCompleted" localSheetId="19">'IWP18'!$G$4</definedName>
    <definedName name="DateCompleted" localSheetId="20">'IWP19'!$G$4</definedName>
    <definedName name="DateCompleted" localSheetId="21">'IWP20'!$G$4</definedName>
    <definedName name="DateCompleted" localSheetId="22">'IWP21'!$G$4</definedName>
    <definedName name="DateCompleted" localSheetId="23">'IWP22'!$G$4</definedName>
    <definedName name="DateCompleted" localSheetId="24">'IWP23'!$G$4</definedName>
    <definedName name="DateCompleted" localSheetId="25">'IWP24'!$G$4</definedName>
    <definedName name="DateCompleted" localSheetId="26">'IWP25'!$G$4</definedName>
    <definedName name="DateCompleted" localSheetId="27">'IWP26'!$G$4</definedName>
    <definedName name="DateCompleted" localSheetId="28">'IWP27'!$G$4</definedName>
    <definedName name="DateCompleted" localSheetId="29">'IWP28'!$G$4</definedName>
    <definedName name="DateCompleted" localSheetId="30">'IWP29'!$G$4</definedName>
    <definedName name="DateCompleted" localSheetId="31">'IWP30'!$G$4</definedName>
    <definedName name="DateOfEntrance">'Monitoring Workbook'!$C$5</definedName>
    <definedName name="DateofExit">'Monitoring Workbook'!$E$5</definedName>
    <definedName name="DateOfExitRevised">'Monitoring Workbook'!$G$5</definedName>
    <definedName name="DateOfMonitoringPeriodBegin">'Samples (Print)'!$B$2</definedName>
    <definedName name="DateOfMonitoringPeriodEnd">'Samples (Print)'!$D$2</definedName>
    <definedName name="FiscalReviewFirstMonth" localSheetId="2">'IWP01'!$J$2</definedName>
    <definedName name="FiscalReviewFirstMonth" localSheetId="3">'IWP02'!$J$2</definedName>
    <definedName name="FiscalReviewFirstMonth" localSheetId="4">'IWP03'!$J$2</definedName>
    <definedName name="FiscalReviewFirstMonth" localSheetId="5">'IWP04'!$J$2</definedName>
    <definedName name="FiscalReviewFirstMonth" localSheetId="6">'IWP05'!$J$2</definedName>
    <definedName name="FiscalReviewFirstMonth" localSheetId="7">'IWP06'!$J$2</definedName>
    <definedName name="FiscalReviewFirstMonth" localSheetId="8">'IWP07'!$J$2</definedName>
    <definedName name="FiscalReviewFirstMonth" localSheetId="9">'IWP08'!$J$2</definedName>
    <definedName name="FiscalReviewFirstMonth" localSheetId="10">'IWP09'!$J$2</definedName>
    <definedName name="FiscalReviewFirstMonth" localSheetId="11">'IWP10'!$J$2</definedName>
    <definedName name="FiscalReviewFirstMonth" localSheetId="12">'IWP11'!$J$2</definedName>
    <definedName name="FiscalReviewFirstMonth" localSheetId="13">'IWP12'!$J$2</definedName>
    <definedName name="FiscalReviewFirstMonth" localSheetId="14">'IWP13'!$J$2</definedName>
    <definedName name="FiscalReviewFirstMonth" localSheetId="15">'IWP14'!$J$2</definedName>
    <definedName name="FiscalReviewFirstMonth" localSheetId="16">'IWP15'!$J$2</definedName>
    <definedName name="FiscalReviewFirstMonth" localSheetId="17">'IWP16'!$J$2</definedName>
    <definedName name="FiscalReviewFirstMonth" localSheetId="18">'IWP17'!$J$2</definedName>
    <definedName name="FiscalReviewFirstMonth" localSheetId="19">'IWP18'!$J$2</definedName>
    <definedName name="FiscalReviewFirstMonth" localSheetId="20">'IWP19'!$J$2</definedName>
    <definedName name="FiscalReviewFirstMonth" localSheetId="21">'IWP20'!$J$2</definedName>
    <definedName name="FiscalReviewFirstMonth" localSheetId="22">'IWP21'!$J$2</definedName>
    <definedName name="FiscalReviewFirstMonth" localSheetId="23">'IWP22'!$J$2</definedName>
    <definedName name="FiscalReviewFirstMonth" localSheetId="24">'IWP23'!$J$2</definedName>
    <definedName name="FiscalReviewFirstMonth" localSheetId="25">'IWP24'!$J$2</definedName>
    <definedName name="FiscalReviewFirstMonth" localSheetId="26">'IWP25'!$J$2</definedName>
    <definedName name="FiscalReviewFirstMonth" localSheetId="27">'IWP26'!$J$2</definedName>
    <definedName name="FiscalReviewFirstMonth" localSheetId="28">'IWP27'!$J$2</definedName>
    <definedName name="FiscalReviewFirstMonth" localSheetId="29">'IWP28'!$J$2</definedName>
    <definedName name="FiscalReviewFirstMonth" localSheetId="30">'IWP29'!$J$2</definedName>
    <definedName name="FiscalReviewFirstMonth" localSheetId="31">'IWP30'!$J$2</definedName>
    <definedName name="FiscalReviewFirstMonth">#REF!</definedName>
    <definedName name="FiscalReviewSecondMonth" localSheetId="2">'IWP01'!$L$2</definedName>
    <definedName name="FiscalReviewSecondMonth" localSheetId="3">'IWP02'!$L$2</definedName>
    <definedName name="FiscalReviewSecondMonth" localSheetId="4">'IWP03'!$L$2</definedName>
    <definedName name="FiscalReviewSecondMonth" localSheetId="5">'IWP04'!$L$2</definedName>
    <definedName name="FiscalReviewSecondMonth" localSheetId="6">'IWP05'!$L$2</definedName>
    <definedName name="FiscalReviewSecondMonth" localSheetId="7">'IWP06'!$L$2</definedName>
    <definedName name="FiscalReviewSecondMonth" localSheetId="8">'IWP07'!$L$2</definedName>
    <definedName name="FiscalReviewSecondMonth" localSheetId="9">'IWP08'!$L$2</definedName>
    <definedName name="FiscalReviewSecondMonth" localSheetId="10">'IWP09'!$L$2</definedName>
    <definedName name="FiscalReviewSecondMonth" localSheetId="11">'IWP10'!$L$2</definedName>
    <definedName name="FiscalReviewSecondMonth" localSheetId="12">'IWP11'!$L$2</definedName>
    <definedName name="FiscalReviewSecondMonth" localSheetId="13">'IWP12'!$L$2</definedName>
    <definedName name="FiscalReviewSecondMonth" localSheetId="14">'IWP13'!$L$2</definedName>
    <definedName name="FiscalReviewSecondMonth" localSheetId="15">'IWP14'!$L$2</definedName>
    <definedName name="FiscalReviewSecondMonth" localSheetId="16">'IWP15'!$L$2</definedName>
    <definedName name="FiscalReviewSecondMonth" localSheetId="17">'IWP16'!$L$2</definedName>
    <definedName name="FiscalReviewSecondMonth" localSheetId="18">'IWP17'!$L$2</definedName>
    <definedName name="FiscalReviewSecondMonth" localSheetId="19">'IWP18'!$L$2</definedName>
    <definedName name="FiscalReviewSecondMonth" localSheetId="20">'IWP19'!$L$2</definedName>
    <definedName name="FiscalReviewSecondMonth" localSheetId="21">'IWP20'!$L$2</definedName>
    <definedName name="FiscalReviewSecondMonth" localSheetId="22">'IWP21'!$L$2</definedName>
    <definedName name="FiscalReviewSecondMonth" localSheetId="23">'IWP22'!$L$2</definedName>
    <definedName name="FiscalReviewSecondMonth" localSheetId="24">'IWP23'!$L$2</definedName>
    <definedName name="FiscalReviewSecondMonth" localSheetId="25">'IWP24'!$L$2</definedName>
    <definedName name="FiscalReviewSecondMonth" localSheetId="26">'IWP25'!$L$2</definedName>
    <definedName name="FiscalReviewSecondMonth" localSheetId="27">'IWP26'!$L$2</definedName>
    <definedName name="FiscalReviewSecondMonth" localSheetId="28">'IWP27'!$L$2</definedName>
    <definedName name="FiscalReviewSecondMonth" localSheetId="29">'IWP28'!$L$2</definedName>
    <definedName name="FiscalReviewSecondMonth" localSheetId="30">'IWP29'!$L$2</definedName>
    <definedName name="FiscalReviewSecondMonth" localSheetId="31">'IWP30'!$L$2</definedName>
    <definedName name="FiscalReviewSecondMonth">#REF!</definedName>
    <definedName name="MINVALDBL">-99999.99</definedName>
    <definedName name="NameOfLegalEntity">'Monitoring Workbook'!$A$2</definedName>
    <definedName name="Old_StdIII2_formula">'Monitoring Workbook'!$K$125</definedName>
    <definedName name="Overall_Score" localSheetId="32">'Compliance Summary (Print)'!$J$22</definedName>
    <definedName name="Overall_Total" localSheetId="32">'Compliance Summary (Print)'!$I$22</definedName>
    <definedName name="Overall_Total_No" localSheetId="32">'Compliance Summary (Print)'!$H$22</definedName>
    <definedName name="Overall_Total_Yes" localSheetId="32">'Compliance Summary (Print)'!$G$22</definedName>
    <definedName name="_xlnm.Print_Area" localSheetId="37">'Notes (Print)'!$A$1:$L$27</definedName>
    <definedName name="_xlnm.Print_Titles" localSheetId="33">'Demand for Pmt. (Print)'!$1:$13</definedName>
    <definedName name="_xlnm.Print_Titles" localSheetId="2">'IWP01'!$1:$4</definedName>
    <definedName name="_xlnm.Print_Titles" localSheetId="3">'IWP02'!$1:$4</definedName>
    <definedName name="_xlnm.Print_Titles" localSheetId="4">'IWP03'!$1:$4</definedName>
    <definedName name="_xlnm.Print_Titles" localSheetId="5">'IWP04'!$1:$4</definedName>
    <definedName name="_xlnm.Print_Titles" localSheetId="6">'IWP05'!$1:$4</definedName>
    <definedName name="_xlnm.Print_Titles" localSheetId="7">'IWP06'!$1:$4</definedName>
    <definedName name="_xlnm.Print_Titles" localSheetId="8">'IWP07'!$1:$4</definedName>
    <definedName name="_xlnm.Print_Titles" localSheetId="9">'IWP08'!$1:$4</definedName>
    <definedName name="_xlnm.Print_Titles" localSheetId="10">'IWP09'!$1:$4</definedName>
    <definedName name="_xlnm.Print_Titles" localSheetId="11">'IWP10'!$1:$4</definedName>
    <definedName name="_xlnm.Print_Titles" localSheetId="12">'IWP11'!$1:$4</definedName>
    <definedName name="_xlnm.Print_Titles" localSheetId="13">'IWP12'!$1:$4</definedName>
    <definedName name="_xlnm.Print_Titles" localSheetId="14">'IWP13'!$1:$4</definedName>
    <definedName name="_xlnm.Print_Titles" localSheetId="15">'IWP14'!$1:$4</definedName>
    <definedName name="_xlnm.Print_Titles" localSheetId="16">'IWP15'!$1:$4</definedName>
    <definedName name="_xlnm.Print_Titles" localSheetId="17">'IWP16'!$1:$4</definedName>
    <definedName name="_xlnm.Print_Titles" localSheetId="18">'IWP17'!$1:$4</definedName>
    <definedName name="_xlnm.Print_Titles" localSheetId="19">'IWP18'!$1:$4</definedName>
    <definedName name="_xlnm.Print_Titles" localSheetId="20">'IWP19'!$1:$4</definedName>
    <definedName name="_xlnm.Print_Titles" localSheetId="21">'IWP20'!$1:$4</definedName>
    <definedName name="_xlnm.Print_Titles" localSheetId="22">'IWP21'!$1:$4</definedName>
    <definedName name="_xlnm.Print_Titles" localSheetId="23">'IWP22'!$1:$4</definedName>
    <definedName name="_xlnm.Print_Titles" localSheetId="24">'IWP23'!$1:$4</definedName>
    <definedName name="_xlnm.Print_Titles" localSheetId="25">'IWP24'!$1:$4</definedName>
    <definedName name="_xlnm.Print_Titles" localSheetId="26">'IWP25'!$1:$4</definedName>
    <definedName name="_xlnm.Print_Titles" localSheetId="27">'IWP26'!$1:$4</definedName>
    <definedName name="_xlnm.Print_Titles" localSheetId="28">'IWP27'!$1:$4</definedName>
    <definedName name="_xlnm.Print_Titles" localSheetId="29">'IWP28'!$1:$4</definedName>
    <definedName name="_xlnm.Print_Titles" localSheetId="30">'IWP29'!$1:$4</definedName>
    <definedName name="_xlnm.Print_Titles" localSheetId="31">'IWP30'!$1:$4</definedName>
    <definedName name="_xlnm.Print_Titles" localSheetId="1">'Monitoring Workbook'!$1:$5</definedName>
    <definedName name="_xlnm.Print_Titles" localSheetId="34">'Vehicle Checklist (Print)'!$1:$7</definedName>
    <definedName name="ReviewLevel">'Monitoring Workbook'!$E$2</definedName>
    <definedName name="ReviewPeriodBeginDate" localSheetId="2">'IWP01'!$F$2</definedName>
    <definedName name="ReviewPeriodBeginDate" localSheetId="3">'IWP02'!$F$2</definedName>
    <definedName name="ReviewPeriodBeginDate" localSheetId="4">'IWP03'!$F$2</definedName>
    <definedName name="ReviewPeriodBeginDate" localSheetId="5">'IWP04'!$F$2</definedName>
    <definedName name="ReviewPeriodBeginDate" localSheetId="6">'IWP05'!$F$2</definedName>
    <definedName name="ReviewPeriodBeginDate" localSheetId="7">'IWP06'!$F$2</definedName>
    <definedName name="ReviewPeriodBeginDate" localSheetId="8">'IWP07'!$F$2</definedName>
    <definedName name="ReviewPeriodBeginDate" localSheetId="9">'IWP08'!$F$2</definedName>
    <definedName name="ReviewPeriodBeginDate" localSheetId="10">'IWP09'!$F$2</definedName>
    <definedName name="ReviewPeriodBeginDate" localSheetId="11">'IWP10'!$F$2</definedName>
    <definedName name="ReviewPeriodBeginDate" localSheetId="12">'IWP11'!$F$2</definedName>
    <definedName name="ReviewPeriodBeginDate" localSheetId="13">'IWP12'!$F$2</definedName>
    <definedName name="ReviewPeriodBeginDate" localSheetId="14">'IWP13'!$F$2</definedName>
    <definedName name="ReviewPeriodBeginDate" localSheetId="15">'IWP14'!$F$2</definedName>
    <definedName name="ReviewPeriodBeginDate" localSheetId="16">'IWP15'!$F$2</definedName>
    <definedName name="ReviewPeriodBeginDate" localSheetId="17">'IWP16'!$F$2</definedName>
    <definedName name="ReviewPeriodBeginDate" localSheetId="18">'IWP17'!$F$2</definedName>
    <definedName name="ReviewPeriodBeginDate" localSheetId="19">'IWP18'!$F$2</definedName>
    <definedName name="ReviewPeriodBeginDate" localSheetId="20">'IWP19'!$F$2</definedName>
    <definedName name="ReviewPeriodBeginDate" localSheetId="21">'IWP20'!$F$2</definedName>
    <definedName name="ReviewPeriodBeginDate" localSheetId="22">'IWP21'!$F$2</definedName>
    <definedName name="ReviewPeriodBeginDate" localSheetId="23">'IWP22'!$F$2</definedName>
    <definedName name="ReviewPeriodBeginDate" localSheetId="24">'IWP23'!$F$2</definedName>
    <definedName name="ReviewPeriodBeginDate" localSheetId="25">'IWP24'!$F$2</definedName>
    <definedName name="ReviewPeriodBeginDate" localSheetId="26">'IWP25'!$F$2</definedName>
    <definedName name="ReviewPeriodBeginDate" localSheetId="27">'IWP26'!$F$2</definedName>
    <definedName name="ReviewPeriodBeginDate" localSheetId="28">'IWP27'!$F$2</definedName>
    <definedName name="ReviewPeriodBeginDate" localSheetId="29">'IWP28'!$F$2</definedName>
    <definedName name="ReviewPeriodBeginDate" localSheetId="30">'IWP29'!$F$2</definedName>
    <definedName name="ReviewPeriodBeginDate" localSheetId="31">'IWP30'!$F$2</definedName>
    <definedName name="ReviewPeriodEndDate" localSheetId="2">'IWP01'!$H$2</definedName>
    <definedName name="ReviewPeriodEndDate" localSheetId="3">'IWP02'!$H$2</definedName>
    <definedName name="ReviewPeriodEndDate" localSheetId="4">'IWP03'!$H$2</definedName>
    <definedName name="ReviewPeriodEndDate" localSheetId="5">'IWP04'!$H$2</definedName>
    <definedName name="ReviewPeriodEndDate" localSheetId="6">'IWP05'!$H$2</definedName>
    <definedName name="ReviewPeriodEndDate" localSheetId="7">'IWP06'!$H$2</definedName>
    <definedName name="ReviewPeriodEndDate" localSheetId="8">'IWP07'!$H$2</definedName>
    <definedName name="ReviewPeriodEndDate" localSheetId="9">'IWP08'!$H$2</definedName>
    <definedName name="ReviewPeriodEndDate" localSheetId="10">'IWP09'!$H$2</definedName>
    <definedName name="ReviewPeriodEndDate" localSheetId="11">'IWP10'!$H$2</definedName>
    <definedName name="ReviewPeriodEndDate" localSheetId="12">'IWP11'!$H$2</definedName>
    <definedName name="ReviewPeriodEndDate" localSheetId="13">'IWP12'!$H$2</definedName>
    <definedName name="ReviewPeriodEndDate" localSheetId="14">'IWP13'!$H$2</definedName>
    <definedName name="ReviewPeriodEndDate" localSheetId="15">'IWP14'!$H$2</definedName>
    <definedName name="ReviewPeriodEndDate" localSheetId="16">'IWP15'!$H$2</definedName>
    <definedName name="ReviewPeriodEndDate" localSheetId="17">'IWP16'!$H$2</definedName>
    <definedName name="ReviewPeriodEndDate" localSheetId="18">'IWP17'!$H$2</definedName>
    <definedName name="ReviewPeriodEndDate" localSheetId="19">'IWP18'!$H$2</definedName>
    <definedName name="ReviewPeriodEndDate" localSheetId="20">'IWP19'!$H$2</definedName>
    <definedName name="ReviewPeriodEndDate" localSheetId="21">'IWP20'!$H$2</definedName>
    <definedName name="ReviewPeriodEndDate" localSheetId="22">'IWP21'!$H$2</definedName>
    <definedName name="ReviewPeriodEndDate" localSheetId="23">'IWP22'!$H$2</definedName>
    <definedName name="ReviewPeriodEndDate" localSheetId="24">'IWP23'!$H$2</definedName>
    <definedName name="ReviewPeriodEndDate" localSheetId="25">'IWP24'!$H$2</definedName>
    <definedName name="ReviewPeriodEndDate" localSheetId="26">'IWP25'!$H$2</definedName>
    <definedName name="ReviewPeriodEndDate" localSheetId="27">'IWP26'!$H$2</definedName>
    <definedName name="ReviewPeriodEndDate" localSheetId="28">'IWP27'!$H$2</definedName>
    <definedName name="ReviewPeriodEndDate" localSheetId="29">'IWP28'!$H$2</definedName>
    <definedName name="ReviewPeriodEndDate" localSheetId="30">'IWP29'!$H$2</definedName>
    <definedName name="ReviewPeriodEndDate" localSheetId="31">'IWP30'!$H$2</definedName>
    <definedName name="ReviewType">'Monitoring Workbook'!$G$2</definedName>
    <definedName name="SampleNumber" localSheetId="2">'IWP01'!$A$2</definedName>
    <definedName name="SampleNumber" localSheetId="3">'IWP02'!$A$2</definedName>
    <definedName name="SampleNumber" localSheetId="4">'IWP03'!$A$2</definedName>
    <definedName name="SampleNumber" localSheetId="5">'IWP04'!$A$2</definedName>
    <definedName name="SampleNumber" localSheetId="6">'IWP05'!$A$2</definedName>
    <definedName name="SampleNumber" localSheetId="7">'IWP06'!$A$2</definedName>
    <definedName name="SampleNumber" localSheetId="8">'IWP07'!$A$2</definedName>
    <definedName name="SampleNumber" localSheetId="9">'IWP08'!$A$2</definedName>
    <definedName name="SampleNumber" localSheetId="10">'IWP09'!$A$2</definedName>
    <definedName name="SampleNumber" localSheetId="11">'IWP10'!$A$2</definedName>
    <definedName name="SampleNumber" localSheetId="12">'IWP11'!$A$2</definedName>
    <definedName name="SampleNumber" localSheetId="13">'IWP12'!$A$2</definedName>
    <definedName name="SampleNumber" localSheetId="14">'IWP13'!$A$2</definedName>
    <definedName name="SampleNumber" localSheetId="15">'IWP14'!$A$2</definedName>
    <definedName name="SampleNumber" localSheetId="16">'IWP15'!$A$2</definedName>
    <definedName name="SampleNumber" localSheetId="17">'IWP16'!$A$2</definedName>
    <definedName name="SampleNumber" localSheetId="18">'IWP17'!$A$2</definedName>
    <definedName name="SampleNumber" localSheetId="19">'IWP18'!$A$2</definedName>
    <definedName name="SampleNumber" localSheetId="20">'IWP19'!$A$2</definedName>
    <definedName name="SampleNumber" localSheetId="21">'IWP20'!$A$2</definedName>
    <definedName name="SampleNumber" localSheetId="22">'IWP21'!$A$2</definedName>
    <definedName name="SampleNumber" localSheetId="23">'IWP22'!$A$2</definedName>
    <definedName name="SampleNumber" localSheetId="24">'IWP23'!$A$2</definedName>
    <definedName name="SampleNumber" localSheetId="25">'IWP24'!$A$2</definedName>
    <definedName name="SampleNumber" localSheetId="26">'IWP25'!$A$2</definedName>
    <definedName name="SampleNumber" localSheetId="27">'IWP26'!$A$2</definedName>
    <definedName name="SampleNumber" localSheetId="28">'IWP27'!$A$2</definedName>
    <definedName name="SampleNumber" localSheetId="29">'IWP28'!$A$2</definedName>
    <definedName name="SampleNumber" localSheetId="30">'IWP29'!$A$2</definedName>
    <definedName name="SampleNumber" localSheetId="31">'IWP30'!$A$2</definedName>
    <definedName name="ServiceCode" localSheetId="2">'IWP01'!$D$2</definedName>
    <definedName name="ServiceCode" localSheetId="3">'IWP02'!$D$2</definedName>
    <definedName name="ServiceCode" localSheetId="4">'IWP03'!$D$2</definedName>
    <definedName name="ServiceCode" localSheetId="5">'IWP04'!$D$2</definedName>
    <definedName name="ServiceCode" localSheetId="6">'IWP05'!$D$2</definedName>
    <definedName name="ServiceCode" localSheetId="7">'IWP06'!$D$2</definedName>
    <definedName name="ServiceCode" localSheetId="8">'IWP07'!$D$2</definedName>
    <definedName name="ServiceCode" localSheetId="9">'IWP08'!$D$2</definedName>
    <definedName name="ServiceCode" localSheetId="10">'IWP09'!$D$2</definedName>
    <definedName name="ServiceCode" localSheetId="11">'IWP10'!$D$2</definedName>
    <definedName name="ServiceCode" localSheetId="12">'IWP11'!$D$2</definedName>
    <definedName name="ServiceCode" localSheetId="13">'IWP12'!$D$2</definedName>
    <definedName name="ServiceCode" localSheetId="14">'IWP13'!$D$2</definedName>
    <definedName name="ServiceCode" localSheetId="15">'IWP14'!$D$2</definedName>
    <definedName name="ServiceCode" localSheetId="16">'IWP15'!$D$2</definedName>
    <definedName name="ServiceCode" localSheetId="17">'IWP16'!$D$2</definedName>
    <definedName name="ServiceCode" localSheetId="18">'IWP17'!$D$2</definedName>
    <definedName name="ServiceCode" localSheetId="19">'IWP18'!$D$2</definedName>
    <definedName name="ServiceCode" localSheetId="20">'IWP19'!$D$2</definedName>
    <definedName name="ServiceCode" localSheetId="21">'IWP20'!$D$2</definedName>
    <definedName name="ServiceCode" localSheetId="22">'IWP21'!$D$2</definedName>
    <definedName name="ServiceCode" localSheetId="23">'IWP22'!$D$2</definedName>
    <definedName name="ServiceCode" localSheetId="24">'IWP23'!$D$2</definedName>
    <definedName name="ServiceCode" localSheetId="25">'IWP24'!$D$2</definedName>
    <definedName name="ServiceCode" localSheetId="26">'IWP25'!$D$2</definedName>
    <definedName name="ServiceCode" localSheetId="27">'IWP26'!$D$2</definedName>
    <definedName name="ServiceCode" localSheetId="28">'IWP27'!$D$2</definedName>
    <definedName name="ServiceCode" localSheetId="29">'IWP28'!$D$2</definedName>
    <definedName name="ServiceCode" localSheetId="30">'IWP29'!$D$2</definedName>
    <definedName name="ServiceCode" localSheetId="31">'IWP30'!$D$2</definedName>
    <definedName name="SpreadsheetInfo" localSheetId="0">Data!$A$2:$C$3</definedName>
    <definedName name="Standard_I_1">'Monitoring Workbook'!$J$9</definedName>
    <definedName name="Standard_I_2a">'Monitoring Workbook'!$J$15</definedName>
    <definedName name="Standard_I_2b">'Monitoring Workbook'!$J$23</definedName>
    <definedName name="Standard_I_3a">'Monitoring Workbook'!$J$31</definedName>
    <definedName name="Standard_I_3b">'Monitoring Workbook'!$J$37</definedName>
    <definedName name="Standard_I_4">'Monitoring Workbook'!$J$46</definedName>
    <definedName name="Standard_I_5">'Monitoring Workbook'!$J$49</definedName>
    <definedName name="Standard_I_6">'Monitoring Workbook'!$J$54</definedName>
    <definedName name="Standard_I_6a">'Monitoring Workbook'!$J$56</definedName>
    <definedName name="Standard_I_6b_Fri">'Monitoring Workbook'!$I$58</definedName>
    <definedName name="Standard_I_6b_Mon">'Monitoring Workbook'!$E$58</definedName>
    <definedName name="Standard_I_6b_Sat">'Monitoring Workbook'!$J$58</definedName>
    <definedName name="Standard_I_6b_Sun">'Monitoring Workbook'!$D$58</definedName>
    <definedName name="Standard_I_6b_Thu">'Monitoring Workbook'!$H$58</definedName>
    <definedName name="Standard_I_6b_Tue">'Monitoring Workbook'!$F$58</definedName>
    <definedName name="Standard_I_6b_Wed">'Monitoring Workbook'!$G$58</definedName>
    <definedName name="Standard_I_6c_Fri">'Monitoring Workbook'!$I$59</definedName>
    <definedName name="Standard_I_6c_Mon">'Monitoring Workbook'!$E$59</definedName>
    <definedName name="Standard_I_6c_Sat">'Monitoring Workbook'!$J$59</definedName>
    <definedName name="Standard_I_6c_Sun">'Monitoring Workbook'!$D$59</definedName>
    <definedName name="Standard_I_6c_Thu">'Monitoring Workbook'!$H$59</definedName>
    <definedName name="Standard_I_6c_Tue">'Monitoring Workbook'!$F$59</definedName>
    <definedName name="Standard_I_6c_Wed">'Monitoring Workbook'!$G$59</definedName>
    <definedName name="Standard_I_7">'Monitoring Workbook'!$J$63</definedName>
    <definedName name="Standard_I_Comments">'Monitoring Workbook'!$B$64</definedName>
    <definedName name="Standard_I_Score" localSheetId="32">'Compliance Summary (Print)'!$J$10</definedName>
    <definedName name="Standard_I_Total_No">'Monitoring Workbook'!$I$65</definedName>
    <definedName name="Standard_I_Total_Yes">'Monitoring Workbook'!$G$65</definedName>
    <definedName name="Standard_II_1_Comments">'Monitoring Workbook'!$B$80</definedName>
    <definedName name="Standard_II_1_Number_No">'Monitoring Workbook'!$I$81</definedName>
    <definedName name="Standard_II_1_Number_Yes">'Monitoring Workbook'!$G$81</definedName>
    <definedName name="Standard_II_2_Comments">'Monitoring Workbook'!$B$94</definedName>
    <definedName name="Standard_II_2_Number_No">'Monitoring Workbook'!$I$95</definedName>
    <definedName name="Standard_II_2_Number_Yes">'Monitoring Workbook'!$G$95</definedName>
    <definedName name="Standard_II_3_Comments">'Monitoring Workbook'!$B$108</definedName>
    <definedName name="Standard_II_3_Number_No">'Monitoring Workbook'!$I$109</definedName>
    <definedName name="Standard_II_3_Number_Yes">'Monitoring Workbook'!$G$109</definedName>
    <definedName name="Standard_II_Score" localSheetId="32">'Compliance Summary (Print)'!$J$12</definedName>
    <definedName name="Standard_II_Total_No">'Monitoring Workbook'!$I$111</definedName>
    <definedName name="Standard_II_Total_Yes">'Monitoring Workbook'!$G$111</definedName>
    <definedName name="Standard_III_1">'Monitoring Workbook'!$I$118</definedName>
    <definedName name="Standard_III_1_Comments">'Monitoring Workbook'!$B$124</definedName>
    <definedName name="Standard_III_1_NotCalc">'Monitoring Workbook'!$I$116</definedName>
    <definedName name="Standard_III_1a">'Monitoring Workbook'!$I$117</definedName>
    <definedName name="Standard_III_2">'Monitoring Workbook'!$I$125</definedName>
    <definedName name="Standard_III_2_Comments">'Monitoring Workbook'!$B$145</definedName>
    <definedName name="Standard_III_2_Drivers">'Monitoring Workbook'!$A$130:$J$139</definedName>
    <definedName name="Standard_III_3">'Monitoring Workbook'!$J$147</definedName>
    <definedName name="Standard_III_3_Comments">'Monitoring Workbook'!$B$152</definedName>
    <definedName name="Standard_III_Score" localSheetId="32">'Compliance Summary (Print)'!$J$14</definedName>
    <definedName name="Standard_III_Total_No">'Monitoring Workbook'!$I$153</definedName>
    <definedName name="Standard_III_Total_Yes">'Monitoring Workbook'!$G$153</definedName>
    <definedName name="Standard_IV_1_Comments">'Monitoring Workbook'!$B$168</definedName>
    <definedName name="Standard_IV_1_Number_No">'Monitoring Workbook'!$I$169</definedName>
    <definedName name="Standard_IV_1_Number_Yes">'Monitoring Workbook'!$G$169</definedName>
    <definedName name="Standard_IV_2_Comments">'Monitoring Workbook'!$B$182</definedName>
    <definedName name="Standard_IV_2_Number_No">'Monitoring Workbook'!$I$183</definedName>
    <definedName name="Standard_IV_2_Number_Yes">'Monitoring Workbook'!$G$183</definedName>
    <definedName name="Standard_IV_3_Comments">'Monitoring Workbook'!$B$196</definedName>
    <definedName name="Standard_IV_3_Number_No">'Monitoring Workbook'!$I$197</definedName>
    <definedName name="Standard_IV_3_Number_Yes">'Monitoring Workbook'!$G$197</definedName>
    <definedName name="Standard_IV_4_Comments">'Monitoring Workbook'!$B$210</definedName>
    <definedName name="Standard_IV_4_Number_No">'Monitoring Workbook'!$I$211</definedName>
    <definedName name="Standard_IV_4_Number_Yes">'Monitoring Workbook'!$G$211</definedName>
    <definedName name="Standard_IV_Score" localSheetId="32">'Compliance Summary (Print)'!$J$16</definedName>
    <definedName name="Standard_IV_Total_No">'Monitoring Workbook'!$I$213</definedName>
    <definedName name="Standard_IV_Total_Yes">'Monitoring Workbook'!$G$213</definedName>
    <definedName name="Standard_V_1_Comments">'Monitoring Workbook'!$B$228</definedName>
    <definedName name="Standard_V_1_Number_No">'Monitoring Workbook'!$I$229</definedName>
    <definedName name="Standard_V_1_Number_Yes">'Monitoring Workbook'!$G$229</definedName>
    <definedName name="Standard_V_2_Comments">'Monitoring Workbook'!$B$242</definedName>
    <definedName name="Standard_V_2_Number_No">'Monitoring Workbook'!$I$243</definedName>
    <definedName name="Standard_V_2_Number_Yes">'Monitoring Workbook'!$G$243</definedName>
    <definedName name="Standard_V_3_Comments">'Monitoring Workbook'!$B$256</definedName>
    <definedName name="Standard_V_3_Number_No">'Monitoring Workbook'!$I$257</definedName>
    <definedName name="Standard_V_3_Number_Yes">'Monitoring Workbook'!$G$257</definedName>
    <definedName name="Standard_V_4_Comments">'Monitoring Workbook'!$B$270</definedName>
    <definedName name="Standard_V_4_Number_No">'Monitoring Workbook'!$I$271</definedName>
    <definedName name="Standard_V_4_Number_Yes">'Monitoring Workbook'!$G$271</definedName>
    <definedName name="Standard_V_5_Comments">'Monitoring Workbook'!$B$284</definedName>
    <definedName name="Standard_V_5_Number_No">'Monitoring Workbook'!$I$285</definedName>
    <definedName name="Standard_V_5_Number_Yes">'Monitoring Workbook'!$G$285</definedName>
    <definedName name="Standard_V_6_Comments">'Monitoring Workbook'!$B$298</definedName>
    <definedName name="Standard_V_6_Number_No">'Monitoring Workbook'!$I$299</definedName>
    <definedName name="Standard_V_6_Number_Yes">'Monitoring Workbook'!$G$299</definedName>
    <definedName name="Standard_V_I_Comments">'Monitoring Workbook'!$B$228</definedName>
    <definedName name="Standard_V_Score" localSheetId="32">'Compliance Summary (Print)'!$J$18</definedName>
    <definedName name="Standard_V_Total_No">'Monitoring Workbook'!$I$301</definedName>
    <definedName name="Standard_V_Total_Yes">'Monitoring Workbook'!$G$301</definedName>
    <definedName name="Standard_VI_1_Comments">'Monitoring Workbook'!$B$316</definedName>
    <definedName name="Standard_VI_Score" localSheetId="32">'Compliance Summary (Print)'!$J$20</definedName>
    <definedName name="Standard_VI_Total_No">'Monitoring Workbook'!$I$317</definedName>
    <definedName name="Standard_VI_Total_Yes">'Monitoring Workbook'!$G$317</definedName>
    <definedName name="Std2dot1Range" localSheetId="35">'Employee Req. Table (Print)'!$N$19:$N$48</definedName>
    <definedName name="Std2dot2Range" localSheetId="35">'Employee Req. Table (Print)'!$O$19:$O$48</definedName>
    <definedName name="Std4BeginDate" localSheetId="2">'IWP01'!$I$6</definedName>
    <definedName name="Std4BeginDate" localSheetId="3">'IWP02'!$I$6</definedName>
    <definedName name="Std4BeginDate" localSheetId="4">'IWP03'!$I$6</definedName>
    <definedName name="Std4BeginDate" localSheetId="5">'IWP04'!$I$6</definedName>
    <definedName name="Std4BeginDate" localSheetId="6">'IWP05'!$I$6</definedName>
    <definedName name="Std4BeginDate" localSheetId="7">'IWP06'!$I$6</definedName>
    <definedName name="Std4BeginDate" localSheetId="8">'IWP07'!$I$6</definedName>
    <definedName name="Std4BeginDate" localSheetId="9">'IWP08'!$I$6</definedName>
    <definedName name="Std4BeginDate" localSheetId="10">'IWP09'!$I$6</definedName>
    <definedName name="Std4BeginDate" localSheetId="11">'IWP10'!$I$6</definedName>
    <definedName name="Std4BeginDate" localSheetId="12">'IWP11'!$I$6</definedName>
    <definedName name="Std4BeginDate" localSheetId="13">'IWP12'!$I$6</definedName>
    <definedName name="Std4BeginDate" localSheetId="14">'IWP13'!$I$6</definedName>
    <definedName name="Std4BeginDate" localSheetId="15">'IWP14'!$I$6</definedName>
    <definedName name="Std4BeginDate" localSheetId="16">'IWP15'!$I$6</definedName>
    <definedName name="Std4BeginDate" localSheetId="17">'IWP16'!$I$6</definedName>
    <definedName name="Std4BeginDate" localSheetId="18">'IWP17'!$I$6</definedName>
    <definedName name="Std4BeginDate" localSheetId="19">'IWP18'!$I$6</definedName>
    <definedName name="Std4BeginDate" localSheetId="20">'IWP19'!$I$6</definedName>
    <definedName name="Std4BeginDate" localSheetId="21">'IWP20'!$I$6</definedName>
    <definedName name="Std4BeginDate" localSheetId="22">'IWP21'!$I$6</definedName>
    <definedName name="Std4BeginDate" localSheetId="23">'IWP22'!$I$6</definedName>
    <definedName name="Std4BeginDate" localSheetId="24">'IWP23'!$I$6</definedName>
    <definedName name="Std4BeginDate" localSheetId="25">'IWP24'!$I$6</definedName>
    <definedName name="Std4BeginDate" localSheetId="26">'IWP25'!$I$6</definedName>
    <definedName name="Std4BeginDate" localSheetId="27">'IWP26'!$I$6</definedName>
    <definedName name="Std4BeginDate" localSheetId="28">'IWP27'!$I$6</definedName>
    <definedName name="Std4BeginDate" localSheetId="29">'IWP28'!$I$6</definedName>
    <definedName name="Std4BeginDate" localSheetId="30">'IWP29'!$I$6</definedName>
    <definedName name="Std4BeginDate" localSheetId="31">'IWP30'!$I$6</definedName>
    <definedName name="Std4DateForm3049SubmittedDadsRegNurse" localSheetId="2">'IWP01'!$I$9</definedName>
    <definedName name="Std4DateForm3049SubmittedDadsRegNurse" localSheetId="3">'IWP02'!$I$9</definedName>
    <definedName name="Std4DateForm3049SubmittedDadsRegNurse" localSheetId="4">'IWP03'!$I$9</definedName>
    <definedName name="Std4DateForm3049SubmittedDadsRegNurse" localSheetId="5">'IWP04'!$I$9</definedName>
    <definedName name="Std4DateForm3049SubmittedDadsRegNurse" localSheetId="6">'IWP05'!$I$9</definedName>
    <definedName name="Std4DateForm3049SubmittedDadsRegNurse" localSheetId="7">'IWP06'!$I$9</definedName>
    <definedName name="Std4DateForm3049SubmittedDadsRegNurse" localSheetId="8">'IWP07'!$I$9</definedName>
    <definedName name="Std4DateForm3049SubmittedDadsRegNurse" localSheetId="9">'IWP08'!$I$9</definedName>
    <definedName name="Std4DateForm3049SubmittedDadsRegNurse" localSheetId="10">'IWP09'!$I$9</definedName>
    <definedName name="Std4DateForm3049SubmittedDadsRegNurse" localSheetId="11">'IWP10'!$I$9</definedName>
    <definedName name="Std4DateForm3049SubmittedDadsRegNurse" localSheetId="12">'IWP11'!$I$9</definedName>
    <definedName name="Std4DateForm3049SubmittedDadsRegNurse" localSheetId="13">'IWP12'!$I$9</definedName>
    <definedName name="Std4DateForm3049SubmittedDadsRegNurse" localSheetId="14">'IWP13'!$I$9</definedName>
    <definedName name="Std4DateForm3049SubmittedDadsRegNurse" localSheetId="15">'IWP14'!$I$9</definedName>
    <definedName name="Std4DateForm3049SubmittedDadsRegNurse" localSheetId="16">'IWP15'!$I$9</definedName>
    <definedName name="Std4DateForm3049SubmittedDadsRegNurse" localSheetId="17">'IWP16'!$I$9</definedName>
    <definedName name="Std4DateForm3049SubmittedDadsRegNurse" localSheetId="18">'IWP17'!$I$9</definedName>
    <definedName name="Std4DateForm3049SubmittedDadsRegNurse" localSheetId="19">'IWP18'!$I$9</definedName>
    <definedName name="Std4DateForm3049SubmittedDadsRegNurse" localSheetId="20">'IWP19'!$I$9</definedName>
    <definedName name="Std4DateForm3049SubmittedDadsRegNurse" localSheetId="21">'IWP20'!$I$9</definedName>
    <definedName name="Std4DateForm3049SubmittedDadsRegNurse" localSheetId="22">'IWP21'!$I$9</definedName>
    <definedName name="Std4DateForm3049SubmittedDadsRegNurse" localSheetId="23">'IWP22'!$I$9</definedName>
    <definedName name="Std4DateForm3049SubmittedDadsRegNurse" localSheetId="24">'IWP23'!$I$9</definedName>
    <definedName name="Std4DateForm3049SubmittedDadsRegNurse" localSheetId="25">'IWP24'!$I$9</definedName>
    <definedName name="Std4DateForm3049SubmittedDadsRegNurse" localSheetId="26">'IWP25'!$I$9</definedName>
    <definedName name="Std4DateForm3049SubmittedDadsRegNurse" localSheetId="27">'IWP26'!$I$9</definedName>
    <definedName name="Std4DateForm3049SubmittedDadsRegNurse" localSheetId="28">'IWP27'!$I$9</definedName>
    <definedName name="Std4DateForm3049SubmittedDadsRegNurse" localSheetId="29">'IWP28'!$I$9</definedName>
    <definedName name="Std4DateForm3049SubmittedDadsRegNurse" localSheetId="30">'IWP29'!$I$9</definedName>
    <definedName name="Std4DateForm3049SubmittedDadsRegNurse" localSheetId="31">'IWP30'!$I$9</definedName>
    <definedName name="Std4DateForm3049SubmittedDadsRegNurse">#REF!</definedName>
    <definedName name="Std4DateForm3050SubmittedDadsRegNurse" localSheetId="2">'IWP01'!$I$10</definedName>
    <definedName name="Std4DateForm3050SubmittedDadsRegNurse" localSheetId="3">'IWP02'!$I$10</definedName>
    <definedName name="Std4DateForm3050SubmittedDadsRegNurse" localSheetId="4">'IWP03'!$I$10</definedName>
    <definedName name="Std4DateForm3050SubmittedDadsRegNurse" localSheetId="5">'IWP04'!$I$10</definedName>
    <definedName name="Std4DateForm3050SubmittedDadsRegNurse" localSheetId="6">'IWP05'!$I$10</definedName>
    <definedName name="Std4DateForm3050SubmittedDadsRegNurse" localSheetId="7">'IWP06'!$I$10</definedName>
    <definedName name="Std4DateForm3050SubmittedDadsRegNurse" localSheetId="8">'IWP07'!$I$10</definedName>
    <definedName name="Std4DateForm3050SubmittedDadsRegNurse" localSheetId="9">'IWP08'!$I$10</definedName>
    <definedName name="Std4DateForm3050SubmittedDadsRegNurse" localSheetId="10">'IWP09'!$I$10</definedName>
    <definedName name="Std4DateForm3050SubmittedDadsRegNurse" localSheetId="11">'IWP10'!$I$10</definedName>
    <definedName name="Std4DateForm3050SubmittedDadsRegNurse" localSheetId="12">'IWP11'!$I$10</definedName>
    <definedName name="Std4DateForm3050SubmittedDadsRegNurse" localSheetId="13">'IWP12'!$I$10</definedName>
    <definedName name="Std4DateForm3050SubmittedDadsRegNurse" localSheetId="14">'IWP13'!$I$10</definedName>
    <definedName name="Std4DateForm3050SubmittedDadsRegNurse" localSheetId="15">'IWP14'!$I$10</definedName>
    <definedName name="Std4DateForm3050SubmittedDadsRegNurse" localSheetId="16">'IWP15'!$I$10</definedName>
    <definedName name="Std4DateForm3050SubmittedDadsRegNurse" localSheetId="17">'IWP16'!$I$10</definedName>
    <definedName name="Std4DateForm3050SubmittedDadsRegNurse" localSheetId="18">'IWP17'!$I$10</definedName>
    <definedName name="Std4DateForm3050SubmittedDadsRegNurse" localSheetId="19">'IWP18'!$I$10</definedName>
    <definedName name="Std4DateForm3050SubmittedDadsRegNurse" localSheetId="20">'IWP19'!$I$10</definedName>
    <definedName name="Std4DateForm3050SubmittedDadsRegNurse" localSheetId="21">'IWP20'!$I$10</definedName>
    <definedName name="Std4DateForm3050SubmittedDadsRegNurse" localSheetId="22">'IWP21'!$I$10</definedName>
    <definedName name="Std4DateForm3050SubmittedDadsRegNurse" localSheetId="23">'IWP22'!$I$10</definedName>
    <definedName name="Std4DateForm3050SubmittedDadsRegNurse" localSheetId="24">'IWP23'!$I$10</definedName>
    <definedName name="Std4DateForm3050SubmittedDadsRegNurse" localSheetId="25">'IWP24'!$I$10</definedName>
    <definedName name="Std4DateForm3050SubmittedDadsRegNurse" localSheetId="26">'IWP25'!$I$10</definedName>
    <definedName name="Std4DateForm3050SubmittedDadsRegNurse" localSheetId="27">'IWP26'!$I$10</definedName>
    <definedName name="Std4DateForm3050SubmittedDadsRegNurse" localSheetId="28">'IWP27'!$I$10</definedName>
    <definedName name="Std4DateForm3050SubmittedDadsRegNurse" localSheetId="29">'IWP28'!$I$10</definedName>
    <definedName name="Std4DateForm3050SubmittedDadsRegNurse" localSheetId="30">'IWP29'!$I$10</definedName>
    <definedName name="Std4DateForm3050SubmittedDadsRegNurse" localSheetId="31">'IWP30'!$I$10</definedName>
    <definedName name="Std4DateForm3055SubmittedDadsRegNurse" localSheetId="2">'IWP01'!$D$11</definedName>
    <definedName name="Std4DateForm3055SubmittedDadsRegNurse" localSheetId="3">'IWP02'!$D$11</definedName>
    <definedName name="Std4DateForm3055SubmittedDadsRegNurse" localSheetId="4">'IWP03'!$D$11</definedName>
    <definedName name="Std4DateForm3055SubmittedDadsRegNurse" localSheetId="5">'IWP04'!$D$11</definedName>
    <definedName name="Std4DateForm3055SubmittedDadsRegNurse" localSheetId="6">'IWP05'!$D$11</definedName>
    <definedName name="Std4DateForm3055SubmittedDadsRegNurse" localSheetId="7">'IWP06'!$D$11</definedName>
    <definedName name="Std4DateForm3055SubmittedDadsRegNurse" localSheetId="8">'IWP07'!$D$11</definedName>
    <definedName name="Std4DateForm3055SubmittedDadsRegNurse" localSheetId="9">'IWP08'!$D$11</definedName>
    <definedName name="Std4DateForm3055SubmittedDadsRegNurse" localSheetId="10">'IWP09'!$D$11</definedName>
    <definedName name="Std4DateForm3055SubmittedDadsRegNurse" localSheetId="11">'IWP10'!$D$11</definedName>
    <definedName name="Std4DateForm3055SubmittedDadsRegNurse" localSheetId="12">'IWP11'!$D$11</definedName>
    <definedName name="Std4DateForm3055SubmittedDadsRegNurse" localSheetId="13">'IWP12'!$D$11</definedName>
    <definedName name="Std4DateForm3055SubmittedDadsRegNurse" localSheetId="14">'IWP13'!$D$11</definedName>
    <definedName name="Std4DateForm3055SubmittedDadsRegNurse" localSheetId="15">'IWP14'!$D$11</definedName>
    <definedName name="Std4DateForm3055SubmittedDadsRegNurse" localSheetId="16">'IWP15'!$D$11</definedName>
    <definedName name="Std4DateForm3055SubmittedDadsRegNurse" localSheetId="17">'IWP16'!$D$11</definedName>
    <definedName name="Std4DateForm3055SubmittedDadsRegNurse" localSheetId="18">'IWP17'!$D$11</definedName>
    <definedName name="Std4DateForm3055SubmittedDadsRegNurse" localSheetId="19">'IWP18'!$D$11</definedName>
    <definedName name="Std4DateForm3055SubmittedDadsRegNurse" localSheetId="20">'IWP19'!$D$11</definedName>
    <definedName name="Std4DateForm3055SubmittedDadsRegNurse" localSheetId="21">'IWP20'!$D$11</definedName>
    <definedName name="Std4DateForm3055SubmittedDadsRegNurse" localSheetId="22">'IWP21'!$D$11</definedName>
    <definedName name="Std4DateForm3055SubmittedDadsRegNurse" localSheetId="23">'IWP22'!$D$11</definedName>
    <definedName name="Std4DateForm3055SubmittedDadsRegNurse" localSheetId="24">'IWP23'!$D$11</definedName>
    <definedName name="Std4DateForm3055SubmittedDadsRegNurse" localSheetId="25">'IWP24'!$D$11</definedName>
    <definedName name="Std4DateForm3055SubmittedDadsRegNurse" localSheetId="26">'IWP25'!$D$11</definedName>
    <definedName name="Std4DateForm3055SubmittedDadsRegNurse" localSheetId="27">'IWP26'!$D$11</definedName>
    <definedName name="Std4DateForm3055SubmittedDadsRegNurse" localSheetId="28">'IWP27'!$D$11</definedName>
    <definedName name="Std4DateForm3055SubmittedDadsRegNurse" localSheetId="29">'IWP28'!$D$11</definedName>
    <definedName name="Std4DateForm3055SubmittedDadsRegNurse" localSheetId="30">'IWP29'!$D$11</definedName>
    <definedName name="Std4DateForm3055SubmittedDadsRegNurse" localSheetId="31">'IWP30'!$D$11</definedName>
    <definedName name="Std4DateOfForm3049" localSheetId="2">'IWP01'!$D$9</definedName>
    <definedName name="Std4DateOfForm3049" localSheetId="3">'IWP02'!$D$9</definedName>
    <definedName name="Std4DateOfForm3049" localSheetId="4">'IWP03'!$D$9</definedName>
    <definedName name="Std4DateOfForm3049" localSheetId="5">'IWP04'!$D$9</definedName>
    <definedName name="Std4DateOfForm3049" localSheetId="6">'IWP05'!$D$9</definedName>
    <definedName name="Std4DateOfForm3049" localSheetId="7">'IWP06'!$D$9</definedName>
    <definedName name="Std4DateOfForm3049" localSheetId="8">'IWP07'!$D$9</definedName>
    <definedName name="Std4DateOfForm3049" localSheetId="9">'IWP08'!$D$9</definedName>
    <definedName name="Std4DateOfForm3049" localSheetId="10">'IWP09'!$D$9</definedName>
    <definedName name="Std4DateOfForm3049" localSheetId="11">'IWP10'!$D$9</definedName>
    <definedName name="Std4DateOfForm3049" localSheetId="12">'IWP11'!$D$9</definedName>
    <definedName name="Std4DateOfForm3049" localSheetId="13">'IWP12'!$D$9</definedName>
    <definedName name="Std4DateOfForm3049" localSheetId="14">'IWP13'!$D$9</definedName>
    <definedName name="Std4DateOfForm3049" localSheetId="15">'IWP14'!$D$9</definedName>
    <definedName name="Std4DateOfForm3049" localSheetId="16">'IWP15'!$D$9</definedName>
    <definedName name="Std4DateOfForm3049" localSheetId="17">'IWP16'!$D$9</definedName>
    <definedName name="Std4DateOfForm3049" localSheetId="18">'IWP17'!$D$9</definedName>
    <definedName name="Std4DateOfForm3049" localSheetId="19">'IWP18'!$D$9</definedName>
    <definedName name="Std4DateOfForm3049" localSheetId="20">'IWP19'!$D$9</definedName>
    <definedName name="Std4DateOfForm3049" localSheetId="21">'IWP20'!$D$9</definedName>
    <definedName name="Std4DateOfForm3049" localSheetId="22">'IWP21'!$D$9</definedName>
    <definedName name="Std4DateOfForm3049" localSheetId="23">'IWP22'!$D$9</definedName>
    <definedName name="Std4DateOfForm3049" localSheetId="24">'IWP23'!$D$9</definedName>
    <definedName name="Std4DateOfForm3049" localSheetId="25">'IWP24'!$D$9</definedName>
    <definedName name="Std4DateOfForm3049" localSheetId="26">'IWP25'!$D$9</definedName>
    <definedName name="Std4DateOfForm3049" localSheetId="27">'IWP26'!$D$9</definedName>
    <definedName name="Std4DateOfForm3049" localSheetId="28">'IWP27'!$D$9</definedName>
    <definedName name="Std4DateOfForm3049" localSheetId="29">'IWP28'!$D$9</definedName>
    <definedName name="Std4DateOfForm3049" localSheetId="30">'IWP29'!$D$9</definedName>
    <definedName name="Std4DateOfForm3049" localSheetId="31">'IWP30'!$D$9</definedName>
    <definedName name="Std4DateOfForm3049">#REF!</definedName>
    <definedName name="Std4DateOfForm3050" localSheetId="2">'IWP01'!$D$10</definedName>
    <definedName name="Std4DateOfForm3050" localSheetId="3">'IWP02'!$D$10</definedName>
    <definedName name="Std4DateOfForm3050" localSheetId="4">'IWP03'!$D$10</definedName>
    <definedName name="Std4DateOfForm3050" localSheetId="5">'IWP04'!$D$10</definedName>
    <definedName name="Std4DateOfForm3050" localSheetId="6">'IWP05'!$D$10</definedName>
    <definedName name="Std4DateOfForm3050" localSheetId="7">'IWP06'!$D$10</definedName>
    <definedName name="Std4DateOfForm3050" localSheetId="8">'IWP07'!$D$10</definedName>
    <definedName name="Std4DateOfForm3050" localSheetId="9">'IWP08'!$D$10</definedName>
    <definedName name="Std4DateOfForm3050" localSheetId="10">'IWP09'!$D$10</definedName>
    <definedName name="Std4DateOfForm3050" localSheetId="11">'IWP10'!$D$10</definedName>
    <definedName name="Std4DateOfForm3050" localSheetId="12">'IWP11'!$D$10</definedName>
    <definedName name="Std4DateOfForm3050" localSheetId="13">'IWP12'!$D$10</definedName>
    <definedName name="Std4DateOfForm3050" localSheetId="14">'IWP13'!$D$10</definedName>
    <definedName name="Std4DateOfForm3050" localSheetId="15">'IWP14'!$D$10</definedName>
    <definedName name="Std4DateOfForm3050" localSheetId="16">'IWP15'!$D$10</definedName>
    <definedName name="Std4DateOfForm3050" localSheetId="17">'IWP16'!$D$10</definedName>
    <definedName name="Std4DateOfForm3050" localSheetId="18">'IWP17'!$D$10</definedName>
    <definedName name="Std4DateOfForm3050" localSheetId="19">'IWP18'!$D$10</definedName>
    <definedName name="Std4DateOfForm3050" localSheetId="20">'IWP19'!$D$10</definedName>
    <definedName name="Std4DateOfForm3050" localSheetId="21">'IWP20'!$D$10</definedName>
    <definedName name="Std4DateOfForm3050" localSheetId="22">'IWP21'!$D$10</definedName>
    <definedName name="Std4DateOfForm3050" localSheetId="23">'IWP22'!$D$10</definedName>
    <definedName name="Std4DateOfForm3050" localSheetId="24">'IWP23'!$D$10</definedName>
    <definedName name="Std4DateOfForm3050" localSheetId="25">'IWP24'!$D$10</definedName>
    <definedName name="Std4DateOfForm3050" localSheetId="26">'IWP25'!$D$10</definedName>
    <definedName name="Std4DateOfForm3050" localSheetId="27">'IWP26'!$D$10</definedName>
    <definedName name="Std4DateOfForm3050" localSheetId="28">'IWP27'!$D$10</definedName>
    <definedName name="Std4DateOfForm3050" localSheetId="29">'IWP28'!$D$10</definedName>
    <definedName name="Std4DateOfForm3050" localSheetId="30">'IWP29'!$D$10</definedName>
    <definedName name="Std4DateOfForm3050" localSheetId="31">'IWP30'!$D$10</definedName>
    <definedName name="Std4DateOfReceipt" localSheetId="2">'IWP01'!$D$7</definedName>
    <definedName name="Std4DateOfReceipt" localSheetId="3">'IWP02'!$D$7</definedName>
    <definedName name="Std4DateOfReceipt" localSheetId="4">'IWP03'!$D$7</definedName>
    <definedName name="Std4DateOfReceipt" localSheetId="5">'IWP04'!$D$7</definedName>
    <definedName name="Std4DateOfReceipt" localSheetId="6">'IWP05'!$D$7</definedName>
    <definedName name="Std4DateOfReceipt" localSheetId="7">'IWP06'!$D$7</definedName>
    <definedName name="Std4DateOfReceipt" localSheetId="8">'IWP07'!$D$7</definedName>
    <definedName name="Std4DateOfReceipt" localSheetId="9">'IWP08'!$D$7</definedName>
    <definedName name="Std4DateOfReceipt" localSheetId="10">'IWP09'!$D$7</definedName>
    <definedName name="Std4DateOfReceipt" localSheetId="11">'IWP10'!$D$7</definedName>
    <definedName name="Std4DateOfReceipt" localSheetId="12">'IWP11'!$D$7</definedName>
    <definedName name="Std4DateOfReceipt" localSheetId="13">'IWP12'!$D$7</definedName>
    <definedName name="Std4DateOfReceipt" localSheetId="14">'IWP13'!$D$7</definedName>
    <definedName name="Std4DateOfReceipt" localSheetId="15">'IWP14'!$D$7</definedName>
    <definedName name="Std4DateOfReceipt" localSheetId="16">'IWP15'!$D$7</definedName>
    <definedName name="Std4DateOfReceipt" localSheetId="17">'IWP16'!$D$7</definedName>
    <definedName name="Std4DateOfReceipt" localSheetId="18">'IWP17'!$D$7</definedName>
    <definedName name="Std4DateOfReceipt" localSheetId="19">'IWP18'!$D$7</definedName>
    <definedName name="Std4DateOfReceipt" localSheetId="20">'IWP19'!$D$7</definedName>
    <definedName name="Std4DateOfReceipt" localSheetId="21">'IWP20'!$D$7</definedName>
    <definedName name="Std4DateOfReceipt" localSheetId="22">'IWP21'!$D$7</definedName>
    <definedName name="Std4DateOfReceipt" localSheetId="23">'IWP22'!$D$7</definedName>
    <definedName name="Std4DateOfReceipt" localSheetId="24">'IWP23'!$D$7</definedName>
    <definedName name="Std4DateOfReceipt" localSheetId="25">'IWP24'!$D$7</definedName>
    <definedName name="Std4DateOfReceipt" localSheetId="26">'IWP25'!$D$7</definedName>
    <definedName name="Std4DateOfReceipt" localSheetId="27">'IWP26'!$D$7</definedName>
    <definedName name="Std4DateOfReceipt" localSheetId="28">'IWP27'!$D$7</definedName>
    <definedName name="Std4DateOfReceipt" localSheetId="29">'IWP28'!$D$7</definedName>
    <definedName name="Std4DateOfReceipt" localSheetId="30">'IWP29'!$D$7</definedName>
    <definedName name="Std4DateOfReceipt" localSheetId="31">'IWP30'!$D$7</definedName>
    <definedName name="Std4DateOfVerbalPhysOrders" localSheetId="2">'IWP01'!$D$8</definedName>
    <definedName name="Std4DateOfVerbalPhysOrders" localSheetId="3">'IWP02'!$D$8</definedName>
    <definedName name="Std4DateOfVerbalPhysOrders" localSheetId="4">'IWP03'!$D$8</definedName>
    <definedName name="Std4DateOfVerbalPhysOrders" localSheetId="5">'IWP04'!$D$8</definedName>
    <definedName name="Std4DateOfVerbalPhysOrders" localSheetId="6">'IWP05'!$D$8</definedName>
    <definedName name="Std4DateOfVerbalPhysOrders" localSheetId="7">'IWP06'!$D$8</definedName>
    <definedName name="Std4DateOfVerbalPhysOrders" localSheetId="8">'IWP07'!$D$8</definedName>
    <definedName name="Std4DateOfVerbalPhysOrders" localSheetId="9">'IWP08'!$D$8</definedName>
    <definedName name="Std4DateOfVerbalPhysOrders" localSheetId="10">'IWP09'!$D$8</definedName>
    <definedName name="Std4DateOfVerbalPhysOrders" localSheetId="11">'IWP10'!$D$8</definedName>
    <definedName name="Std4DateOfVerbalPhysOrders" localSheetId="12">'IWP11'!$D$8</definedName>
    <definedName name="Std4DateOfVerbalPhysOrders" localSheetId="13">'IWP12'!$D$8</definedName>
    <definedName name="Std4DateOfVerbalPhysOrders" localSheetId="14">'IWP13'!$D$8</definedName>
    <definedName name="Std4DateOfVerbalPhysOrders" localSheetId="15">'IWP14'!$D$8</definedName>
    <definedName name="Std4DateOfVerbalPhysOrders" localSheetId="16">'IWP15'!$D$8</definedName>
    <definedName name="Std4DateOfVerbalPhysOrders" localSheetId="17">'IWP16'!$D$8</definedName>
    <definedName name="Std4DateOfVerbalPhysOrders" localSheetId="18">'IWP17'!$D$8</definedName>
    <definedName name="Std4DateOfVerbalPhysOrders" localSheetId="19">'IWP18'!$D$8</definedName>
    <definedName name="Std4DateOfVerbalPhysOrders" localSheetId="20">'IWP19'!$D$8</definedName>
    <definedName name="Std4DateOfVerbalPhysOrders" localSheetId="21">'IWP20'!$D$8</definedName>
    <definedName name="Std4DateOfVerbalPhysOrders" localSheetId="22">'IWP21'!$D$8</definedName>
    <definedName name="Std4DateOfVerbalPhysOrders" localSheetId="23">'IWP22'!$D$8</definedName>
    <definedName name="Std4DateOfVerbalPhysOrders" localSheetId="24">'IWP23'!$D$8</definedName>
    <definedName name="Std4DateOfVerbalPhysOrders" localSheetId="25">'IWP24'!$D$8</definedName>
    <definedName name="Std4DateOfVerbalPhysOrders" localSheetId="26">'IWP25'!$D$8</definedName>
    <definedName name="Std4DateOfVerbalPhysOrders" localSheetId="27">'IWP26'!$D$8</definedName>
    <definedName name="Std4DateOfVerbalPhysOrders" localSheetId="28">'IWP27'!$D$8</definedName>
    <definedName name="Std4DateOfVerbalPhysOrders" localSheetId="29">'IWP28'!$D$8</definedName>
    <definedName name="Std4DateOfVerbalPhysOrders" localSheetId="30">'IWP29'!$D$8</definedName>
    <definedName name="Std4DateOfVerbalPhysOrders" localSheetId="31">'IWP30'!$D$8</definedName>
    <definedName name="Std4DateOfWrittenPhysPhysOrders" localSheetId="2">'IWP01'!$I$8</definedName>
    <definedName name="Std4DateOfWrittenPhysPhysOrders" localSheetId="3">'IWP02'!$I$8</definedName>
    <definedName name="Std4DateOfWrittenPhysPhysOrders" localSheetId="4">'IWP03'!$I$8</definedName>
    <definedName name="Std4DateOfWrittenPhysPhysOrders" localSheetId="5">'IWP04'!$I$8</definedName>
    <definedName name="Std4DateOfWrittenPhysPhysOrders" localSheetId="6">'IWP05'!$I$8</definedName>
    <definedName name="Std4DateOfWrittenPhysPhysOrders" localSheetId="7">'IWP06'!$I$8</definedName>
    <definedName name="Std4DateOfWrittenPhysPhysOrders" localSheetId="8">'IWP07'!$I$8</definedName>
    <definedName name="Std4DateOfWrittenPhysPhysOrders" localSheetId="9">'IWP08'!$I$8</definedName>
    <definedName name="Std4DateOfWrittenPhysPhysOrders" localSheetId="10">'IWP09'!$I$8</definedName>
    <definedName name="Std4DateOfWrittenPhysPhysOrders" localSheetId="11">'IWP10'!$I$8</definedName>
    <definedName name="Std4DateOfWrittenPhysPhysOrders" localSheetId="12">'IWP11'!$I$8</definedName>
    <definedName name="Std4DateOfWrittenPhysPhysOrders" localSheetId="13">'IWP12'!$I$8</definedName>
    <definedName name="Std4DateOfWrittenPhysPhysOrders" localSheetId="14">'IWP13'!$I$8</definedName>
    <definedName name="Std4DateOfWrittenPhysPhysOrders" localSheetId="15">'IWP14'!$I$8</definedName>
    <definedName name="Std4DateOfWrittenPhysPhysOrders" localSheetId="16">'IWP15'!$I$8</definedName>
    <definedName name="Std4DateOfWrittenPhysPhysOrders" localSheetId="17">'IWP16'!$I$8</definedName>
    <definedName name="Std4DateOfWrittenPhysPhysOrders" localSheetId="18">'IWP17'!$I$8</definedName>
    <definedName name="Std4DateOfWrittenPhysPhysOrders" localSheetId="19">'IWP18'!$I$8</definedName>
    <definedName name="Std4DateOfWrittenPhysPhysOrders" localSheetId="20">'IWP19'!$I$8</definedName>
    <definedName name="Std4DateOfWrittenPhysPhysOrders" localSheetId="21">'IWP20'!$I$8</definedName>
    <definedName name="Std4DateOfWrittenPhysPhysOrders" localSheetId="22">'IWP21'!$I$8</definedName>
    <definedName name="Std4DateOfWrittenPhysPhysOrders" localSheetId="23">'IWP22'!$I$8</definedName>
    <definedName name="Std4DateOfWrittenPhysPhysOrders" localSheetId="24">'IWP23'!$I$8</definedName>
    <definedName name="Std4DateOfWrittenPhysPhysOrders" localSheetId="25">'IWP24'!$I$8</definedName>
    <definedName name="Std4DateOfWrittenPhysPhysOrders" localSheetId="26">'IWP25'!$I$8</definedName>
    <definedName name="Std4DateOfWrittenPhysPhysOrders" localSheetId="27">'IWP26'!$I$8</definedName>
    <definedName name="Std4DateOfWrittenPhysPhysOrders" localSheetId="28">'IWP27'!$I$8</definedName>
    <definedName name="Std4DateOfWrittenPhysPhysOrders" localSheetId="29">'IWP28'!$I$8</definedName>
    <definedName name="Std4DateOfWrittenPhysPhysOrders" localSheetId="30">'IWP29'!$I$8</definedName>
    <definedName name="Std4DateOfWrittenPhysPhysOrders" localSheetId="31">'IWP30'!$I$8</definedName>
    <definedName name="Std4DateOfXferFromAnotherDahs" localSheetId="2">'IWP01'!$I$11</definedName>
    <definedName name="Std4DateOfXferFromAnotherDahs" localSheetId="3">'IWP02'!$I$11</definedName>
    <definedName name="Std4DateOfXferFromAnotherDahs" localSheetId="4">'IWP03'!$I$11</definedName>
    <definedName name="Std4DateOfXferFromAnotherDahs" localSheetId="5">'IWP04'!$I$11</definedName>
    <definedName name="Std4DateOfXferFromAnotherDahs" localSheetId="6">'IWP05'!$I$11</definedName>
    <definedName name="Std4DateOfXferFromAnotherDahs" localSheetId="7">'IWP06'!$I$11</definedName>
    <definedName name="Std4DateOfXferFromAnotherDahs" localSheetId="8">'IWP07'!$I$11</definedName>
    <definedName name="Std4DateOfXferFromAnotherDahs" localSheetId="9">'IWP08'!$I$11</definedName>
    <definedName name="Std4DateOfXferFromAnotherDahs" localSheetId="10">'IWP09'!$I$11</definedName>
    <definedName name="Std4DateOfXferFromAnotherDahs" localSheetId="11">'IWP10'!$I$11</definedName>
    <definedName name="Std4DateOfXferFromAnotherDahs" localSheetId="12">'IWP11'!$I$11</definedName>
    <definedName name="Std4DateOfXferFromAnotherDahs" localSheetId="13">'IWP12'!$I$11</definedName>
    <definedName name="Std4DateOfXferFromAnotherDahs" localSheetId="14">'IWP13'!$I$11</definedName>
    <definedName name="Std4DateOfXferFromAnotherDahs" localSheetId="15">'IWP14'!$I$11</definedName>
    <definedName name="Std4DateOfXferFromAnotherDahs" localSheetId="16">'IWP15'!$I$11</definedName>
    <definedName name="Std4DateOfXferFromAnotherDahs" localSheetId="17">'IWP16'!$I$11</definedName>
    <definedName name="Std4DateOfXferFromAnotherDahs" localSheetId="18">'IWP17'!$I$11</definedName>
    <definedName name="Std4DateOfXferFromAnotherDahs" localSheetId="19">'IWP18'!$I$11</definedName>
    <definedName name="Std4DateOfXferFromAnotherDahs" localSheetId="20">'IWP19'!$I$11</definedName>
    <definedName name="Std4DateOfXferFromAnotherDahs" localSheetId="21">'IWP20'!$I$11</definedName>
    <definedName name="Std4DateOfXferFromAnotherDahs" localSheetId="22">'IWP21'!$I$11</definedName>
    <definedName name="Std4DateOfXferFromAnotherDahs" localSheetId="23">'IWP22'!$I$11</definedName>
    <definedName name="Std4DateOfXferFromAnotherDahs" localSheetId="24">'IWP23'!$I$11</definedName>
    <definedName name="Std4DateOfXferFromAnotherDahs" localSheetId="25">'IWP24'!$I$11</definedName>
    <definedName name="Std4DateOfXferFromAnotherDahs" localSheetId="26">'IWP25'!$I$11</definedName>
    <definedName name="Std4DateOfXferFromAnotherDahs" localSheetId="27">'IWP26'!$I$11</definedName>
    <definedName name="Std4DateOfXferFromAnotherDahs" localSheetId="28">'IWP27'!$I$11</definedName>
    <definedName name="Std4DateOfXferFromAnotherDahs" localSheetId="29">'IWP28'!$I$11</definedName>
    <definedName name="Std4DateOfXferFromAnotherDahs" localSheetId="30">'IWP29'!$I$11</definedName>
    <definedName name="Std4DateOfXferFromAnotherDahs" localSheetId="31">'IWP30'!$I$11</definedName>
    <definedName name="Std4dot1" localSheetId="2">'IWP01'!$I$18</definedName>
    <definedName name="Std4dot1" localSheetId="3">'IWP02'!$I$18</definedName>
    <definedName name="Std4dot1" localSheetId="4">'IWP03'!$I$18</definedName>
    <definedName name="Std4dot1" localSheetId="5">'IWP04'!$I$18</definedName>
    <definedName name="Std4dot1" localSheetId="6">'IWP05'!$I$18</definedName>
    <definedName name="Std4dot1" localSheetId="7">'IWP06'!$I$18</definedName>
    <definedName name="Std4dot1" localSheetId="8">'IWP07'!$I$18</definedName>
    <definedName name="Std4dot1" localSheetId="9">'IWP08'!$I$18</definedName>
    <definedName name="Std4dot1" localSheetId="10">'IWP09'!$I$18</definedName>
    <definedName name="Std4dot1" localSheetId="11">'IWP10'!$I$18</definedName>
    <definedName name="Std4dot1" localSheetId="12">'IWP11'!$I$18</definedName>
    <definedName name="Std4dot1" localSheetId="13">'IWP12'!$I$18</definedName>
    <definedName name="Std4dot1" localSheetId="14">'IWP13'!$I$18</definedName>
    <definedName name="Std4dot1" localSheetId="15">'IWP14'!$I$18</definedName>
    <definedName name="Std4dot1" localSheetId="16">'IWP15'!$I$18</definedName>
    <definedName name="Std4dot1" localSheetId="17">'IWP16'!$I$18</definedName>
    <definedName name="Std4dot1" localSheetId="18">'IWP17'!$I$18</definedName>
    <definedName name="Std4dot1" localSheetId="19">'IWP18'!$I$18</definedName>
    <definedName name="Std4dot1" localSheetId="20">'IWP19'!$I$18</definedName>
    <definedName name="Std4dot1" localSheetId="21">'IWP20'!$I$18</definedName>
    <definedName name="Std4dot1" localSheetId="22">'IWP21'!$I$18</definedName>
    <definedName name="Std4dot1" localSheetId="23">'IWP22'!$I$18</definedName>
    <definedName name="Std4dot1" localSheetId="24">'IWP23'!$I$18</definedName>
    <definedName name="Std4dot1" localSheetId="25">'IWP24'!$I$18</definedName>
    <definedName name="Std4dot1" localSheetId="26">'IWP25'!$I$18</definedName>
    <definedName name="Std4dot1" localSheetId="27">'IWP26'!$I$18</definedName>
    <definedName name="Std4dot1" localSheetId="28">'IWP27'!$I$18</definedName>
    <definedName name="Std4dot1" localSheetId="29">'IWP28'!$I$18</definedName>
    <definedName name="Std4dot1" localSheetId="30">'IWP29'!$I$18</definedName>
    <definedName name="Std4dot1" localSheetId="31">'IWP30'!$I$18</definedName>
    <definedName name="Std4dot1a" localSheetId="2">'IWP01'!$I$16</definedName>
    <definedName name="Std4dot1a" localSheetId="3">'IWP02'!$I$16</definedName>
    <definedName name="Std4dot1a" localSheetId="4">'IWP03'!$I$16</definedName>
    <definedName name="Std4dot1a" localSheetId="5">'IWP04'!$I$16</definedName>
    <definedName name="Std4dot1a" localSheetId="6">'IWP05'!$I$16</definedName>
    <definedName name="Std4dot1a" localSheetId="7">'IWP06'!$I$16</definedName>
    <definedName name="Std4dot1a" localSheetId="8">'IWP07'!$I$16</definedName>
    <definedName name="Std4dot1a" localSheetId="9">'IWP08'!$I$16</definedName>
    <definedName name="Std4dot1a" localSheetId="10">'IWP09'!$I$16</definedName>
    <definedName name="Std4dot1a" localSheetId="11">'IWP10'!$I$16</definedName>
    <definedName name="Std4dot1a" localSheetId="12">'IWP11'!$I$16</definedName>
    <definedName name="Std4dot1a" localSheetId="13">'IWP12'!$I$16</definedName>
    <definedName name="Std4dot1a" localSheetId="14">'IWP13'!$I$16</definedName>
    <definedName name="Std4dot1a" localSheetId="15">'IWP14'!$I$16</definedName>
    <definedName name="Std4dot1a" localSheetId="16">'IWP15'!$I$16</definedName>
    <definedName name="Std4dot1a" localSheetId="17">'IWP16'!$I$16</definedName>
    <definedName name="Std4dot1a" localSheetId="18">'IWP17'!$I$16</definedName>
    <definedName name="Std4dot1a" localSheetId="19">'IWP18'!$I$16</definedName>
    <definedName name="Std4dot1a" localSheetId="20">'IWP19'!$I$16</definedName>
    <definedName name="Std4dot1a" localSheetId="21">'IWP20'!$I$16</definedName>
    <definedName name="Std4dot1a" localSheetId="22">'IWP21'!$I$16</definedName>
    <definedName name="Std4dot1a" localSheetId="23">'IWP22'!$I$16</definedName>
    <definedName name="Std4dot1a" localSheetId="24">'IWP23'!$I$16</definedName>
    <definedName name="Std4dot1a" localSheetId="25">'IWP24'!$I$16</definedName>
    <definedName name="Std4dot1a" localSheetId="26">'IWP25'!$I$16</definedName>
    <definedName name="Std4dot1a" localSheetId="27">'IWP26'!$I$16</definedName>
    <definedName name="Std4dot1a" localSheetId="28">'IWP27'!$I$16</definedName>
    <definedName name="Std4dot1a" localSheetId="29">'IWP28'!$I$16</definedName>
    <definedName name="Std4dot1a" localSheetId="30">'IWP29'!$I$16</definedName>
    <definedName name="Std4dot1a" localSheetId="31">'IWP30'!$I$16</definedName>
    <definedName name="Std4dot1aNotCalc" localSheetId="2">'IWP01'!$I$12</definedName>
    <definedName name="Std4dot1aNotCalc" localSheetId="3">'IWP02'!$I$12</definedName>
    <definedName name="Std4dot1aNotCalc" localSheetId="4">'IWP03'!$I$12</definedName>
    <definedName name="Std4dot1aNotCalc" localSheetId="5">'IWP04'!$I$12</definedName>
    <definedName name="Std4dot1aNotCalc" localSheetId="6">'IWP05'!$I$12</definedName>
    <definedName name="Std4dot1aNotCalc" localSheetId="7">'IWP06'!$I$12</definedName>
    <definedName name="Std4dot1aNotCalc" localSheetId="8">'IWP07'!$I$12</definedName>
    <definedName name="Std4dot1aNotCalc" localSheetId="9">'IWP08'!$I$12</definedName>
    <definedName name="Std4dot1aNotCalc" localSheetId="10">'IWP09'!$I$12</definedName>
    <definedName name="Std4dot1aNotCalc" localSheetId="11">'IWP10'!$I$12</definedName>
    <definedName name="Std4dot1aNotCalc" localSheetId="12">'IWP11'!$I$12</definedName>
    <definedName name="Std4dot1aNotCalc" localSheetId="13">'IWP12'!$I$12</definedName>
    <definedName name="Std4dot1aNotCalc" localSheetId="14">'IWP13'!$I$12</definedName>
    <definedName name="Std4dot1aNotCalc" localSheetId="15">'IWP14'!$I$12</definedName>
    <definedName name="Std4dot1aNotCalc" localSheetId="16">'IWP15'!$I$12</definedName>
    <definedName name="Std4dot1aNotCalc" localSheetId="17">'IWP16'!$I$12</definedName>
    <definedName name="Std4dot1aNotCalc" localSheetId="18">'IWP17'!$I$12</definedName>
    <definedName name="Std4dot1aNotCalc" localSheetId="19">'IWP18'!$I$12</definedName>
    <definedName name="Std4dot1aNotCalc" localSheetId="20">'IWP19'!$I$12</definedName>
    <definedName name="Std4dot1aNotCalc" localSheetId="21">'IWP20'!$I$12</definedName>
    <definedName name="Std4dot1aNotCalc" localSheetId="22">'IWP21'!$I$12</definedName>
    <definedName name="Std4dot1aNotCalc" localSheetId="23">'IWP22'!$I$12</definedName>
    <definedName name="Std4dot1aNotCalc" localSheetId="24">'IWP23'!$I$12</definedName>
    <definedName name="Std4dot1aNotCalc" localSheetId="25">'IWP24'!$I$12</definedName>
    <definedName name="Std4dot1aNotCalc" localSheetId="26">'IWP25'!$I$12</definedName>
    <definedName name="Std4dot1aNotCalc" localSheetId="27">'IWP26'!$I$12</definedName>
    <definedName name="Std4dot1aNotCalc" localSheetId="28">'IWP27'!$I$12</definedName>
    <definedName name="Std4dot1aNotCalc" localSheetId="29">'IWP28'!$I$12</definedName>
    <definedName name="Std4dot1aNotCalc" localSheetId="30">'IWP29'!$I$12</definedName>
    <definedName name="Std4dot1aNotCalc" localSheetId="31">'IWP30'!$I$12</definedName>
    <definedName name="Std4dot1b" localSheetId="2">'IWP01'!$I$17</definedName>
    <definedName name="Std4dot1b" localSheetId="3">'IWP02'!$I$17</definedName>
    <definedName name="Std4dot1b" localSheetId="4">'IWP03'!$I$17</definedName>
    <definedName name="Std4dot1b" localSheetId="5">'IWP04'!$I$17</definedName>
    <definedName name="Std4dot1b" localSheetId="6">'IWP05'!$I$17</definedName>
    <definedName name="Std4dot1b" localSheetId="7">'IWP06'!$I$17</definedName>
    <definedName name="Std4dot1b" localSheetId="8">'IWP07'!$I$17</definedName>
    <definedName name="Std4dot1b" localSheetId="9">'IWP08'!$I$17</definedName>
    <definedName name="Std4dot1b" localSheetId="10">'IWP09'!$I$17</definedName>
    <definedName name="Std4dot1b" localSheetId="11">'IWP10'!$I$17</definedName>
    <definedName name="Std4dot1b" localSheetId="12">'IWP11'!$I$17</definedName>
    <definedName name="Std4dot1b" localSheetId="13">'IWP12'!$I$17</definedName>
    <definedName name="Std4dot1b" localSheetId="14">'IWP13'!$I$17</definedName>
    <definedName name="Std4dot1b" localSheetId="15">'IWP14'!$I$17</definedName>
    <definedName name="Std4dot1b" localSheetId="16">'IWP15'!$I$17</definedName>
    <definedName name="Std4dot1b" localSheetId="17">'IWP16'!$I$17</definedName>
    <definedName name="Std4dot1b" localSheetId="18">'IWP17'!$I$17</definedName>
    <definedName name="Std4dot1b" localSheetId="19">'IWP18'!$I$17</definedName>
    <definedName name="Std4dot1b" localSheetId="20">'IWP19'!$I$17</definedName>
    <definedName name="Std4dot1b" localSheetId="21">'IWP20'!$I$17</definedName>
    <definedName name="Std4dot1b" localSheetId="22">'IWP21'!$I$17</definedName>
    <definedName name="Std4dot1b" localSheetId="23">'IWP22'!$I$17</definedName>
    <definedName name="Std4dot1b" localSheetId="24">'IWP23'!$I$17</definedName>
    <definedName name="Std4dot1b" localSheetId="25">'IWP24'!$I$17</definedName>
    <definedName name="Std4dot1b" localSheetId="26">'IWP25'!$I$17</definedName>
    <definedName name="Std4dot1b" localSheetId="27">'IWP26'!$I$17</definedName>
    <definedName name="Std4dot1b" localSheetId="28">'IWP27'!$I$17</definedName>
    <definedName name="Std4dot1b" localSheetId="29">'IWP28'!$I$17</definedName>
    <definedName name="Std4dot1b" localSheetId="30">'IWP29'!$I$17</definedName>
    <definedName name="Std4dot1b" localSheetId="31">'IWP30'!$I$17</definedName>
    <definedName name="Std4dot1bNotCalc" localSheetId="2">'IWP01'!$I$14</definedName>
    <definedName name="Std4dot1bNotCalc" localSheetId="3">'IWP02'!$I$14</definedName>
    <definedName name="Std4dot1bNotCalc" localSheetId="4">'IWP03'!$I$14</definedName>
    <definedName name="Std4dot1bNotCalc" localSheetId="5">'IWP04'!$I$14</definedName>
    <definedName name="Std4dot1bNotCalc" localSheetId="6">'IWP05'!$I$14</definedName>
    <definedName name="Std4dot1bNotCalc" localSheetId="7">'IWP06'!$I$14</definedName>
    <definedName name="Std4dot1bNotCalc" localSheetId="8">'IWP07'!$I$14</definedName>
    <definedName name="Std4dot1bNotCalc" localSheetId="9">'IWP08'!$I$14</definedName>
    <definedName name="Std4dot1bNotCalc" localSheetId="10">'IWP09'!$I$14</definedName>
    <definedName name="Std4dot1bNotCalc" localSheetId="11">'IWP10'!$I$14</definedName>
    <definedName name="Std4dot1bNotCalc" localSheetId="12">'IWP11'!$I$14</definedName>
    <definedName name="Std4dot1bNotCalc" localSheetId="13">'IWP12'!$I$14</definedName>
    <definedName name="Std4dot1bNotCalc" localSheetId="14">'IWP13'!$I$14</definedName>
    <definedName name="Std4dot1bNotCalc" localSheetId="15">'IWP14'!$I$14</definedName>
    <definedName name="Std4dot1bNotCalc" localSheetId="16">'IWP15'!$I$14</definedName>
    <definedName name="Std4dot1bNotCalc" localSheetId="17">'IWP16'!$I$14</definedName>
    <definedName name="Std4dot1bNotCalc" localSheetId="18">'IWP17'!$I$14</definedName>
    <definedName name="Std4dot1bNotCalc" localSheetId="19">'IWP18'!$I$14</definedName>
    <definedName name="Std4dot1bNotCalc" localSheetId="20">'IWP19'!$I$14</definedName>
    <definedName name="Std4dot1bNotCalc" localSheetId="21">'IWP20'!$I$14</definedName>
    <definedName name="Std4dot1bNotCalc" localSheetId="22">'IWP21'!$I$14</definedName>
    <definedName name="Std4dot1bNotCalc" localSheetId="23">'IWP22'!$I$14</definedName>
    <definedName name="Std4dot1bNotCalc" localSheetId="24">'IWP23'!$I$14</definedName>
    <definedName name="Std4dot1bNotCalc" localSheetId="25">'IWP24'!$I$14</definedName>
    <definedName name="Std4dot1bNotCalc" localSheetId="26">'IWP25'!$I$14</definedName>
    <definedName name="Std4dot1bNotCalc" localSheetId="27">'IWP26'!$I$14</definedName>
    <definedName name="Std4dot1bNotCalc" localSheetId="28">'IWP27'!$I$14</definedName>
    <definedName name="Std4dot1bNotCalc" localSheetId="29">'IWP28'!$I$14</definedName>
    <definedName name="Std4dot1bNotCalc" localSheetId="30">'IWP29'!$I$14</definedName>
    <definedName name="Std4dot1bNotCalc" localSheetId="31">'IWP30'!$I$14</definedName>
    <definedName name="Std4dot2" localSheetId="2">'IWP01'!$I$22</definedName>
    <definedName name="Std4dot2" localSheetId="3">'IWP02'!$I$22</definedName>
    <definedName name="Std4dot2" localSheetId="4">'IWP03'!$I$22</definedName>
    <definedName name="Std4dot2" localSheetId="5">'IWP04'!$I$22</definedName>
    <definedName name="Std4dot2" localSheetId="6">'IWP05'!$I$22</definedName>
    <definedName name="Std4dot2" localSheetId="7">'IWP06'!$I$22</definedName>
    <definedName name="Std4dot2" localSheetId="8">'IWP07'!$I$22</definedName>
    <definedName name="Std4dot2" localSheetId="9">'IWP08'!$I$22</definedName>
    <definedName name="Std4dot2" localSheetId="10">'IWP09'!$I$22</definedName>
    <definedName name="Std4dot2" localSheetId="11">'IWP10'!$I$22</definedName>
    <definedName name="Std4dot2" localSheetId="12">'IWP11'!$I$22</definedName>
    <definedName name="Std4dot2" localSheetId="13">'IWP12'!$I$22</definedName>
    <definedName name="Std4dot2" localSheetId="14">'IWP13'!$I$22</definedName>
    <definedName name="Std4dot2" localSheetId="15">'IWP14'!$I$22</definedName>
    <definedName name="Std4dot2" localSheetId="16">'IWP15'!$I$22</definedName>
    <definedName name="Std4dot2" localSheetId="17">'IWP16'!$I$22</definedName>
    <definedName name="Std4dot2" localSheetId="18">'IWP17'!$I$22</definedName>
    <definedName name="Std4dot2" localSheetId="19">'IWP18'!$I$22</definedName>
    <definedName name="Std4dot2" localSheetId="20">'IWP19'!$I$22</definedName>
    <definedName name="Std4dot2" localSheetId="21">'IWP20'!$I$22</definedName>
    <definedName name="Std4dot2" localSheetId="22">'IWP21'!$I$22</definedName>
    <definedName name="Std4dot2" localSheetId="23">'IWP22'!$I$22</definedName>
    <definedName name="Std4dot2" localSheetId="24">'IWP23'!$I$22</definedName>
    <definedName name="Std4dot2" localSheetId="25">'IWP24'!$I$22</definedName>
    <definedName name="Std4dot2" localSheetId="26">'IWP25'!$I$22</definedName>
    <definedName name="Std4dot2" localSheetId="27">'IWP26'!$I$22</definedName>
    <definedName name="Std4dot2" localSheetId="28">'IWP27'!$I$22</definedName>
    <definedName name="Std4dot2" localSheetId="29">'IWP28'!$I$22</definedName>
    <definedName name="Std4dot2" localSheetId="30">'IWP29'!$I$22</definedName>
    <definedName name="Std4dot2" localSheetId="31">'IWP30'!$I$22</definedName>
    <definedName name="Std4dot2NotCalc" localSheetId="2">'IWP01'!$I$20</definedName>
    <definedName name="Std4dot2NotCalc" localSheetId="3">'IWP02'!$I$20</definedName>
    <definedName name="Std4dot2NotCalc" localSheetId="4">'IWP03'!$I$20</definedName>
    <definedName name="Std4dot2NotCalc" localSheetId="5">'IWP04'!$I$20</definedName>
    <definedName name="Std4dot2NotCalc" localSheetId="6">'IWP05'!$I$20</definedName>
    <definedName name="Std4dot2NotCalc" localSheetId="7">'IWP06'!$I$20</definedName>
    <definedName name="Std4dot2NotCalc" localSheetId="8">'IWP07'!$I$20</definedName>
    <definedName name="Std4dot2NotCalc" localSheetId="9">'IWP08'!$I$20</definedName>
    <definedName name="Std4dot2NotCalc" localSheetId="10">'IWP09'!$I$20</definedName>
    <definedName name="Std4dot2NotCalc" localSheetId="11">'IWP10'!$I$20</definedName>
    <definedName name="Std4dot2NotCalc" localSheetId="12">'IWP11'!$I$20</definedName>
    <definedName name="Std4dot2NotCalc" localSheetId="13">'IWP12'!$I$20</definedName>
    <definedName name="Std4dot2NotCalc" localSheetId="14">'IWP13'!$I$20</definedName>
    <definedName name="Std4dot2NotCalc" localSheetId="15">'IWP14'!$I$20</definedName>
    <definedName name="Std4dot2NotCalc" localSheetId="16">'IWP15'!$I$20</definedName>
    <definedName name="Std4dot2NotCalc" localSheetId="17">'IWP16'!$I$20</definedName>
    <definedName name="Std4dot2NotCalc" localSheetId="18">'IWP17'!$I$20</definedName>
    <definedName name="Std4dot2NotCalc" localSheetId="19">'IWP18'!$I$20</definedName>
    <definedName name="Std4dot2NotCalc" localSheetId="20">'IWP19'!$I$20</definedName>
    <definedName name="Std4dot2NotCalc" localSheetId="21">'IWP20'!$I$20</definedName>
    <definedName name="Std4dot2NotCalc" localSheetId="22">'IWP21'!$I$20</definedName>
    <definedName name="Std4dot2NotCalc" localSheetId="23">'IWP22'!$I$20</definedName>
    <definedName name="Std4dot2NotCalc" localSheetId="24">'IWP23'!$I$20</definedName>
    <definedName name="Std4dot2NotCalc" localSheetId="25">'IWP24'!$I$20</definedName>
    <definedName name="Std4dot2NotCalc" localSheetId="26">'IWP25'!$I$20</definedName>
    <definedName name="Std4dot2NotCalc" localSheetId="27">'IWP26'!$I$20</definedName>
    <definedName name="Std4dot2NotCalc" localSheetId="28">'IWP27'!$I$20</definedName>
    <definedName name="Std4dot2NotCalc" localSheetId="29">'IWP28'!$I$20</definedName>
    <definedName name="Std4dot2NotCalc" localSheetId="30">'IWP29'!$I$20</definedName>
    <definedName name="Std4dot2NotCalc" localSheetId="31">'IWP30'!$I$20</definedName>
    <definedName name="Std4dot3" localSheetId="2">'IWP01'!$I$29</definedName>
    <definedName name="Std4dot3" localSheetId="3">'IWP02'!$I$29</definedName>
    <definedName name="Std4dot3" localSheetId="4">'IWP03'!$I$29</definedName>
    <definedName name="Std4dot3" localSheetId="5">'IWP04'!$I$29</definedName>
    <definedName name="Std4dot3" localSheetId="6">'IWP05'!$I$29</definedName>
    <definedName name="Std4dot3" localSheetId="7">'IWP06'!$I$29</definedName>
    <definedName name="Std4dot3" localSheetId="8">'IWP07'!$I$29</definedName>
    <definedName name="Std4dot3" localSheetId="9">'IWP08'!$I$29</definedName>
    <definedName name="Std4dot3" localSheetId="10">'IWP09'!$I$29</definedName>
    <definedName name="Std4dot3" localSheetId="11">'IWP10'!$I$29</definedName>
    <definedName name="Std4dot3" localSheetId="12">'IWP11'!$I$29</definedName>
    <definedName name="Std4dot3" localSheetId="13">'IWP12'!$I$29</definedName>
    <definedName name="Std4dot3" localSheetId="14">'IWP13'!$I$29</definedName>
    <definedName name="Std4dot3" localSheetId="15">'IWP14'!$I$29</definedName>
    <definedName name="Std4dot3" localSheetId="16">'IWP15'!$I$29</definedName>
    <definedName name="Std4dot3" localSheetId="17">'IWP16'!$I$29</definedName>
    <definedName name="Std4dot3" localSheetId="18">'IWP17'!$I$29</definedName>
    <definedName name="Std4dot3" localSheetId="19">'IWP18'!$I$29</definedName>
    <definedName name="Std4dot3" localSheetId="20">'IWP19'!$I$29</definedName>
    <definedName name="Std4dot3" localSheetId="21">'IWP20'!$I$29</definedName>
    <definedName name="Std4dot3" localSheetId="22">'IWP21'!$I$29</definedName>
    <definedName name="Std4dot3" localSheetId="23">'IWP22'!$I$29</definedName>
    <definedName name="Std4dot3" localSheetId="24">'IWP23'!$I$29</definedName>
    <definedName name="Std4dot3" localSheetId="25">'IWP24'!$I$29</definedName>
    <definedName name="Std4dot3" localSheetId="26">'IWP25'!$I$29</definedName>
    <definedName name="Std4dot3" localSheetId="27">'IWP26'!$I$29</definedName>
    <definedName name="Std4dot3" localSheetId="28">'IWP27'!$I$29</definedName>
    <definedName name="Std4dot3" localSheetId="29">'IWP28'!$I$29</definedName>
    <definedName name="Std4dot3" localSheetId="30">'IWP29'!$I$29</definedName>
    <definedName name="Std4dot3" localSheetId="31">'IWP30'!$I$29</definedName>
    <definedName name="Std4dot3a" localSheetId="2">'IWP01'!$I$25</definedName>
    <definedName name="Std4dot3a" localSheetId="3">'IWP02'!$I$25</definedName>
    <definedName name="Std4dot3a" localSheetId="4">'IWP03'!$I$25</definedName>
    <definedName name="Std4dot3a" localSheetId="5">'IWP04'!$I$25</definedName>
    <definedName name="Std4dot3a" localSheetId="6">'IWP05'!$I$25</definedName>
    <definedName name="Std4dot3a" localSheetId="7">'IWP06'!$I$25</definedName>
    <definedName name="Std4dot3a" localSheetId="8">'IWP07'!$I$25</definedName>
    <definedName name="Std4dot3a" localSheetId="9">'IWP08'!$I$25</definedName>
    <definedName name="Std4dot3a" localSheetId="10">'IWP09'!$I$25</definedName>
    <definedName name="Std4dot3a" localSheetId="11">'IWP10'!$I$25</definedName>
    <definedName name="Std4dot3a" localSheetId="12">'IWP11'!$I$25</definedName>
    <definedName name="Std4dot3a" localSheetId="13">'IWP12'!$I$25</definedName>
    <definedName name="Std4dot3a" localSheetId="14">'IWP13'!$I$25</definedName>
    <definedName name="Std4dot3a" localSheetId="15">'IWP14'!$I$25</definedName>
    <definedName name="Std4dot3a" localSheetId="16">'IWP15'!$I$25</definedName>
    <definedName name="Std4dot3a" localSheetId="17">'IWP16'!$I$25</definedName>
    <definedName name="Std4dot3a" localSheetId="18">'IWP17'!$I$25</definedName>
    <definedName name="Std4dot3a" localSheetId="19">'IWP18'!$I$25</definedName>
    <definedName name="Std4dot3a" localSheetId="20">'IWP19'!$I$25</definedName>
    <definedName name="Std4dot3a" localSheetId="21">'IWP20'!$I$25</definedName>
    <definedName name="Std4dot3a" localSheetId="22">'IWP21'!$I$25</definedName>
    <definedName name="Std4dot3a" localSheetId="23">'IWP22'!$I$25</definedName>
    <definedName name="Std4dot3a" localSheetId="24">'IWP23'!$I$25</definedName>
    <definedName name="Std4dot3a" localSheetId="25">'IWP24'!$I$25</definedName>
    <definedName name="Std4dot3a" localSheetId="26">'IWP25'!$I$25</definedName>
    <definedName name="Std4dot3a" localSheetId="27">'IWP26'!$I$25</definedName>
    <definedName name="Std4dot3a" localSheetId="28">'IWP27'!$I$25</definedName>
    <definedName name="Std4dot3a" localSheetId="29">'IWP28'!$I$25</definedName>
    <definedName name="Std4dot3a" localSheetId="30">'IWP29'!$I$25</definedName>
    <definedName name="Std4dot3a" localSheetId="31">'IWP30'!$I$25</definedName>
    <definedName name="Std4dot3AB" localSheetId="2">'IWP01'!$AA$29</definedName>
    <definedName name="Std4dot3AB" localSheetId="3">'IWP02'!$AA$29</definedName>
    <definedName name="Std4dot3AB" localSheetId="4">'IWP03'!$AA$29</definedName>
    <definedName name="Std4dot3AB" localSheetId="5">'IWP04'!$AA$29</definedName>
    <definedName name="Std4dot3AB" localSheetId="6">'IWP05'!$AA$29</definedName>
    <definedName name="Std4dot3AB" localSheetId="7">'IWP06'!$AA$29</definedName>
    <definedName name="Std4dot3AB" localSheetId="8">'IWP07'!$AA$29</definedName>
    <definedName name="Std4dot3AB" localSheetId="9">'IWP08'!$AA$29</definedName>
    <definedName name="Std4dot3AB" localSheetId="10">'IWP09'!$AA$29</definedName>
    <definedName name="Std4dot3AB" localSheetId="11">'IWP10'!$AA$29</definedName>
    <definedName name="Std4dot3AB" localSheetId="12">'IWP11'!$AA$29</definedName>
    <definedName name="Std4dot3AB" localSheetId="13">'IWP12'!$AA$29</definedName>
    <definedName name="Std4dot3AB" localSheetId="14">'IWP13'!$AA$29</definedName>
    <definedName name="Std4dot3AB" localSheetId="15">'IWP14'!$AA$29</definedName>
    <definedName name="Std4dot3AB" localSheetId="16">'IWP15'!$AA$29</definedName>
    <definedName name="Std4dot3AB" localSheetId="17">'IWP16'!$AA$29</definedName>
    <definedName name="Std4dot3AB" localSheetId="18">'IWP17'!$AA$29</definedName>
    <definedName name="Std4dot3AB" localSheetId="19">'IWP18'!$AA$29</definedName>
    <definedName name="Std4dot3AB" localSheetId="20">'IWP19'!$AA$29</definedName>
    <definedName name="Std4dot3AB" localSheetId="21">'IWP20'!$AA$29</definedName>
    <definedName name="Std4dot3AB" localSheetId="22">'IWP21'!$AA$29</definedName>
    <definedName name="Std4dot3AB" localSheetId="23">'IWP22'!$AA$29</definedName>
    <definedName name="Std4dot3AB" localSheetId="24">'IWP23'!$AA$29</definedName>
    <definedName name="Std4dot3AB" localSheetId="25">'IWP24'!$AA$29</definedName>
    <definedName name="Std4dot3AB" localSheetId="26">'IWP25'!$AA$29</definedName>
    <definedName name="Std4dot3AB" localSheetId="27">'IWP26'!$AA$29</definedName>
    <definedName name="Std4dot3AB" localSheetId="28">'IWP27'!$AA$29</definedName>
    <definedName name="Std4dot3AB" localSheetId="29">'IWP28'!$AA$29</definedName>
    <definedName name="Std4dot3AB" localSheetId="30">'IWP29'!$AA$29</definedName>
    <definedName name="Std4dot3AB" localSheetId="31">'IWP30'!$AA$29</definedName>
    <definedName name="Std4dot3b" localSheetId="2">'IWP01'!$I$26</definedName>
    <definedName name="Std4dot3b" localSheetId="3">'IWP02'!$I$26</definedName>
    <definedName name="Std4dot3b" localSheetId="4">'IWP03'!$I$26</definedName>
    <definedName name="Std4dot3b" localSheetId="5">'IWP04'!$I$26</definedName>
    <definedName name="Std4dot3b" localSheetId="6">'IWP05'!$I$26</definedName>
    <definedName name="Std4dot3b" localSheetId="7">'IWP06'!$I$26</definedName>
    <definedName name="Std4dot3b" localSheetId="8">'IWP07'!$I$26</definedName>
    <definedName name="Std4dot3b" localSheetId="9">'IWP08'!$I$26</definedName>
    <definedName name="Std4dot3b" localSheetId="10">'IWP09'!$I$26</definedName>
    <definedName name="Std4dot3b" localSheetId="11">'IWP10'!$I$26</definedName>
    <definedName name="Std4dot3b" localSheetId="12">'IWP11'!$I$26</definedName>
    <definedName name="Std4dot3b" localSheetId="13">'IWP12'!$I$26</definedName>
    <definedName name="Std4dot3b" localSheetId="14">'IWP13'!$I$26</definedName>
    <definedName name="Std4dot3b" localSheetId="15">'IWP14'!$I$26</definedName>
    <definedName name="Std4dot3b" localSheetId="16">'IWP15'!$I$26</definedName>
    <definedName name="Std4dot3b" localSheetId="17">'IWP16'!$I$26</definedName>
    <definedName name="Std4dot3b" localSheetId="18">'IWP17'!$I$26</definedName>
    <definedName name="Std4dot3b" localSheetId="19">'IWP18'!$I$26</definedName>
    <definedName name="Std4dot3b" localSheetId="20">'IWP19'!$I$26</definedName>
    <definedName name="Std4dot3b" localSheetId="21">'IWP20'!$I$26</definedName>
    <definedName name="Std4dot3b" localSheetId="22">'IWP21'!$I$26</definedName>
    <definedName name="Std4dot3b" localSheetId="23">'IWP22'!$I$26</definedName>
    <definedName name="Std4dot3b" localSheetId="24">'IWP23'!$I$26</definedName>
    <definedName name="Std4dot3b" localSheetId="25">'IWP24'!$I$26</definedName>
    <definedName name="Std4dot3b" localSheetId="26">'IWP25'!$I$26</definedName>
    <definedName name="Std4dot3b" localSheetId="27">'IWP26'!$I$26</definedName>
    <definedName name="Std4dot3b" localSheetId="28">'IWP27'!$I$26</definedName>
    <definedName name="Std4dot3b" localSheetId="29">'IWP28'!$I$26</definedName>
    <definedName name="Std4dot3b" localSheetId="30">'IWP29'!$I$26</definedName>
    <definedName name="Std4dot3b" localSheetId="31">'IWP30'!$I$26</definedName>
    <definedName name="Std4dot3c" localSheetId="2">'IWP01'!$I$27</definedName>
    <definedName name="Std4dot3c" localSheetId="3">'IWP02'!$I$27</definedName>
    <definedName name="Std4dot3c" localSheetId="4">'IWP03'!$I$27</definedName>
    <definedName name="Std4dot3c" localSheetId="5">'IWP04'!$I$27</definedName>
    <definedName name="Std4dot3c" localSheetId="6">'IWP05'!$I$27</definedName>
    <definedName name="Std4dot3c" localSheetId="7">'IWP06'!$I$27</definedName>
    <definedName name="Std4dot3c" localSheetId="8">'IWP07'!$I$27</definedName>
    <definedName name="Std4dot3c" localSheetId="9">'IWP08'!$I$27</definedName>
    <definedName name="Std4dot3c" localSheetId="10">'IWP09'!$I$27</definedName>
    <definedName name="Std4dot3c" localSheetId="11">'IWP10'!$I$27</definedName>
    <definedName name="Std4dot3c" localSheetId="12">'IWP11'!$I$27</definedName>
    <definedName name="Std4dot3c" localSheetId="13">'IWP12'!$I$27</definedName>
    <definedName name="Std4dot3c" localSheetId="14">'IWP13'!$I$27</definedName>
    <definedName name="Std4dot3c" localSheetId="15">'IWP14'!$I$27</definedName>
    <definedName name="Std4dot3c" localSheetId="16">'IWP15'!$I$27</definedName>
    <definedName name="Std4dot3c" localSheetId="17">'IWP16'!$I$27</definedName>
    <definedName name="Std4dot3c" localSheetId="18">'IWP17'!$I$27</definedName>
    <definedName name="Std4dot3c" localSheetId="19">'IWP18'!$I$27</definedName>
    <definedName name="Std4dot3c" localSheetId="20">'IWP19'!$I$27</definedName>
    <definedName name="Std4dot3c" localSheetId="21">'IWP20'!$I$27</definedName>
    <definedName name="Std4dot3c" localSheetId="22">'IWP21'!$I$27</definedName>
    <definedName name="Std4dot3c" localSheetId="23">'IWP22'!$I$27</definedName>
    <definedName name="Std4dot3c" localSheetId="24">'IWP23'!$I$27</definedName>
    <definedName name="Std4dot3c" localSheetId="25">'IWP24'!$I$27</definedName>
    <definedName name="Std4dot3c" localSheetId="26">'IWP25'!$I$27</definedName>
    <definedName name="Std4dot3c" localSheetId="27">'IWP26'!$I$27</definedName>
    <definedName name="Std4dot3c" localSheetId="28">'IWP27'!$I$27</definedName>
    <definedName name="Std4dot3c" localSheetId="29">'IWP28'!$I$27</definedName>
    <definedName name="Std4dot3c" localSheetId="30">'IWP29'!$I$27</definedName>
    <definedName name="Std4dot3c" localSheetId="31">'IWP30'!$I$27</definedName>
    <definedName name="Std4dot3CD" localSheetId="2">'IWP01'!$AA$30</definedName>
    <definedName name="Std4dot3CD" localSheetId="3">'IWP02'!$AA$30</definedName>
    <definedName name="Std4dot3CD" localSheetId="4">'IWP03'!$AA$30</definedName>
    <definedName name="Std4dot3CD" localSheetId="5">'IWP04'!$AA$30</definedName>
    <definedName name="Std4dot3CD" localSheetId="6">'IWP05'!$AA$30</definedName>
    <definedName name="Std4dot3CD" localSheetId="7">'IWP06'!$AA$30</definedName>
    <definedName name="Std4dot3CD" localSheetId="8">'IWP07'!$AA$30</definedName>
    <definedName name="Std4dot3CD" localSheetId="9">'IWP08'!$AA$30</definedName>
    <definedName name="Std4dot3CD" localSheetId="10">'IWP09'!$AA$30</definedName>
    <definedName name="Std4dot3CD" localSheetId="11">'IWP10'!$AA$30</definedName>
    <definedName name="Std4dot3CD" localSheetId="12">'IWP11'!$AA$30</definedName>
    <definedName name="Std4dot3CD" localSheetId="13">'IWP12'!$AA$30</definedName>
    <definedName name="Std4dot3CD" localSheetId="14">'IWP13'!$AA$30</definedName>
    <definedName name="Std4dot3CD" localSheetId="15">'IWP14'!$AA$30</definedName>
    <definedName name="Std4dot3CD" localSheetId="16">'IWP15'!$AA$30</definedName>
    <definedName name="Std4dot3CD" localSheetId="17">'IWP16'!$AA$30</definedName>
    <definedName name="Std4dot3CD" localSheetId="18">'IWP17'!$AA$30</definedName>
    <definedName name="Std4dot3CD" localSheetId="19">'IWP18'!$AA$30</definedName>
    <definedName name="Std4dot3CD" localSheetId="20">'IWP19'!$AA$30</definedName>
    <definedName name="Std4dot3CD" localSheetId="21">'IWP20'!$AA$30</definedName>
    <definedName name="Std4dot3CD" localSheetId="22">'IWP21'!$AA$30</definedName>
    <definedName name="Std4dot3CD" localSheetId="23">'IWP22'!$AA$30</definedName>
    <definedName name="Std4dot3CD" localSheetId="24">'IWP23'!$AA$30</definedName>
    <definedName name="Std4dot3CD" localSheetId="25">'IWP24'!$AA$30</definedName>
    <definedName name="Std4dot3CD" localSheetId="26">'IWP25'!$AA$30</definedName>
    <definedName name="Std4dot3CD" localSheetId="27">'IWP26'!$AA$30</definedName>
    <definedName name="Std4dot3CD" localSheetId="28">'IWP27'!$AA$30</definedName>
    <definedName name="Std4dot3CD" localSheetId="29">'IWP28'!$AA$30</definedName>
    <definedName name="Std4dot3CD" localSheetId="30">'IWP29'!$AA$30</definedName>
    <definedName name="Std4dot3CD" localSheetId="31">'IWP30'!$AA$30</definedName>
    <definedName name="Std4dot3d" localSheetId="2">'IWP01'!$I$28</definedName>
    <definedName name="Std4dot3d" localSheetId="3">'IWP02'!$I$28</definedName>
    <definedName name="Std4dot3d" localSheetId="4">'IWP03'!$I$28</definedName>
    <definedName name="Std4dot3d" localSheetId="5">'IWP04'!$I$28</definedName>
    <definedName name="Std4dot3d" localSheetId="6">'IWP05'!$I$28</definedName>
    <definedName name="Std4dot3d" localSheetId="7">'IWP06'!$I$28</definedName>
    <definedName name="Std4dot3d" localSheetId="8">'IWP07'!$I$28</definedName>
    <definedName name="Std4dot3d" localSheetId="9">'IWP08'!$I$28</definedName>
    <definedName name="Std4dot3d" localSheetId="10">'IWP09'!$I$28</definedName>
    <definedName name="Std4dot3d" localSheetId="11">'IWP10'!$I$28</definedName>
    <definedName name="Std4dot3d" localSheetId="12">'IWP11'!$I$28</definedName>
    <definedName name="Std4dot3d" localSheetId="13">'IWP12'!$I$28</definedName>
    <definedName name="Std4dot3d" localSheetId="14">'IWP13'!$I$28</definedName>
    <definedName name="Std4dot3d" localSheetId="15">'IWP14'!$I$28</definedName>
    <definedName name="Std4dot3d" localSheetId="16">'IWP15'!$I$28</definedName>
    <definedName name="Std4dot3d" localSheetId="17">'IWP16'!$I$28</definedName>
    <definedName name="Std4dot3d" localSheetId="18">'IWP17'!$I$28</definedName>
    <definedName name="Std4dot3d" localSheetId="19">'IWP18'!$I$28</definedName>
    <definedName name="Std4dot3d" localSheetId="20">'IWP19'!$I$28</definedName>
    <definedName name="Std4dot3d" localSheetId="21">'IWP20'!$I$28</definedName>
    <definedName name="Std4dot3d" localSheetId="22">'IWP21'!$I$28</definedName>
    <definedName name="Std4dot3d" localSheetId="23">'IWP22'!$I$28</definedName>
    <definedName name="Std4dot3d" localSheetId="24">'IWP23'!$I$28</definedName>
    <definedName name="Std4dot3d" localSheetId="25">'IWP24'!$I$28</definedName>
    <definedName name="Std4dot3d" localSheetId="26">'IWP25'!$I$28</definedName>
    <definedName name="Std4dot3d" localSheetId="27">'IWP26'!$I$28</definedName>
    <definedName name="Std4dot3d" localSheetId="28">'IWP27'!$I$28</definedName>
    <definedName name="Std4dot3d" localSheetId="29">'IWP28'!$I$28</definedName>
    <definedName name="Std4dot3d" localSheetId="30">'IWP29'!$I$28</definedName>
    <definedName name="Std4dot3d" localSheetId="31">'IWP30'!$I$28</definedName>
    <definedName name="Std4dot3NotCalc" localSheetId="2">'IWP01'!$I$23</definedName>
    <definedName name="Std4dot3NotCalc" localSheetId="3">'IWP02'!$I$23</definedName>
    <definedName name="Std4dot3NotCalc" localSheetId="4">'IWP03'!$I$23</definedName>
    <definedName name="Std4dot3NotCalc" localSheetId="5">'IWP04'!$I$23</definedName>
    <definedName name="Std4dot3NotCalc" localSheetId="6">'IWP05'!$I$23</definedName>
    <definedName name="Std4dot3NotCalc" localSheetId="7">'IWP06'!$I$23</definedName>
    <definedName name="Std4dot3NotCalc" localSheetId="8">'IWP07'!$I$23</definedName>
    <definedName name="Std4dot3NotCalc" localSheetId="9">'IWP08'!$I$23</definedName>
    <definedName name="Std4dot3NotCalc" localSheetId="10">'IWP09'!$I$23</definedName>
    <definedName name="Std4dot3NotCalc" localSheetId="11">'IWP10'!$I$23</definedName>
    <definedName name="Std4dot3NotCalc" localSheetId="12">'IWP11'!$I$23</definedName>
    <definedName name="Std4dot3NotCalc" localSheetId="13">'IWP12'!$I$23</definedName>
    <definedName name="Std4dot3NotCalc" localSheetId="14">'IWP13'!$I$23</definedName>
    <definedName name="Std4dot3NotCalc" localSheetId="15">'IWP14'!$I$23</definedName>
    <definedName name="Std4dot3NotCalc" localSheetId="16">'IWP15'!$I$23</definedName>
    <definedName name="Std4dot3NotCalc" localSheetId="17">'IWP16'!$I$23</definedName>
    <definedName name="Std4dot3NotCalc" localSheetId="18">'IWP17'!$I$23</definedName>
    <definedName name="Std4dot3NotCalc" localSheetId="19">'IWP18'!$I$23</definedName>
    <definedName name="Std4dot3NotCalc" localSheetId="20">'IWP19'!$I$23</definedName>
    <definedName name="Std4dot3NotCalc" localSheetId="21">'IWP20'!$I$23</definedName>
    <definedName name="Std4dot3NotCalc" localSheetId="22">'IWP21'!$I$23</definedName>
    <definedName name="Std4dot3NotCalc" localSheetId="23">'IWP22'!$I$23</definedName>
    <definedName name="Std4dot3NotCalc" localSheetId="24">'IWP23'!$I$23</definedName>
    <definedName name="Std4dot3NotCalc" localSheetId="25">'IWP24'!$I$23</definedName>
    <definedName name="Std4dot3NotCalc" localSheetId="26">'IWP25'!$I$23</definedName>
    <definedName name="Std4dot3NotCalc" localSheetId="27">'IWP26'!$I$23</definedName>
    <definedName name="Std4dot3NotCalc" localSheetId="28">'IWP27'!$I$23</definedName>
    <definedName name="Std4dot3NotCalc" localSheetId="29">'IWP28'!$I$23</definedName>
    <definedName name="Std4dot3NotCalc" localSheetId="30">'IWP29'!$I$23</definedName>
    <definedName name="Std4dot3NotCalc" localSheetId="31">'IWP30'!$I$23</definedName>
    <definedName name="Std4dot4" localSheetId="2">'IWP01'!$I$36</definedName>
    <definedName name="Std4dot4" localSheetId="3">'IWP02'!$I$36</definedName>
    <definedName name="Std4dot4" localSheetId="4">'IWP03'!$I$36</definedName>
    <definedName name="Std4dot4" localSheetId="5">'IWP04'!$I$36</definedName>
    <definedName name="Std4dot4" localSheetId="6">'IWP05'!$I$36</definedName>
    <definedName name="Std4dot4" localSheetId="7">'IWP06'!$I$36</definedName>
    <definedName name="Std4dot4" localSheetId="8">'IWP07'!$I$36</definedName>
    <definedName name="Std4dot4" localSheetId="9">'IWP08'!$I$36</definedName>
    <definedName name="Std4dot4" localSheetId="10">'IWP09'!$I$36</definedName>
    <definedName name="Std4dot4" localSheetId="11">'IWP10'!$I$36</definedName>
    <definedName name="Std4dot4" localSheetId="12">'IWP11'!$I$36</definedName>
    <definedName name="Std4dot4" localSheetId="13">'IWP12'!$I$36</definedName>
    <definedName name="Std4dot4" localSheetId="14">'IWP13'!$I$36</definedName>
    <definedName name="Std4dot4" localSheetId="15">'IWP14'!$I$36</definedName>
    <definedName name="Std4dot4" localSheetId="16">'IWP15'!$I$36</definedName>
    <definedName name="Std4dot4" localSheetId="17">'IWP16'!$I$36</definedName>
    <definedName name="Std4dot4" localSheetId="18">'IWP17'!$I$36</definedName>
    <definedName name="Std4dot4" localSheetId="19">'IWP18'!$I$36</definedName>
    <definedName name="Std4dot4" localSheetId="20">'IWP19'!$I$36</definedName>
    <definedName name="Std4dot4" localSheetId="21">'IWP20'!$I$36</definedName>
    <definedName name="Std4dot4" localSheetId="22">'IWP21'!$I$36</definedName>
    <definedName name="Std4dot4" localSheetId="23">'IWP22'!$I$36</definedName>
    <definedName name="Std4dot4" localSheetId="24">'IWP23'!$I$36</definedName>
    <definedName name="Std4dot4" localSheetId="25">'IWP24'!$I$36</definedName>
    <definedName name="Std4dot4" localSheetId="26">'IWP25'!$I$36</definedName>
    <definedName name="Std4dot4" localSheetId="27">'IWP26'!$I$36</definedName>
    <definedName name="Std4dot4" localSheetId="28">'IWP27'!$I$36</definedName>
    <definedName name="Std4dot4" localSheetId="29">'IWP28'!$I$36</definedName>
    <definedName name="Std4dot4" localSheetId="30">'IWP29'!$I$36</definedName>
    <definedName name="Std4dot4" localSheetId="31">'IWP30'!$I$36</definedName>
    <definedName name="Std4dot4a" localSheetId="2">'IWP01'!$I$33</definedName>
    <definedName name="Std4dot4a" localSheetId="3">'IWP02'!$I$33</definedName>
    <definedName name="Std4dot4a" localSheetId="4">'IWP03'!$I$33</definedName>
    <definedName name="Std4dot4a" localSheetId="5">'IWP04'!$I$33</definedName>
    <definedName name="Std4dot4a" localSheetId="6">'IWP05'!$I$33</definedName>
    <definedName name="Std4dot4a" localSheetId="7">'IWP06'!$I$33</definedName>
    <definedName name="Std4dot4a" localSheetId="8">'IWP07'!$I$33</definedName>
    <definedName name="Std4dot4a" localSheetId="9">'IWP08'!$I$33</definedName>
    <definedName name="Std4dot4a" localSheetId="10">'IWP09'!$I$33</definedName>
    <definedName name="Std4dot4a" localSheetId="11">'IWP10'!$I$33</definedName>
    <definedName name="Std4dot4a" localSheetId="12">'IWP11'!$I$33</definedName>
    <definedName name="Std4dot4a" localSheetId="13">'IWP12'!$I$33</definedName>
    <definedName name="Std4dot4a" localSheetId="14">'IWP13'!$I$33</definedName>
    <definedName name="Std4dot4a" localSheetId="15">'IWP14'!$I$33</definedName>
    <definedName name="Std4dot4a" localSheetId="16">'IWP15'!$I$33</definedName>
    <definedName name="Std4dot4a" localSheetId="17">'IWP16'!$I$33</definedName>
    <definedName name="Std4dot4a" localSheetId="18">'IWP17'!$I$33</definedName>
    <definedName name="Std4dot4a" localSheetId="19">'IWP18'!$I$33</definedName>
    <definedName name="Std4dot4a" localSheetId="20">'IWP19'!$I$33</definedName>
    <definedName name="Std4dot4a" localSheetId="21">'IWP20'!$I$33</definedName>
    <definedName name="Std4dot4a" localSheetId="22">'IWP21'!$I$33</definedName>
    <definedName name="Std4dot4a" localSheetId="23">'IWP22'!$I$33</definedName>
    <definedName name="Std4dot4a" localSheetId="24">'IWP23'!$I$33</definedName>
    <definedName name="Std4dot4a" localSheetId="25">'IWP24'!$I$33</definedName>
    <definedName name="Std4dot4a" localSheetId="26">'IWP25'!$I$33</definedName>
    <definedName name="Std4dot4a" localSheetId="27">'IWP26'!$I$33</definedName>
    <definedName name="Std4dot4a" localSheetId="28">'IWP27'!$I$33</definedName>
    <definedName name="Std4dot4a" localSheetId="29">'IWP28'!$I$33</definedName>
    <definedName name="Std4dot4a" localSheetId="30">'IWP29'!$I$33</definedName>
    <definedName name="Std4dot4a" localSheetId="31">'IWP30'!$I$33</definedName>
    <definedName name="Std4dot4b" localSheetId="2">'IWP01'!$I$35</definedName>
    <definedName name="Std4dot4b" localSheetId="3">'IWP02'!$I$35</definedName>
    <definedName name="Std4dot4b" localSheetId="4">'IWP03'!$I$35</definedName>
    <definedName name="Std4dot4b" localSheetId="5">'IWP04'!$I$35</definedName>
    <definedName name="Std4dot4b" localSheetId="6">'IWP05'!$I$35</definedName>
    <definedName name="Std4dot4b" localSheetId="7">'IWP06'!$I$35</definedName>
    <definedName name="Std4dot4b" localSheetId="8">'IWP07'!$I$35</definedName>
    <definedName name="Std4dot4b" localSheetId="9">'IWP08'!$I$35</definedName>
    <definedName name="Std4dot4b" localSheetId="10">'IWP09'!$I$35</definedName>
    <definedName name="Std4dot4b" localSheetId="11">'IWP10'!$I$35</definedName>
    <definedName name="Std4dot4b" localSheetId="12">'IWP11'!$I$35</definedName>
    <definedName name="Std4dot4b" localSheetId="13">'IWP12'!$I$35</definedName>
    <definedName name="Std4dot4b" localSheetId="14">'IWP13'!$I$35</definedName>
    <definedName name="Std4dot4b" localSheetId="15">'IWP14'!$I$35</definedName>
    <definedName name="Std4dot4b" localSheetId="16">'IWP15'!$I$35</definedName>
    <definedName name="Std4dot4b" localSheetId="17">'IWP16'!$I$35</definedName>
    <definedName name="Std4dot4b" localSheetId="18">'IWP17'!$I$35</definedName>
    <definedName name="Std4dot4b" localSheetId="19">'IWP18'!$I$35</definedName>
    <definedName name="Std4dot4b" localSheetId="20">'IWP19'!$I$35</definedName>
    <definedName name="Std4dot4b" localSheetId="21">'IWP20'!$I$35</definedName>
    <definedName name="Std4dot4b" localSheetId="22">'IWP21'!$I$35</definedName>
    <definedName name="Std4dot4b" localSheetId="23">'IWP22'!$I$35</definedName>
    <definedName name="Std4dot4b" localSheetId="24">'IWP23'!$I$35</definedName>
    <definedName name="Std4dot4b" localSheetId="25">'IWP24'!$I$35</definedName>
    <definedName name="Std4dot4b" localSheetId="26">'IWP25'!$I$35</definedName>
    <definedName name="Std4dot4b" localSheetId="27">'IWP26'!$I$35</definedName>
    <definedName name="Std4dot4b" localSheetId="28">'IWP27'!$I$35</definedName>
    <definedName name="Std4dot4b" localSheetId="29">'IWP28'!$I$35</definedName>
    <definedName name="Std4dot4b" localSheetId="30">'IWP29'!$I$35</definedName>
    <definedName name="Std4dot4b" localSheetId="31">'IWP30'!$I$35</definedName>
    <definedName name="Std4FirstDayOfSvc" localSheetId="2">'IWP01'!$I$7</definedName>
    <definedName name="Std4FirstDayOfSvc" localSheetId="3">'IWP02'!$I$7</definedName>
    <definedName name="Std4FirstDayOfSvc" localSheetId="4">'IWP03'!$I$7</definedName>
    <definedName name="Std4FirstDayOfSvc" localSheetId="5">'IWP04'!$I$7</definedName>
    <definedName name="Std4FirstDayOfSvc" localSheetId="6">'IWP05'!$I$7</definedName>
    <definedName name="Std4FirstDayOfSvc" localSheetId="7">'IWP06'!$I$7</definedName>
    <definedName name="Std4FirstDayOfSvc" localSheetId="8">'IWP07'!$I$7</definedName>
    <definedName name="Std4FirstDayOfSvc" localSheetId="9">'IWP08'!$I$7</definedName>
    <definedName name="Std4FirstDayOfSvc" localSheetId="10">'IWP09'!$I$7</definedName>
    <definedName name="Std4FirstDayOfSvc" localSheetId="11">'IWP10'!$I$7</definedName>
    <definedName name="Std4FirstDayOfSvc" localSheetId="12">'IWP11'!$I$7</definedName>
    <definedName name="Std4FirstDayOfSvc" localSheetId="13">'IWP12'!$I$7</definedName>
    <definedName name="Std4FirstDayOfSvc" localSheetId="14">'IWP13'!$I$7</definedName>
    <definedName name="Std4FirstDayOfSvc" localSheetId="15">'IWP14'!$I$7</definedName>
    <definedName name="Std4FirstDayOfSvc" localSheetId="16">'IWP15'!$I$7</definedName>
    <definedName name="Std4FirstDayOfSvc" localSheetId="17">'IWP16'!$I$7</definedName>
    <definedName name="Std4FirstDayOfSvc" localSheetId="18">'IWP17'!$I$7</definedName>
    <definedName name="Std4FirstDayOfSvc" localSheetId="19">'IWP18'!$I$7</definedName>
    <definedName name="Std4FirstDayOfSvc" localSheetId="20">'IWP19'!$I$7</definedName>
    <definedName name="Std4FirstDayOfSvc" localSheetId="21">'IWP20'!$I$7</definedName>
    <definedName name="Std4FirstDayOfSvc" localSheetId="22">'IWP21'!$I$7</definedName>
    <definedName name="Std4FirstDayOfSvc" localSheetId="23">'IWP22'!$I$7</definedName>
    <definedName name="Std4FirstDayOfSvc" localSheetId="24">'IWP23'!$I$7</definedName>
    <definedName name="Std4FirstDayOfSvc" localSheetId="25">'IWP24'!$I$7</definedName>
    <definedName name="Std4FirstDayOfSvc" localSheetId="26">'IWP25'!$I$7</definedName>
    <definedName name="Std4FirstDayOfSvc" localSheetId="27">'IWP26'!$I$7</definedName>
    <definedName name="Std4FirstDayOfSvc" localSheetId="28">'IWP27'!$I$7</definedName>
    <definedName name="Std4FirstDayOfSvc" localSheetId="29">'IWP28'!$I$7</definedName>
    <definedName name="Std4FirstDayOfSvc" localSheetId="30">'IWP29'!$I$7</definedName>
    <definedName name="Std4FirstDayOfSvc" localSheetId="31">'IWP30'!$I$7</definedName>
    <definedName name="Std4ReferralDate" localSheetId="2">'IWP01'!$D$6</definedName>
    <definedName name="Std4ReferralDate" localSheetId="3">'IWP02'!$D$6</definedName>
    <definedName name="Std4ReferralDate" localSheetId="4">'IWP03'!$D$6</definedName>
    <definedName name="Std4ReferralDate" localSheetId="5">'IWP04'!$D$6</definedName>
    <definedName name="Std4ReferralDate" localSheetId="6">'IWP05'!$D$6</definedName>
    <definedName name="Std4ReferralDate" localSheetId="7">'IWP06'!$D$6</definedName>
    <definedName name="Std4ReferralDate" localSheetId="8">'IWP07'!$D$6</definedName>
    <definedName name="Std4ReferralDate" localSheetId="9">'IWP08'!$D$6</definedName>
    <definedName name="Std4ReferralDate" localSheetId="10">'IWP09'!$D$6</definedName>
    <definedName name="Std4ReferralDate" localSheetId="11">'IWP10'!$D$6</definedName>
    <definedName name="Std4ReferralDate" localSheetId="12">'IWP11'!$D$6</definedName>
    <definedName name="Std4ReferralDate" localSheetId="13">'IWP12'!$D$6</definedName>
    <definedName name="Std4ReferralDate" localSheetId="14">'IWP13'!$D$6</definedName>
    <definedName name="Std4ReferralDate" localSheetId="15">'IWP14'!$D$6</definedName>
    <definedName name="Std4ReferralDate" localSheetId="16">'IWP15'!$D$6</definedName>
    <definedName name="Std4ReferralDate" localSheetId="17">'IWP16'!$D$6</definedName>
    <definedName name="Std4ReferralDate" localSheetId="18">'IWP17'!$D$6</definedName>
    <definedName name="Std4ReferralDate" localSheetId="19">'IWP18'!$D$6</definedName>
    <definedName name="Std4ReferralDate" localSheetId="20">'IWP19'!$D$6</definedName>
    <definedName name="Std4ReferralDate" localSheetId="21">'IWP20'!$D$6</definedName>
    <definedName name="Std4ReferralDate" localSheetId="22">'IWP21'!$D$6</definedName>
    <definedName name="Std4ReferralDate" localSheetId="23">'IWP22'!$D$6</definedName>
    <definedName name="Std4ReferralDate" localSheetId="24">'IWP23'!$D$6</definedName>
    <definedName name="Std4ReferralDate" localSheetId="25">'IWP24'!$D$6</definedName>
    <definedName name="Std4ReferralDate" localSheetId="26">'IWP25'!$D$6</definedName>
    <definedName name="Std4ReferralDate" localSheetId="27">'IWP26'!$D$6</definedName>
    <definedName name="Std4ReferralDate" localSheetId="28">'IWP27'!$D$6</definedName>
    <definedName name="Std4ReferralDate" localSheetId="29">'IWP28'!$D$6</definedName>
    <definedName name="Std4ReferralDate" localSheetId="30">'IWP29'!$D$6</definedName>
    <definedName name="Std4ReferralDate" localSheetId="31">'IWP30'!$D$6</definedName>
    <definedName name="Std5_Min_EF" localSheetId="2">'IWP01'!$K$8</definedName>
    <definedName name="Std5_Min_EF" localSheetId="3">'IWP02'!$K$8</definedName>
    <definedName name="Std5_Min_EF" localSheetId="4">'IWP03'!$K$8</definedName>
    <definedName name="Std5_Min_EF" localSheetId="5">'IWP04'!$K$8</definedName>
    <definedName name="Std5_Min_EF" localSheetId="6">'IWP05'!$K$8</definedName>
    <definedName name="Std5_Min_EF" localSheetId="7">'IWP06'!$K$8</definedName>
    <definedName name="Std5_Min_EF" localSheetId="8">'IWP07'!$K$8</definedName>
    <definedName name="Std5_Min_EF" localSheetId="9">'IWP08'!$K$8</definedName>
    <definedName name="Std5_Min_EF" localSheetId="10">'IWP09'!$K$8</definedName>
    <definedName name="Std5_Min_EF" localSheetId="11">'IWP10'!$K$8</definedName>
    <definedName name="Std5_Min_EF" localSheetId="12">'IWP11'!$K$8</definedName>
    <definedName name="Std5_Min_EF" localSheetId="13">'IWP12'!$K$8</definedName>
    <definedName name="Std5_Min_EF" localSheetId="14">'IWP13'!$K$8</definedName>
    <definedName name="Std5_Min_EF" localSheetId="15">'IWP14'!$K$8</definedName>
    <definedName name="Std5_Min_EF" localSheetId="16">'IWP15'!$K$8</definedName>
    <definedName name="Std5_Min_EF" localSheetId="17">'IWP16'!$K$8</definedName>
    <definedName name="Std5_Min_EF" localSheetId="18">'IWP17'!$K$8</definedName>
    <definedName name="Std5_Min_EF" localSheetId="19">'IWP18'!$K$8</definedName>
    <definedName name="Std5_Min_EF" localSheetId="20">'IWP19'!$K$8</definedName>
    <definedName name="Std5_Min_EF" localSheetId="21">'IWP20'!$K$8</definedName>
    <definedName name="Std5_Min_EF" localSheetId="22">'IWP21'!$K$8</definedName>
    <definedName name="Std5_Min_EF" localSheetId="23">'IWP22'!$K$8</definedName>
    <definedName name="Std5_Min_EF" localSheetId="24">'IWP23'!$K$8</definedName>
    <definedName name="Std5_Min_EF" localSheetId="25">'IWP24'!$K$8</definedName>
    <definedName name="Std5_Min_EF" localSheetId="26">'IWP25'!$K$8</definedName>
    <definedName name="Std5_Min_EF" localSheetId="27">'IWP26'!$K$8</definedName>
    <definedName name="Std5_Min_EF" localSheetId="28">'IWP27'!$K$8</definedName>
    <definedName name="Std5_Min_EF" localSheetId="29">'IWP28'!$K$8</definedName>
    <definedName name="Std5_Min_EF" localSheetId="30">'IWP29'!$K$8</definedName>
    <definedName name="Std5_Min_EF" localSheetId="31">'IWP30'!$K$8</definedName>
    <definedName name="Std5dot1" localSheetId="2">'IWP01'!$I$42</definedName>
    <definedName name="Std5dot1" localSheetId="3">'IWP02'!$I$42</definedName>
    <definedName name="Std5dot1" localSheetId="4">'IWP03'!$I$42</definedName>
    <definedName name="Std5dot1" localSheetId="5">'IWP04'!$I$42</definedName>
    <definedName name="Std5dot1" localSheetId="6">'IWP05'!$I$42</definedName>
    <definedName name="Std5dot1" localSheetId="7">'IWP06'!$I$42</definedName>
    <definedName name="Std5dot1" localSheetId="8">'IWP07'!$I$42</definedName>
    <definedName name="Std5dot1" localSheetId="9">'IWP08'!$I$42</definedName>
    <definedName name="Std5dot1" localSheetId="10">'IWP09'!$I$42</definedName>
    <definedName name="Std5dot1" localSheetId="11">'IWP10'!$I$42</definedName>
    <definedName name="Std5dot1" localSheetId="12">'IWP11'!$I$42</definedName>
    <definedName name="Std5dot1" localSheetId="13">'IWP12'!$I$42</definedName>
    <definedName name="Std5dot1" localSheetId="14">'IWP13'!$I$42</definedName>
    <definedName name="Std5dot1" localSheetId="15">'IWP14'!$I$42</definedName>
    <definedName name="Std5dot1" localSheetId="16">'IWP15'!$I$42</definedName>
    <definedName name="Std5dot1" localSheetId="17">'IWP16'!$I$42</definedName>
    <definedName name="Std5dot1" localSheetId="18">'IWP17'!$I$42</definedName>
    <definedName name="Std5dot1" localSheetId="19">'IWP18'!$I$42</definedName>
    <definedName name="Std5dot1" localSheetId="20">'IWP19'!$I$42</definedName>
    <definedName name="Std5dot1" localSheetId="21">'IWP20'!$I$42</definedName>
    <definedName name="Std5dot1" localSheetId="22">'IWP21'!$I$42</definedName>
    <definedName name="Std5dot1" localSheetId="23">'IWP22'!$I$42</definedName>
    <definedName name="Std5dot1" localSheetId="24">'IWP23'!$I$42</definedName>
    <definedName name="Std5dot1" localSheetId="25">'IWP24'!$I$42</definedName>
    <definedName name="Std5dot1" localSheetId="26">'IWP25'!$I$42</definedName>
    <definedName name="Std5dot1" localSheetId="27">'IWP26'!$I$42</definedName>
    <definedName name="Std5dot1" localSheetId="28">'IWP27'!$I$42</definedName>
    <definedName name="Std5dot1" localSheetId="29">'IWP28'!$I$42</definedName>
    <definedName name="Std5dot1" localSheetId="30">'IWP29'!$I$42</definedName>
    <definedName name="Std5dot1" localSheetId="31">'IWP30'!$I$42</definedName>
    <definedName name="Std5dot1">#REF!</definedName>
    <definedName name="Std5dot2" localSheetId="2">'IWP01'!$I$46</definedName>
    <definedName name="Std5dot2" localSheetId="3">'IWP02'!$I$46</definedName>
    <definedName name="Std5dot2" localSheetId="4">'IWP03'!$I$46</definedName>
    <definedName name="Std5dot2" localSheetId="5">'IWP04'!$I$46</definedName>
    <definedName name="Std5dot2" localSheetId="6">'IWP05'!$I$46</definedName>
    <definedName name="Std5dot2" localSheetId="7">'IWP06'!$I$46</definedName>
    <definedName name="Std5dot2" localSheetId="8">'IWP07'!$I$46</definedName>
    <definedName name="Std5dot2" localSheetId="9">'IWP08'!$I$46</definedName>
    <definedName name="Std5dot2" localSheetId="10">'IWP09'!$I$46</definedName>
    <definedName name="Std5dot2" localSheetId="11">'IWP10'!$I$46</definedName>
    <definedName name="Std5dot2" localSheetId="12">'IWP11'!$I$46</definedName>
    <definedName name="Std5dot2" localSheetId="13">'IWP12'!$I$46</definedName>
    <definedName name="Std5dot2" localSheetId="14">'IWP13'!$I$46</definedName>
    <definedName name="Std5dot2" localSheetId="15">'IWP14'!$I$46</definedName>
    <definedName name="Std5dot2" localSheetId="16">'IWP15'!$I$46</definedName>
    <definedName name="Std5dot2" localSheetId="17">'IWP16'!$I$46</definedName>
    <definedName name="Std5dot2" localSheetId="18">'IWP17'!$I$46</definedName>
    <definedName name="Std5dot2" localSheetId="19">'IWP18'!$I$46</definedName>
    <definedName name="Std5dot2" localSheetId="20">'IWP19'!$I$46</definedName>
    <definedName name="Std5dot2" localSheetId="21">'IWP20'!$I$46</definedName>
    <definedName name="Std5dot2" localSheetId="22">'IWP21'!$I$46</definedName>
    <definedName name="Std5dot2" localSheetId="23">'IWP22'!$I$46</definedName>
    <definedName name="Std5dot2" localSheetId="24">'IWP23'!$I$46</definedName>
    <definedName name="Std5dot2" localSheetId="25">'IWP24'!$I$46</definedName>
    <definedName name="Std5dot2" localSheetId="26">'IWP25'!$I$46</definedName>
    <definedName name="Std5dot2" localSheetId="27">'IWP26'!$I$46</definedName>
    <definedName name="Std5dot2" localSheetId="28">'IWP27'!$I$46</definedName>
    <definedName name="Std5dot2" localSheetId="29">'IWP28'!$I$46</definedName>
    <definedName name="Std5dot2" localSheetId="30">'IWP29'!$I$46</definedName>
    <definedName name="Std5dot2" localSheetId="31">'IWP30'!$I$46</definedName>
    <definedName name="Std5dot2">#REF!</definedName>
    <definedName name="Std5dot2Mo1Ans" localSheetId="2">'IWP01'!$C$45</definedName>
    <definedName name="Std5dot2Mo1Ans" localSheetId="3">'IWP02'!$C$45</definedName>
    <definedName name="Std5dot2Mo1Ans" localSheetId="4">'IWP03'!$C$45</definedName>
    <definedName name="Std5dot2Mo1Ans" localSheetId="5">'IWP04'!$C$45</definedName>
    <definedName name="Std5dot2Mo1Ans" localSheetId="6">'IWP05'!$C$45</definedName>
    <definedName name="Std5dot2Mo1Ans" localSheetId="7">'IWP06'!$C$45</definedName>
    <definedName name="Std5dot2Mo1Ans" localSheetId="8">'IWP07'!$C$45</definedName>
    <definedName name="Std5dot2Mo1Ans" localSheetId="9">'IWP08'!$C$45</definedName>
    <definedName name="Std5dot2Mo1Ans" localSheetId="10">'IWP09'!$C$45</definedName>
    <definedName name="Std5dot2Mo1Ans" localSheetId="11">'IWP10'!$C$45</definedName>
    <definedName name="Std5dot2Mo1Ans" localSheetId="12">'IWP11'!$C$45</definedName>
    <definedName name="Std5dot2Mo1Ans" localSheetId="13">'IWP12'!$C$45</definedName>
    <definedName name="Std5dot2Mo1Ans" localSheetId="14">'IWP13'!$C$45</definedName>
    <definedName name="Std5dot2Mo1Ans" localSheetId="15">'IWP14'!$C$45</definedName>
    <definedName name="Std5dot2Mo1Ans" localSheetId="16">'IWP15'!$C$45</definedName>
    <definedName name="Std5dot2Mo1Ans" localSheetId="17">'IWP16'!$C$45</definedName>
    <definedName name="Std5dot2Mo1Ans" localSheetId="18">'IWP17'!$C$45</definedName>
    <definedName name="Std5dot2Mo1Ans" localSheetId="19">'IWP18'!$C$45</definedName>
    <definedName name="Std5dot2Mo1Ans" localSheetId="20">'IWP19'!$C$45</definedName>
    <definedName name="Std5dot2Mo1Ans" localSheetId="21">'IWP20'!$C$45</definedName>
    <definedName name="Std5dot2Mo1Ans" localSheetId="22">'IWP21'!$C$45</definedName>
    <definedName name="Std5dot2Mo1Ans" localSheetId="23">'IWP22'!$C$45</definedName>
    <definedName name="Std5dot2Mo1Ans" localSheetId="24">'IWP23'!$C$45</definedName>
    <definedName name="Std5dot2Mo1Ans" localSheetId="25">'IWP24'!$C$45</definedName>
    <definedName name="Std5dot2Mo1Ans" localSheetId="26">'IWP25'!$C$45</definedName>
    <definedName name="Std5dot2Mo1Ans" localSheetId="27">'IWP26'!$C$45</definedName>
    <definedName name="Std5dot2Mo1Ans" localSheetId="28">'IWP27'!$C$45</definedName>
    <definedName name="Std5dot2Mo1Ans" localSheetId="29">'IWP28'!$C$45</definedName>
    <definedName name="Std5dot2Mo1Ans" localSheetId="30">'IWP29'!$C$45</definedName>
    <definedName name="Std5dot2Mo1Ans" localSheetId="31">'IWP30'!$C$45</definedName>
    <definedName name="Std5dot2Mo1Ans">#REF!</definedName>
    <definedName name="Std5dot2Mo1Date" localSheetId="2">'IWP01'!$E$45</definedName>
    <definedName name="Std5dot2Mo1Date" localSheetId="3">'IWP02'!$E$45</definedName>
    <definedName name="Std5dot2Mo1Date" localSheetId="4">'IWP03'!$E$45</definedName>
    <definedName name="Std5dot2Mo1Date" localSheetId="5">'IWP04'!$E$45</definedName>
    <definedName name="Std5dot2Mo1Date" localSheetId="6">'IWP05'!$E$45</definedName>
    <definedName name="Std5dot2Mo1Date" localSheetId="7">'IWP06'!$E$45</definedName>
    <definedName name="Std5dot2Mo1Date" localSheetId="8">'IWP07'!$E$45</definedName>
    <definedName name="Std5dot2Mo1Date" localSheetId="9">'IWP08'!$E$45</definedName>
    <definedName name="Std5dot2Mo1Date" localSheetId="10">'IWP09'!$E$45</definedName>
    <definedName name="Std5dot2Mo1Date" localSheetId="11">'IWP10'!$E$45</definedName>
    <definedName name="Std5dot2Mo1Date" localSheetId="12">'IWP11'!$E$45</definedName>
    <definedName name="Std5dot2Mo1Date" localSheetId="13">'IWP12'!$E$45</definedName>
    <definedName name="Std5dot2Mo1Date" localSheetId="14">'IWP13'!$E$45</definedName>
    <definedName name="Std5dot2Mo1Date" localSheetId="15">'IWP14'!$E$45</definedName>
    <definedName name="Std5dot2Mo1Date" localSheetId="16">'IWP15'!$E$45</definedName>
    <definedName name="Std5dot2Mo1Date" localSheetId="17">'IWP16'!$E$45</definedName>
    <definedName name="Std5dot2Mo1Date" localSheetId="18">'IWP17'!$E$45</definedName>
    <definedName name="Std5dot2Mo1Date" localSheetId="19">'IWP18'!$E$45</definedName>
    <definedName name="Std5dot2Mo1Date" localSheetId="20">'IWP19'!$E$45</definedName>
    <definedName name="Std5dot2Mo1Date" localSheetId="21">'IWP20'!$E$45</definedName>
    <definedName name="Std5dot2Mo1Date" localSheetId="22">'IWP21'!$E$45</definedName>
    <definedName name="Std5dot2Mo1Date" localSheetId="23">'IWP22'!$E$45</definedName>
    <definedName name="Std5dot2Mo1Date" localSheetId="24">'IWP23'!$E$45</definedName>
    <definedName name="Std5dot2Mo1Date" localSheetId="25">'IWP24'!$E$45</definedName>
    <definedName name="Std5dot2Mo1Date" localSheetId="26">'IWP25'!$E$45</definedName>
    <definedName name="Std5dot2Mo1Date" localSheetId="27">'IWP26'!$E$45</definedName>
    <definedName name="Std5dot2Mo1Date" localSheetId="28">'IWP27'!$E$45</definedName>
    <definedName name="Std5dot2Mo1Date" localSheetId="29">'IWP28'!$E$45</definedName>
    <definedName name="Std5dot2Mo1Date" localSheetId="30">'IWP29'!$E$45</definedName>
    <definedName name="Std5dot2Mo1Date" localSheetId="31">'IWP30'!$E$45</definedName>
    <definedName name="Std5dot2Mo1Date">#REF!</definedName>
    <definedName name="Std5dot2Mo2Ans" localSheetId="2">'IWP01'!$H$45</definedName>
    <definedName name="Std5dot2Mo2Ans" localSheetId="3">'IWP02'!$H$45</definedName>
    <definedName name="Std5dot2Mo2Ans" localSheetId="4">'IWP03'!$H$45</definedName>
    <definedName name="Std5dot2Mo2Ans" localSheetId="5">'IWP04'!$H$45</definedName>
    <definedName name="Std5dot2Mo2Ans" localSheetId="6">'IWP05'!$H$45</definedName>
    <definedName name="Std5dot2Mo2Ans" localSheetId="7">'IWP06'!$H$45</definedName>
    <definedName name="Std5dot2Mo2Ans" localSheetId="8">'IWP07'!$H$45</definedName>
    <definedName name="Std5dot2Mo2Ans" localSheetId="9">'IWP08'!$H$45</definedName>
    <definedName name="Std5dot2Mo2Ans" localSheetId="10">'IWP09'!$H$45</definedName>
    <definedName name="Std5dot2Mo2Ans" localSheetId="11">'IWP10'!$H$45</definedName>
    <definedName name="Std5dot2Mo2Ans" localSheetId="12">'IWP11'!$H$45</definedName>
    <definedName name="Std5dot2Mo2Ans" localSheetId="13">'IWP12'!$H$45</definedName>
    <definedName name="Std5dot2Mo2Ans" localSheetId="14">'IWP13'!$H$45</definedName>
    <definedName name="Std5dot2Mo2Ans" localSheetId="15">'IWP14'!$H$45</definedName>
    <definedName name="Std5dot2Mo2Ans" localSheetId="16">'IWP15'!$H$45</definedName>
    <definedName name="Std5dot2Mo2Ans" localSheetId="17">'IWP16'!$H$45</definedName>
    <definedName name="Std5dot2Mo2Ans" localSheetId="18">'IWP17'!$H$45</definedName>
    <definedName name="Std5dot2Mo2Ans" localSheetId="19">'IWP18'!$H$45</definedName>
    <definedName name="Std5dot2Mo2Ans" localSheetId="20">'IWP19'!$H$45</definedName>
    <definedName name="Std5dot2Mo2Ans" localSheetId="21">'IWP20'!$H$45</definedName>
    <definedName name="Std5dot2Mo2Ans" localSheetId="22">'IWP21'!$H$45</definedName>
    <definedName name="Std5dot2Mo2Ans" localSheetId="23">'IWP22'!$H$45</definedName>
    <definedName name="Std5dot2Mo2Ans" localSheetId="24">'IWP23'!$H$45</definedName>
    <definedName name="Std5dot2Mo2Ans" localSheetId="25">'IWP24'!$H$45</definedName>
    <definedName name="Std5dot2Mo2Ans" localSheetId="26">'IWP25'!$H$45</definedName>
    <definedName name="Std5dot2Mo2Ans" localSheetId="27">'IWP26'!$H$45</definedName>
    <definedName name="Std5dot2Mo2Ans" localSheetId="28">'IWP27'!$H$45</definedName>
    <definedName name="Std5dot2Mo2Ans" localSheetId="29">'IWP28'!$H$45</definedName>
    <definedName name="Std5dot2Mo2Ans" localSheetId="30">'IWP29'!$H$45</definedName>
    <definedName name="Std5dot2Mo2Ans" localSheetId="31">'IWP30'!$H$45</definedName>
    <definedName name="Std5dot2Mo2Ans">#REF!</definedName>
    <definedName name="Std5dot2Mo2Date" localSheetId="2">'IWP01'!$J$45</definedName>
    <definedName name="Std5dot2Mo2Date" localSheetId="3">'IWP02'!$J$45</definedName>
    <definedName name="Std5dot2Mo2Date" localSheetId="4">'IWP03'!$J$45</definedName>
    <definedName name="Std5dot2Mo2Date" localSheetId="5">'IWP04'!$J$45</definedName>
    <definedName name="Std5dot2Mo2Date" localSheetId="6">'IWP05'!$J$45</definedName>
    <definedName name="Std5dot2Mo2Date" localSheetId="7">'IWP06'!$J$45</definedName>
    <definedName name="Std5dot2Mo2Date" localSheetId="8">'IWP07'!$J$45</definedName>
    <definedName name="Std5dot2Mo2Date" localSheetId="9">'IWP08'!$J$45</definedName>
    <definedName name="Std5dot2Mo2Date" localSheetId="10">'IWP09'!$J$45</definedName>
    <definedName name="Std5dot2Mo2Date" localSheetId="11">'IWP10'!$J$45</definedName>
    <definedName name="Std5dot2Mo2Date" localSheetId="12">'IWP11'!$J$45</definedName>
    <definedName name="Std5dot2Mo2Date" localSheetId="13">'IWP12'!$J$45</definedName>
    <definedName name="Std5dot2Mo2Date" localSheetId="14">'IWP13'!$J$45</definedName>
    <definedName name="Std5dot2Mo2Date" localSheetId="15">'IWP14'!$J$45</definedName>
    <definedName name="Std5dot2Mo2Date" localSheetId="16">'IWP15'!$J$45</definedName>
    <definedName name="Std5dot2Mo2Date" localSheetId="17">'IWP16'!$J$45</definedName>
    <definedName name="Std5dot2Mo2Date" localSheetId="18">'IWP17'!$J$45</definedName>
    <definedName name="Std5dot2Mo2Date" localSheetId="19">'IWP18'!$J$45</definedName>
    <definedName name="Std5dot2Mo2Date" localSheetId="20">'IWP19'!$J$45</definedName>
    <definedName name="Std5dot2Mo2Date" localSheetId="21">'IWP20'!$J$45</definedName>
    <definedName name="Std5dot2Mo2Date" localSheetId="22">'IWP21'!$J$45</definedName>
    <definedName name="Std5dot2Mo2Date" localSheetId="23">'IWP22'!$J$45</definedName>
    <definedName name="Std5dot2Mo2Date" localSheetId="24">'IWP23'!$J$45</definedName>
    <definedName name="Std5dot2Mo2Date" localSheetId="25">'IWP24'!$J$45</definedName>
    <definedName name="Std5dot2Mo2Date" localSheetId="26">'IWP25'!$J$45</definedName>
    <definedName name="Std5dot2Mo2Date" localSheetId="27">'IWP26'!$J$45</definedName>
    <definedName name="Std5dot2Mo2Date" localSheetId="28">'IWP27'!$J$45</definedName>
    <definedName name="Std5dot2Mo2Date" localSheetId="29">'IWP28'!$J$45</definedName>
    <definedName name="Std5dot2Mo2Date" localSheetId="30">'IWP29'!$J$45</definedName>
    <definedName name="Std5dot2Mo2Date" localSheetId="31">'IWP30'!$J$45</definedName>
    <definedName name="Std5dot2Mo2Date">#REF!</definedName>
    <definedName name="Std5dot3" localSheetId="2">'IWP01'!$I$50</definedName>
    <definedName name="Std5dot3" localSheetId="3">'IWP02'!$I$50</definedName>
    <definedName name="Std5dot3" localSheetId="4">'IWP03'!$I$50</definedName>
    <definedName name="Std5dot3" localSheetId="5">'IWP04'!$I$50</definedName>
    <definedName name="Std5dot3" localSheetId="6">'IWP05'!$I$50</definedName>
    <definedName name="Std5dot3" localSheetId="7">'IWP06'!$I$50</definedName>
    <definedName name="Std5dot3" localSheetId="8">'IWP07'!$I$50</definedName>
    <definedName name="Std5dot3" localSheetId="9">'IWP08'!$I$50</definedName>
    <definedName name="Std5dot3" localSheetId="10">'IWP09'!$I$50</definedName>
    <definedName name="Std5dot3" localSheetId="11">'IWP10'!$I$50</definedName>
    <definedName name="Std5dot3" localSheetId="12">'IWP11'!$I$50</definedName>
    <definedName name="Std5dot3" localSheetId="13">'IWP12'!$I$50</definedName>
    <definedName name="Std5dot3" localSheetId="14">'IWP13'!$I$50</definedName>
    <definedName name="Std5dot3" localSheetId="15">'IWP14'!$I$50</definedName>
    <definedName name="Std5dot3" localSheetId="16">'IWP15'!$I$50</definedName>
    <definedName name="Std5dot3" localSheetId="17">'IWP16'!$I$50</definedName>
    <definedName name="Std5dot3" localSheetId="18">'IWP17'!$I$50</definedName>
    <definedName name="Std5dot3" localSheetId="19">'IWP18'!$I$50</definedName>
    <definedName name="Std5dot3" localSheetId="20">'IWP19'!$I$50</definedName>
    <definedName name="Std5dot3" localSheetId="21">'IWP20'!$I$50</definedName>
    <definedName name="Std5dot3" localSheetId="22">'IWP21'!$I$50</definedName>
    <definedName name="Std5dot3" localSheetId="23">'IWP22'!$I$50</definedName>
    <definedName name="Std5dot3" localSheetId="24">'IWP23'!$I$50</definedName>
    <definedName name="Std5dot3" localSheetId="25">'IWP24'!$I$50</definedName>
    <definedName name="Std5dot3" localSheetId="26">'IWP25'!$I$50</definedName>
    <definedName name="Std5dot3" localSheetId="27">'IWP26'!$I$50</definedName>
    <definedName name="Std5dot3" localSheetId="28">'IWP27'!$I$50</definedName>
    <definedName name="Std5dot3" localSheetId="29">'IWP28'!$I$50</definedName>
    <definedName name="Std5dot3" localSheetId="30">'IWP29'!$I$50</definedName>
    <definedName name="Std5dot3" localSheetId="31">'IWP30'!$I$50</definedName>
    <definedName name="Std5dot3">#REF!</definedName>
    <definedName name="Std5dot3Mo1Ans" localSheetId="2">'IWP01'!$C$49</definedName>
    <definedName name="Std5dot3Mo1Ans" localSheetId="3">'IWP02'!$C$49</definedName>
    <definedName name="Std5dot3Mo1Ans" localSheetId="4">'IWP03'!$C$49</definedName>
    <definedName name="Std5dot3Mo1Ans" localSheetId="5">'IWP04'!$C$49</definedName>
    <definedName name="Std5dot3Mo1Ans" localSheetId="6">'IWP05'!$C$49</definedName>
    <definedName name="Std5dot3Mo1Ans" localSheetId="7">'IWP06'!$C$49</definedName>
    <definedName name="Std5dot3Mo1Ans" localSheetId="8">'IWP07'!$C$49</definedName>
    <definedName name="Std5dot3Mo1Ans" localSheetId="9">'IWP08'!$C$49</definedName>
    <definedName name="Std5dot3Mo1Ans" localSheetId="10">'IWP09'!$C$49</definedName>
    <definedName name="Std5dot3Mo1Ans" localSheetId="11">'IWP10'!$C$49</definedName>
    <definedName name="Std5dot3Mo1Ans" localSheetId="12">'IWP11'!$C$49</definedName>
    <definedName name="Std5dot3Mo1Ans" localSheetId="13">'IWP12'!$C$49</definedName>
    <definedName name="Std5dot3Mo1Ans" localSheetId="14">'IWP13'!$C$49</definedName>
    <definedName name="Std5dot3Mo1Ans" localSheetId="15">'IWP14'!$C$49</definedName>
    <definedName name="Std5dot3Mo1Ans" localSheetId="16">'IWP15'!$C$49</definedName>
    <definedName name="Std5dot3Mo1Ans" localSheetId="17">'IWP16'!$C$49</definedName>
    <definedName name="Std5dot3Mo1Ans" localSheetId="18">'IWP17'!$C$49</definedName>
    <definedName name="Std5dot3Mo1Ans" localSheetId="19">'IWP18'!$C$49</definedName>
    <definedName name="Std5dot3Mo1Ans" localSheetId="20">'IWP19'!$C$49</definedName>
    <definedName name="Std5dot3Mo1Ans" localSheetId="21">'IWP20'!$C$49</definedName>
    <definedName name="Std5dot3Mo1Ans" localSheetId="22">'IWP21'!$C$49</definedName>
    <definedName name="Std5dot3Mo1Ans" localSheetId="23">'IWP22'!$C$49</definedName>
    <definedName name="Std5dot3Mo1Ans" localSheetId="24">'IWP23'!$C$49</definedName>
    <definedName name="Std5dot3Mo1Ans" localSheetId="25">'IWP24'!$C$49</definedName>
    <definedName name="Std5dot3Mo1Ans" localSheetId="26">'IWP25'!$C$49</definedName>
    <definedName name="Std5dot3Mo1Ans" localSheetId="27">'IWP26'!$C$49</definedName>
    <definedName name="Std5dot3Mo1Ans" localSheetId="28">'IWP27'!$C$49</definedName>
    <definedName name="Std5dot3Mo1Ans" localSheetId="29">'IWP28'!$C$49</definedName>
    <definedName name="Std5dot3Mo1Ans" localSheetId="30">'IWP29'!$C$49</definedName>
    <definedName name="Std5dot3Mo1Ans" localSheetId="31">'IWP30'!$C$49</definedName>
    <definedName name="Std5dot3Mo1Ans">#REF!</definedName>
    <definedName name="Std5dot3Mo1Date" localSheetId="2">'IWP01'!$E$49</definedName>
    <definedName name="Std5dot3Mo1Date" localSheetId="3">'IWP02'!$E$49</definedName>
    <definedName name="Std5dot3Mo1Date" localSheetId="4">'IWP03'!$E$49</definedName>
    <definedName name="Std5dot3Mo1Date" localSheetId="5">'IWP04'!$E$49</definedName>
    <definedName name="Std5dot3Mo1Date" localSheetId="6">'IWP05'!$E$49</definedName>
    <definedName name="Std5dot3Mo1Date" localSheetId="7">'IWP06'!$E$49</definedName>
    <definedName name="Std5dot3Mo1Date" localSheetId="8">'IWP07'!$E$49</definedName>
    <definedName name="Std5dot3Mo1Date" localSheetId="9">'IWP08'!$E$49</definedName>
    <definedName name="Std5dot3Mo1Date" localSheetId="10">'IWP09'!$E$49</definedName>
    <definedName name="Std5dot3Mo1Date" localSheetId="11">'IWP10'!$E$49</definedName>
    <definedName name="Std5dot3Mo1Date" localSheetId="12">'IWP11'!$E$49</definedName>
    <definedName name="Std5dot3Mo1Date" localSheetId="13">'IWP12'!$E$49</definedName>
    <definedName name="Std5dot3Mo1Date" localSheetId="14">'IWP13'!$E$49</definedName>
    <definedName name="Std5dot3Mo1Date" localSheetId="15">'IWP14'!$E$49</definedName>
    <definedName name="Std5dot3Mo1Date" localSheetId="16">'IWP15'!$E$49</definedName>
    <definedName name="Std5dot3Mo1Date" localSheetId="17">'IWP16'!$E$49</definedName>
    <definedName name="Std5dot3Mo1Date" localSheetId="18">'IWP17'!$E$49</definedName>
    <definedName name="Std5dot3Mo1Date" localSheetId="19">'IWP18'!$E$49</definedName>
    <definedName name="Std5dot3Mo1Date" localSheetId="20">'IWP19'!$E$49</definedName>
    <definedName name="Std5dot3Mo1Date" localSheetId="21">'IWP20'!$E$49</definedName>
    <definedName name="Std5dot3Mo1Date" localSheetId="22">'IWP21'!$E$49</definedName>
    <definedName name="Std5dot3Mo1Date" localSheetId="23">'IWP22'!$E$49</definedName>
    <definedName name="Std5dot3Mo1Date" localSheetId="24">'IWP23'!$E$49</definedName>
    <definedName name="Std5dot3Mo1Date" localSheetId="25">'IWP24'!$E$49</definedName>
    <definedName name="Std5dot3Mo1Date" localSheetId="26">'IWP25'!$E$49</definedName>
    <definedName name="Std5dot3Mo1Date" localSheetId="27">'IWP26'!$E$49</definedName>
    <definedName name="Std5dot3Mo1Date" localSheetId="28">'IWP27'!$E$49</definedName>
    <definedName name="Std5dot3Mo1Date" localSheetId="29">'IWP28'!$E$49</definedName>
    <definedName name="Std5dot3Mo1Date" localSheetId="30">'IWP29'!$E$49</definedName>
    <definedName name="Std5dot3Mo1Date" localSheetId="31">'IWP30'!$E$49</definedName>
    <definedName name="Std5dot3Mo1Date">#REF!</definedName>
    <definedName name="Std5dot3Mo2Ans" localSheetId="2">'IWP01'!$H$49</definedName>
    <definedName name="Std5dot3Mo2Ans" localSheetId="3">'IWP02'!$H$49</definedName>
    <definedName name="Std5dot3Mo2Ans" localSheetId="4">'IWP03'!$H$49</definedName>
    <definedName name="Std5dot3Mo2Ans" localSheetId="5">'IWP04'!$H$49</definedName>
    <definedName name="Std5dot3Mo2Ans" localSheetId="6">'IWP05'!$H$49</definedName>
    <definedName name="Std5dot3Mo2Ans" localSheetId="7">'IWP06'!$H$49</definedName>
    <definedName name="Std5dot3Mo2Ans" localSheetId="8">'IWP07'!$H$49</definedName>
    <definedName name="Std5dot3Mo2Ans" localSheetId="9">'IWP08'!$H$49</definedName>
    <definedName name="Std5dot3Mo2Ans" localSheetId="10">'IWP09'!$H$49</definedName>
    <definedName name="Std5dot3Mo2Ans" localSheetId="11">'IWP10'!$H$49</definedName>
    <definedName name="Std5dot3Mo2Ans" localSheetId="12">'IWP11'!$H$49</definedName>
    <definedName name="Std5dot3Mo2Ans" localSheetId="13">'IWP12'!$H$49</definedName>
    <definedName name="Std5dot3Mo2Ans" localSheetId="14">'IWP13'!$H$49</definedName>
    <definedName name="Std5dot3Mo2Ans" localSheetId="15">'IWP14'!$H$49</definedName>
    <definedName name="Std5dot3Mo2Ans" localSheetId="16">'IWP15'!$H$49</definedName>
    <definedName name="Std5dot3Mo2Ans" localSheetId="17">'IWP16'!$H$49</definedName>
    <definedName name="Std5dot3Mo2Ans" localSheetId="18">'IWP17'!$H$49</definedName>
    <definedName name="Std5dot3Mo2Ans" localSheetId="19">'IWP18'!$H$49</definedName>
    <definedName name="Std5dot3Mo2Ans" localSheetId="20">'IWP19'!$H$49</definedName>
    <definedName name="Std5dot3Mo2Ans" localSheetId="21">'IWP20'!$H$49</definedName>
    <definedName name="Std5dot3Mo2Ans" localSheetId="22">'IWP21'!$H$49</definedName>
    <definedName name="Std5dot3Mo2Ans" localSheetId="23">'IWP22'!$H$49</definedName>
    <definedName name="Std5dot3Mo2Ans" localSheetId="24">'IWP23'!$H$49</definedName>
    <definedName name="Std5dot3Mo2Ans" localSheetId="25">'IWP24'!$H$49</definedName>
    <definedName name="Std5dot3Mo2Ans" localSheetId="26">'IWP25'!$H$49</definedName>
    <definedName name="Std5dot3Mo2Ans" localSheetId="27">'IWP26'!$H$49</definedName>
    <definedName name="Std5dot3Mo2Ans" localSheetId="28">'IWP27'!$H$49</definedName>
    <definedName name="Std5dot3Mo2Ans" localSheetId="29">'IWP28'!$H$49</definedName>
    <definedName name="Std5dot3Mo2Ans" localSheetId="30">'IWP29'!$H$49</definedName>
    <definedName name="Std5dot3Mo2Ans" localSheetId="31">'IWP30'!$H$49</definedName>
    <definedName name="Std5dot3Mo2Ans">#REF!</definedName>
    <definedName name="Std5dot3Mo2Date" localSheetId="2">'IWP01'!$J$49</definedName>
    <definedName name="Std5dot3Mo2Date" localSheetId="3">'IWP02'!$J$49</definedName>
    <definedName name="Std5dot3Mo2Date" localSheetId="4">'IWP03'!$J$49</definedName>
    <definedName name="Std5dot3Mo2Date" localSheetId="5">'IWP04'!$J$49</definedName>
    <definedName name="Std5dot3Mo2Date" localSheetId="6">'IWP05'!$J$49</definedName>
    <definedName name="Std5dot3Mo2Date" localSheetId="7">'IWP06'!$J$49</definedName>
    <definedName name="Std5dot3Mo2Date" localSheetId="8">'IWP07'!$J$49</definedName>
    <definedName name="Std5dot3Mo2Date" localSheetId="9">'IWP08'!$J$49</definedName>
    <definedName name="Std5dot3Mo2Date" localSheetId="10">'IWP09'!$J$49</definedName>
    <definedName name="Std5dot3Mo2Date" localSheetId="11">'IWP10'!$J$49</definedName>
    <definedName name="Std5dot3Mo2Date" localSheetId="12">'IWP11'!$J$49</definedName>
    <definedName name="Std5dot3Mo2Date" localSheetId="13">'IWP12'!$J$49</definedName>
    <definedName name="Std5dot3Mo2Date" localSheetId="14">'IWP13'!$J$49</definedName>
    <definedName name="Std5dot3Mo2Date" localSheetId="15">'IWP14'!$J$49</definedName>
    <definedName name="Std5dot3Mo2Date" localSheetId="16">'IWP15'!$J$49</definedName>
    <definedName name="Std5dot3Mo2Date" localSheetId="17">'IWP16'!$J$49</definedName>
    <definedName name="Std5dot3Mo2Date" localSheetId="18">'IWP17'!$J$49</definedName>
    <definedName name="Std5dot3Mo2Date" localSheetId="19">'IWP18'!$J$49</definedName>
    <definedName name="Std5dot3Mo2Date" localSheetId="20">'IWP19'!$J$49</definedName>
    <definedName name="Std5dot3Mo2Date" localSheetId="21">'IWP20'!$J$49</definedName>
    <definedName name="Std5dot3Mo2Date" localSheetId="22">'IWP21'!$J$49</definedName>
    <definedName name="Std5dot3Mo2Date" localSheetId="23">'IWP22'!$J$49</definedName>
    <definedName name="Std5dot3Mo2Date" localSheetId="24">'IWP23'!$J$49</definedName>
    <definedName name="Std5dot3Mo2Date" localSheetId="25">'IWP24'!$J$49</definedName>
    <definedName name="Std5dot3Mo2Date" localSheetId="26">'IWP25'!$J$49</definedName>
    <definedName name="Std5dot3Mo2Date" localSheetId="27">'IWP26'!$J$49</definedName>
    <definedName name="Std5dot3Mo2Date" localSheetId="28">'IWP27'!$J$49</definedName>
    <definedName name="Std5dot3Mo2Date" localSheetId="29">'IWP28'!$J$49</definedName>
    <definedName name="Std5dot3Mo2Date" localSheetId="30">'IWP29'!$J$49</definedName>
    <definedName name="Std5dot3Mo2Date" localSheetId="31">'IWP30'!$J$49</definedName>
    <definedName name="Std5dot3Mo2Date">#REF!</definedName>
    <definedName name="Std5dot4" localSheetId="2">'IWP01'!$I$54</definedName>
    <definedName name="Std5dot4" localSheetId="3">'IWP02'!$I$54</definedName>
    <definedName name="Std5dot4" localSheetId="4">'IWP03'!$I$54</definedName>
    <definedName name="Std5dot4" localSheetId="5">'IWP04'!$I$54</definedName>
    <definedName name="Std5dot4" localSheetId="6">'IWP05'!$I$54</definedName>
    <definedName name="Std5dot4" localSheetId="7">'IWP06'!$I$54</definedName>
    <definedName name="Std5dot4" localSheetId="8">'IWP07'!$I$54</definedName>
    <definedName name="Std5dot4" localSheetId="9">'IWP08'!$I$54</definedName>
    <definedName name="Std5dot4" localSheetId="10">'IWP09'!$I$54</definedName>
    <definedName name="Std5dot4" localSheetId="11">'IWP10'!$I$54</definedName>
    <definedName name="Std5dot4" localSheetId="12">'IWP11'!$I$54</definedName>
    <definedName name="Std5dot4" localSheetId="13">'IWP12'!$I$54</definedName>
    <definedName name="Std5dot4" localSheetId="14">'IWP13'!$I$54</definedName>
    <definedName name="Std5dot4" localSheetId="15">'IWP14'!$I$54</definedName>
    <definedName name="Std5dot4" localSheetId="16">'IWP15'!$I$54</definedName>
    <definedName name="Std5dot4" localSheetId="17">'IWP16'!$I$54</definedName>
    <definedName name="Std5dot4" localSheetId="18">'IWP17'!$I$54</definedName>
    <definedName name="Std5dot4" localSheetId="19">'IWP18'!$I$54</definedName>
    <definedName name="Std5dot4" localSheetId="20">'IWP19'!$I$54</definedName>
    <definedName name="Std5dot4" localSheetId="21">'IWP20'!$I$54</definedName>
    <definedName name="Std5dot4" localSheetId="22">'IWP21'!$I$54</definedName>
    <definedName name="Std5dot4" localSheetId="23">'IWP22'!$I$54</definedName>
    <definedName name="Std5dot4" localSheetId="24">'IWP23'!$I$54</definedName>
    <definedName name="Std5dot4" localSheetId="25">'IWP24'!$I$54</definedName>
    <definedName name="Std5dot4" localSheetId="26">'IWP25'!$I$54</definedName>
    <definedName name="Std5dot4" localSheetId="27">'IWP26'!$I$54</definedName>
    <definedName name="Std5dot4" localSheetId="28">'IWP27'!$I$54</definedName>
    <definedName name="Std5dot4" localSheetId="29">'IWP28'!$I$54</definedName>
    <definedName name="Std5dot4" localSheetId="30">'IWP29'!$I$54</definedName>
    <definedName name="Std5dot4" localSheetId="31">'IWP30'!$I$54</definedName>
    <definedName name="Std5dot4">#REF!</definedName>
    <definedName name="Std5dot4Mo1Ans" localSheetId="2">'IWP01'!$C$53</definedName>
    <definedName name="Std5dot4Mo1Ans" localSheetId="3">'IWP02'!$C$53</definedName>
    <definedName name="Std5dot4Mo1Ans" localSheetId="4">'IWP03'!$C$53</definedName>
    <definedName name="Std5dot4Mo1Ans" localSheetId="5">'IWP04'!$C$53</definedName>
    <definedName name="Std5dot4Mo1Ans" localSheetId="6">'IWP05'!$C$53</definedName>
    <definedName name="Std5dot4Mo1Ans" localSheetId="7">'IWP06'!$C$53</definedName>
    <definedName name="Std5dot4Mo1Ans" localSheetId="8">'IWP07'!$C$53</definedName>
    <definedName name="Std5dot4Mo1Ans" localSheetId="9">'IWP08'!$C$53</definedName>
    <definedName name="Std5dot4Mo1Ans" localSheetId="10">'IWP09'!$C$53</definedName>
    <definedName name="Std5dot4Mo1Ans" localSheetId="11">'IWP10'!$C$53</definedName>
    <definedName name="Std5dot4Mo1Ans" localSheetId="12">'IWP11'!$C$53</definedName>
    <definedName name="Std5dot4Mo1Ans" localSheetId="13">'IWP12'!$C$53</definedName>
    <definedName name="Std5dot4Mo1Ans" localSheetId="14">'IWP13'!$C$53</definedName>
    <definedName name="Std5dot4Mo1Ans" localSheetId="15">'IWP14'!$C$53</definedName>
    <definedName name="Std5dot4Mo1Ans" localSheetId="16">'IWP15'!$C$53</definedName>
    <definedName name="Std5dot4Mo1Ans" localSheetId="17">'IWP16'!$C$53</definedName>
    <definedName name="Std5dot4Mo1Ans" localSheetId="18">'IWP17'!$C$53</definedName>
    <definedName name="Std5dot4Mo1Ans" localSheetId="19">'IWP18'!$C$53</definedName>
    <definedName name="Std5dot4Mo1Ans" localSheetId="20">'IWP19'!$C$53</definedName>
    <definedName name="Std5dot4Mo1Ans" localSheetId="21">'IWP20'!$C$53</definedName>
    <definedName name="Std5dot4Mo1Ans" localSheetId="22">'IWP21'!$C$53</definedName>
    <definedName name="Std5dot4Mo1Ans" localSheetId="23">'IWP22'!$C$53</definedName>
    <definedName name="Std5dot4Mo1Ans" localSheetId="24">'IWP23'!$C$53</definedName>
    <definedName name="Std5dot4Mo1Ans" localSheetId="25">'IWP24'!$C$53</definedName>
    <definedName name="Std5dot4Mo1Ans" localSheetId="26">'IWP25'!$C$53</definedName>
    <definedName name="Std5dot4Mo1Ans" localSheetId="27">'IWP26'!$C$53</definedName>
    <definedName name="Std5dot4Mo1Ans" localSheetId="28">'IWP27'!$C$53</definedName>
    <definedName name="Std5dot4Mo1Ans" localSheetId="29">'IWP28'!$C$53</definedName>
    <definedName name="Std5dot4Mo1Ans" localSheetId="30">'IWP29'!$C$53</definedName>
    <definedName name="Std5dot4Mo1Ans" localSheetId="31">'IWP30'!$C$53</definedName>
    <definedName name="Std5dot4Mo1Ans">#REF!</definedName>
    <definedName name="Std5dot4Mo1Date" localSheetId="2">'IWP01'!$E$53</definedName>
    <definedName name="Std5dot4Mo1Date" localSheetId="3">'IWP02'!$E$53</definedName>
    <definedName name="Std5dot4Mo1Date" localSheetId="4">'IWP03'!$E$53</definedName>
    <definedName name="Std5dot4Mo1Date" localSheetId="5">'IWP04'!$E$53</definedName>
    <definedName name="Std5dot4Mo1Date" localSheetId="6">'IWP05'!$E$53</definedName>
    <definedName name="Std5dot4Mo1Date" localSheetId="7">'IWP06'!$E$53</definedName>
    <definedName name="Std5dot4Mo1Date" localSheetId="8">'IWP07'!$E$53</definedName>
    <definedName name="Std5dot4Mo1Date" localSheetId="9">'IWP08'!$E$53</definedName>
    <definedName name="Std5dot4Mo1Date" localSheetId="10">'IWP09'!$E$53</definedName>
    <definedName name="Std5dot4Mo1Date" localSheetId="11">'IWP10'!$E$53</definedName>
    <definedName name="Std5dot4Mo1Date" localSheetId="12">'IWP11'!$E$53</definedName>
    <definedName name="Std5dot4Mo1Date" localSheetId="13">'IWP12'!$E$53</definedName>
    <definedName name="Std5dot4Mo1Date" localSheetId="14">'IWP13'!$E$53</definedName>
    <definedName name="Std5dot4Mo1Date" localSheetId="15">'IWP14'!$E$53</definedName>
    <definedName name="Std5dot4Mo1Date" localSheetId="16">'IWP15'!$E$53</definedName>
    <definedName name="Std5dot4Mo1Date" localSheetId="17">'IWP16'!$E$53</definedName>
    <definedName name="Std5dot4Mo1Date" localSheetId="18">'IWP17'!$E$53</definedName>
    <definedName name="Std5dot4Mo1Date" localSheetId="19">'IWP18'!$E$53</definedName>
    <definedName name="Std5dot4Mo1Date" localSheetId="20">'IWP19'!$E$53</definedName>
    <definedName name="Std5dot4Mo1Date" localSheetId="21">'IWP20'!$E$53</definedName>
    <definedName name="Std5dot4Mo1Date" localSheetId="22">'IWP21'!$E$53</definedName>
    <definedName name="Std5dot4Mo1Date" localSheetId="23">'IWP22'!$E$53</definedName>
    <definedName name="Std5dot4Mo1Date" localSheetId="24">'IWP23'!$E$53</definedName>
    <definedName name="Std5dot4Mo1Date" localSheetId="25">'IWP24'!$E$53</definedName>
    <definedName name="Std5dot4Mo1Date" localSheetId="26">'IWP25'!$E$53</definedName>
    <definedName name="Std5dot4Mo1Date" localSheetId="27">'IWP26'!$E$53</definedName>
    <definedName name="Std5dot4Mo1Date" localSheetId="28">'IWP27'!$E$53</definedName>
    <definedName name="Std5dot4Mo1Date" localSheetId="29">'IWP28'!$E$53</definedName>
    <definedName name="Std5dot4Mo1Date" localSheetId="30">'IWP29'!$E$53</definedName>
    <definedName name="Std5dot4Mo1Date" localSheetId="31">'IWP30'!$E$53</definedName>
    <definedName name="Std5dot4Mo1Date">#REF!</definedName>
    <definedName name="Std5dot4Mo2Ans" localSheetId="2">'IWP01'!$H$53</definedName>
    <definedName name="Std5dot4Mo2Ans" localSheetId="3">'IWP02'!$H$53</definedName>
    <definedName name="Std5dot4Mo2Ans" localSheetId="4">'IWP03'!$H$53</definedName>
    <definedName name="Std5dot4Mo2Ans" localSheetId="5">'IWP04'!$H$53</definedName>
    <definedName name="Std5dot4Mo2Ans" localSheetId="6">'IWP05'!$H$53</definedName>
    <definedName name="Std5dot4Mo2Ans" localSheetId="7">'IWP06'!$H$53</definedName>
    <definedName name="Std5dot4Mo2Ans" localSheetId="8">'IWP07'!$H$53</definedName>
    <definedName name="Std5dot4Mo2Ans" localSheetId="9">'IWP08'!$H$53</definedName>
    <definedName name="Std5dot4Mo2Ans" localSheetId="10">'IWP09'!$H$53</definedName>
    <definedName name="Std5dot4Mo2Ans" localSheetId="11">'IWP10'!$H$53</definedName>
    <definedName name="Std5dot4Mo2Ans" localSheetId="12">'IWP11'!$H$53</definedName>
    <definedName name="Std5dot4Mo2Ans" localSheetId="13">'IWP12'!$H$53</definedName>
    <definedName name="Std5dot4Mo2Ans" localSheetId="14">'IWP13'!$H$53</definedName>
    <definedName name="Std5dot4Mo2Ans" localSheetId="15">'IWP14'!$H$53</definedName>
    <definedName name="Std5dot4Mo2Ans" localSheetId="16">'IWP15'!$H$53</definedName>
    <definedName name="Std5dot4Mo2Ans" localSheetId="17">'IWP16'!$H$53</definedName>
    <definedName name="Std5dot4Mo2Ans" localSheetId="18">'IWP17'!$H$53</definedName>
    <definedName name="Std5dot4Mo2Ans" localSheetId="19">'IWP18'!$H$53</definedName>
    <definedName name="Std5dot4Mo2Ans" localSheetId="20">'IWP19'!$H$53</definedName>
    <definedName name="Std5dot4Mo2Ans" localSheetId="21">'IWP20'!$H$53</definedName>
    <definedName name="Std5dot4Mo2Ans" localSheetId="22">'IWP21'!$H$53</definedName>
    <definedName name="Std5dot4Mo2Ans" localSheetId="23">'IWP22'!$H$53</definedName>
    <definedName name="Std5dot4Mo2Ans" localSheetId="24">'IWP23'!$H$53</definedName>
    <definedName name="Std5dot4Mo2Ans" localSheetId="25">'IWP24'!$H$53</definedName>
    <definedName name="Std5dot4Mo2Ans" localSheetId="26">'IWP25'!$H$53</definedName>
    <definedName name="Std5dot4Mo2Ans" localSheetId="27">'IWP26'!$H$53</definedName>
    <definedName name="Std5dot4Mo2Ans" localSheetId="28">'IWP27'!$H$53</definedName>
    <definedName name="Std5dot4Mo2Ans" localSheetId="29">'IWP28'!$H$53</definedName>
    <definedName name="Std5dot4Mo2Ans" localSheetId="30">'IWP29'!$H$53</definedName>
    <definedName name="Std5dot4Mo2Ans" localSheetId="31">'IWP30'!$H$53</definedName>
    <definedName name="Std5dot4Mo2Ans">#REF!</definedName>
    <definedName name="Std5dot4Mo2Date" localSheetId="2">'IWP01'!$J$53</definedName>
    <definedName name="Std5dot4Mo2Date" localSheetId="3">'IWP02'!$J$53</definedName>
    <definedName name="Std5dot4Mo2Date" localSheetId="4">'IWP03'!$J$53</definedName>
    <definedName name="Std5dot4Mo2Date" localSheetId="5">'IWP04'!$J$53</definedName>
    <definedName name="Std5dot4Mo2Date" localSheetId="6">'IWP05'!$J$53</definedName>
    <definedName name="Std5dot4Mo2Date" localSheetId="7">'IWP06'!$J$53</definedName>
    <definedName name="Std5dot4Mo2Date" localSheetId="8">'IWP07'!$J$53</definedName>
    <definedName name="Std5dot4Mo2Date" localSheetId="9">'IWP08'!$J$53</definedName>
    <definedName name="Std5dot4Mo2Date" localSheetId="10">'IWP09'!$J$53</definedName>
    <definedName name="Std5dot4Mo2Date" localSheetId="11">'IWP10'!$J$53</definedName>
    <definedName name="Std5dot4Mo2Date" localSheetId="12">'IWP11'!$J$53</definedName>
    <definedName name="Std5dot4Mo2Date" localSheetId="13">'IWP12'!$J$53</definedName>
    <definedName name="Std5dot4Mo2Date" localSheetId="14">'IWP13'!$J$53</definedName>
    <definedName name="Std5dot4Mo2Date" localSheetId="15">'IWP14'!$J$53</definedName>
    <definedName name="Std5dot4Mo2Date" localSheetId="16">'IWP15'!$J$53</definedName>
    <definedName name="Std5dot4Mo2Date" localSheetId="17">'IWP16'!$J$53</definedName>
    <definedName name="Std5dot4Mo2Date" localSheetId="18">'IWP17'!$J$53</definedName>
    <definedName name="Std5dot4Mo2Date" localSheetId="19">'IWP18'!$J$53</definedName>
    <definedName name="Std5dot4Mo2Date" localSheetId="20">'IWP19'!$J$53</definedName>
    <definedName name="Std5dot4Mo2Date" localSheetId="21">'IWP20'!$J$53</definedName>
    <definedName name="Std5dot4Mo2Date" localSheetId="22">'IWP21'!$J$53</definedName>
    <definedName name="Std5dot4Mo2Date" localSheetId="23">'IWP22'!$J$53</definedName>
    <definedName name="Std5dot4Mo2Date" localSheetId="24">'IWP23'!$J$53</definedName>
    <definedName name="Std5dot4Mo2Date" localSheetId="25">'IWP24'!$J$53</definedName>
    <definedName name="Std5dot4Mo2Date" localSheetId="26">'IWP25'!$J$53</definedName>
    <definedName name="Std5dot4Mo2Date" localSheetId="27">'IWP26'!$J$53</definedName>
    <definedName name="Std5dot4Mo2Date" localSheetId="28">'IWP27'!$J$53</definedName>
    <definedName name="Std5dot4Mo2Date" localSheetId="29">'IWP28'!$J$53</definedName>
    <definedName name="Std5dot4Mo2Date" localSheetId="30">'IWP29'!$J$53</definedName>
    <definedName name="Std5dot4Mo2Date" localSheetId="31">'IWP30'!$J$53</definedName>
    <definedName name="Std5dot4Mo2Date">#REF!</definedName>
    <definedName name="Std5dot5" localSheetId="2">'IWP01'!$I$55</definedName>
    <definedName name="Std5dot5" localSheetId="3">'IWP02'!$I$55</definedName>
    <definedName name="Std5dot5" localSheetId="4">'IWP03'!$I$55</definedName>
    <definedName name="Std5dot5" localSheetId="5">'IWP04'!$I$55</definedName>
    <definedName name="Std5dot5" localSheetId="6">'IWP05'!$I$55</definedName>
    <definedName name="Std5dot5" localSheetId="7">'IWP06'!$I$55</definedName>
    <definedName name="Std5dot5" localSheetId="8">'IWP07'!$I$55</definedName>
    <definedName name="Std5dot5" localSheetId="9">'IWP08'!$I$55</definedName>
    <definedName name="Std5dot5" localSheetId="10">'IWP09'!$I$55</definedName>
    <definedName name="Std5dot5" localSheetId="11">'IWP10'!$I$55</definedName>
    <definedName name="Std5dot5" localSheetId="12">'IWP11'!$I$55</definedName>
    <definedName name="Std5dot5" localSheetId="13">'IWP12'!$I$55</definedName>
    <definedName name="Std5dot5" localSheetId="14">'IWP13'!$I$55</definedName>
    <definedName name="Std5dot5" localSheetId="15">'IWP14'!$I$55</definedName>
    <definedName name="Std5dot5" localSheetId="16">'IWP15'!$I$55</definedName>
    <definedName name="Std5dot5" localSheetId="17">'IWP16'!$I$55</definedName>
    <definedName name="Std5dot5" localSheetId="18">'IWP17'!$I$55</definedName>
    <definedName name="Std5dot5" localSheetId="19">'IWP18'!$I$55</definedName>
    <definedName name="Std5dot5" localSheetId="20">'IWP19'!$I$55</definedName>
    <definedName name="Std5dot5" localSheetId="21">'IWP20'!$I$55</definedName>
    <definedName name="Std5dot5" localSheetId="22">'IWP21'!$I$55</definedName>
    <definedName name="Std5dot5" localSheetId="23">'IWP22'!$I$55</definedName>
    <definedName name="Std5dot5" localSheetId="24">'IWP23'!$I$55</definedName>
    <definedName name="Std5dot5" localSheetId="25">'IWP24'!$I$55</definedName>
    <definedName name="Std5dot5" localSheetId="26">'IWP25'!$I$55</definedName>
    <definedName name="Std5dot5" localSheetId="27">'IWP26'!$I$55</definedName>
    <definedName name="Std5dot5" localSheetId="28">'IWP27'!$I$55</definedName>
    <definedName name="Std5dot5" localSheetId="29">'IWP28'!$I$55</definedName>
    <definedName name="Std5dot5" localSheetId="30">'IWP29'!$I$55</definedName>
    <definedName name="Std5dot5" localSheetId="31">'IWP30'!$I$55</definedName>
    <definedName name="Std5dot5">#REF!</definedName>
    <definedName name="Std5dot6" localSheetId="2">'IWP01'!$I$58</definedName>
    <definedName name="Std5dot6" localSheetId="3">'IWP02'!$I$58</definedName>
    <definedName name="Std5dot6" localSheetId="4">'IWP03'!$I$58</definedName>
    <definedName name="Std5dot6" localSheetId="5">'IWP04'!$I$58</definedName>
    <definedName name="Std5dot6" localSheetId="6">'IWP05'!$I$58</definedName>
    <definedName name="Std5dot6" localSheetId="7">'IWP06'!$I$58</definedName>
    <definedName name="Std5dot6" localSheetId="8">'IWP07'!$I$58</definedName>
    <definedName name="Std5dot6" localSheetId="9">'IWP08'!$I$58</definedName>
    <definedName name="Std5dot6" localSheetId="10">'IWP09'!$I$58</definedName>
    <definedName name="Std5dot6" localSheetId="11">'IWP10'!$I$58</definedName>
    <definedName name="Std5dot6" localSheetId="12">'IWP11'!$I$58</definedName>
    <definedName name="Std5dot6" localSheetId="13">'IWP12'!$I$58</definedName>
    <definedName name="Std5dot6" localSheetId="14">'IWP13'!$I$58</definedName>
    <definedName name="Std5dot6" localSheetId="15">'IWP14'!$I$58</definedName>
    <definedName name="Std5dot6" localSheetId="16">'IWP15'!$I$58</definedName>
    <definedName name="Std5dot6" localSheetId="17">'IWP16'!$I$58</definedName>
    <definedName name="Std5dot6" localSheetId="18">'IWP17'!$I$58</definedName>
    <definedName name="Std5dot6" localSheetId="19">'IWP18'!$I$58</definedName>
    <definedName name="Std5dot6" localSheetId="20">'IWP19'!$I$58</definedName>
    <definedName name="Std5dot6" localSheetId="21">'IWP20'!$I$58</definedName>
    <definedName name="Std5dot6" localSheetId="22">'IWP21'!$I$58</definedName>
    <definedName name="Std5dot6" localSheetId="23">'IWP22'!$I$58</definedName>
    <definedName name="Std5dot6" localSheetId="24">'IWP23'!$I$58</definedName>
    <definedName name="Std5dot6" localSheetId="25">'IWP24'!$I$58</definedName>
    <definedName name="Std5dot6" localSheetId="26">'IWP25'!$I$58</definedName>
    <definedName name="Std5dot6" localSheetId="27">'IWP26'!$I$58</definedName>
    <definedName name="Std5dot6" localSheetId="28">'IWP27'!$I$58</definedName>
    <definedName name="Std5dot6" localSheetId="29">'IWP28'!$I$58</definedName>
    <definedName name="Std5dot6" localSheetId="30">'IWP29'!$I$58</definedName>
    <definedName name="Std5dot6" localSheetId="31">'IWP30'!$I$58</definedName>
    <definedName name="Std5dot6">#REF!</definedName>
    <definedName name="Std5NotCalc" localSheetId="2">'IWP01'!$I$38</definedName>
    <definedName name="Std5NotCalc" localSheetId="3">'IWP02'!$I$38</definedName>
    <definedName name="Std5NotCalc" localSheetId="4">'IWP03'!$I$38</definedName>
    <definedName name="Std5NotCalc" localSheetId="5">'IWP04'!$I$38</definedName>
    <definedName name="Std5NotCalc" localSheetId="6">'IWP05'!$I$38</definedName>
    <definedName name="Std5NotCalc" localSheetId="7">'IWP06'!$I$38</definedName>
    <definedName name="Std5NotCalc" localSheetId="8">'IWP07'!$I$38</definedName>
    <definedName name="Std5NotCalc" localSheetId="9">'IWP08'!$I$38</definedName>
    <definedName name="Std5NotCalc" localSheetId="10">'IWP09'!$I$38</definedName>
    <definedName name="Std5NotCalc" localSheetId="11">'IWP10'!$I$38</definedName>
    <definedName name="Std5NotCalc" localSheetId="12">'IWP11'!$I$38</definedName>
    <definedName name="Std5NotCalc" localSheetId="13">'IWP12'!$I$38</definedName>
    <definedName name="Std5NotCalc" localSheetId="14">'IWP13'!$I$38</definedName>
    <definedName name="Std5NotCalc" localSheetId="15">'IWP14'!$I$38</definedName>
    <definedName name="Std5NotCalc" localSheetId="16">'IWP15'!$I$38</definedName>
    <definedName name="Std5NotCalc" localSheetId="17">'IWP16'!$I$38</definedName>
    <definedName name="Std5NotCalc" localSheetId="18">'IWP17'!$I$38</definedName>
    <definedName name="Std5NotCalc" localSheetId="19">'IWP18'!$I$38</definedName>
    <definedName name="Std5NotCalc" localSheetId="20">'IWP19'!$I$38</definedName>
    <definedName name="Std5NotCalc" localSheetId="21">'IWP20'!$I$38</definedName>
    <definedName name="Std5NotCalc" localSheetId="22">'IWP21'!$I$38</definedName>
    <definedName name="Std5NotCalc" localSheetId="23">'IWP22'!$I$38</definedName>
    <definedName name="Std5NotCalc" localSheetId="24">'IWP23'!$I$38</definedName>
    <definedName name="Std5NotCalc" localSheetId="25">'IWP24'!$I$38</definedName>
    <definedName name="Std5NotCalc" localSheetId="26">'IWP25'!$I$38</definedName>
    <definedName name="Std5NotCalc" localSheetId="27">'IWP26'!$I$38</definedName>
    <definedName name="Std5NotCalc" localSheetId="28">'IWP27'!$I$38</definedName>
    <definedName name="Std5NotCalc" localSheetId="29">'IWP28'!$I$38</definedName>
    <definedName name="Std5NotCalc" localSheetId="30">'IWP29'!$I$38</definedName>
    <definedName name="Std5NotCalc" localSheetId="31">'IWP30'!$I$38</definedName>
    <definedName name="Std5NotCalc">#REF!</definedName>
    <definedName name="Std6dot1" localSheetId="2">'IWP01'!$I$65</definedName>
    <definedName name="Std6dot1" localSheetId="3">'IWP02'!$I$65</definedName>
    <definedName name="Std6dot1" localSheetId="4">'IWP03'!$I$65</definedName>
    <definedName name="Std6dot1" localSheetId="5">'IWP04'!$I$65</definedName>
    <definedName name="Std6dot1" localSheetId="6">'IWP05'!$I$65</definedName>
    <definedName name="Std6dot1" localSheetId="7">'IWP06'!$I$65</definedName>
    <definedName name="Std6dot1" localSheetId="8">'IWP07'!$I$65</definedName>
    <definedName name="Std6dot1" localSheetId="9">'IWP08'!$I$65</definedName>
    <definedName name="Std6dot1" localSheetId="10">'IWP09'!$I$65</definedName>
    <definedName name="Std6dot1" localSheetId="11">'IWP10'!$I$65</definedName>
    <definedName name="Std6dot1" localSheetId="12">'IWP11'!$I$65</definedName>
    <definedName name="Std6dot1" localSheetId="13">'IWP12'!$I$65</definedName>
    <definedName name="Std6dot1" localSheetId="14">'IWP13'!$I$65</definedName>
    <definedName name="Std6dot1" localSheetId="15">'IWP14'!$I$65</definedName>
    <definedName name="Std6dot1" localSheetId="16">'IWP15'!$I$65</definedName>
    <definedName name="Std6dot1" localSheetId="17">'IWP16'!$I$65</definedName>
    <definedName name="Std6dot1" localSheetId="18">'IWP17'!$I$65</definedName>
    <definedName name="Std6dot1" localSheetId="19">'IWP18'!$I$65</definedName>
    <definedName name="Std6dot1" localSheetId="20">'IWP19'!$I$65</definedName>
    <definedName name="Std6dot1" localSheetId="21">'IWP20'!$I$65</definedName>
    <definedName name="Std6dot1" localSheetId="22">'IWP21'!$I$65</definedName>
    <definedName name="Std6dot1" localSheetId="23">'IWP22'!$I$65</definedName>
    <definedName name="Std6dot1" localSheetId="24">'IWP23'!$I$65</definedName>
    <definedName name="Std6dot1" localSheetId="25">'IWP24'!$I$65</definedName>
    <definedName name="Std6dot1" localSheetId="26">'IWP25'!$I$65</definedName>
    <definedName name="Std6dot1" localSheetId="27">'IWP26'!$I$65</definedName>
    <definedName name="Std6dot1" localSheetId="28">'IWP27'!$I$65</definedName>
    <definedName name="Std6dot1" localSheetId="29">'IWP28'!$I$65</definedName>
    <definedName name="Std6dot1" localSheetId="30">'IWP29'!$I$65</definedName>
    <definedName name="Std6dot1" localSheetId="31">'IWP30'!$I$65</definedName>
    <definedName name="Std6dot1">#REF!</definedName>
    <definedName name="Total_Admin_Errors" localSheetId="33">'Demand for Pmt. (Print)'!#REF!</definedName>
    <definedName name="Total_Financial_Errors" localSheetId="33">'Demand for Pmt. (Print)'!$J$6</definedName>
    <definedName name="TotalAAA" localSheetId="33">'Demand for Pmt. (Print)'!$J$6</definedName>
    <definedName name="TotalNumVehicles" localSheetId="34">'Vehicle Checklist (Print)'!$D$8</definedName>
    <definedName name="UnitsOfServicePeriod1" localSheetId="2">'IWP01'!$B$81:$X$85</definedName>
    <definedName name="UnitsOfServicePeriod1" localSheetId="3">'IWP02'!$B$81:$X$85</definedName>
    <definedName name="UnitsOfServicePeriod1" localSheetId="4">'IWP03'!$B$81:$X$85</definedName>
    <definedName name="UnitsOfServicePeriod1" localSheetId="5">'IWP04'!$B$81:$X$85</definedName>
    <definedName name="UnitsOfServicePeriod1" localSheetId="6">'IWP05'!$B$81:$X$85</definedName>
    <definedName name="UnitsOfServicePeriod1" localSheetId="7">'IWP06'!$B$81:$X$85</definedName>
    <definedName name="UnitsOfServicePeriod1" localSheetId="8">'IWP07'!$B$81:$X$85</definedName>
    <definedName name="UnitsOfServicePeriod1" localSheetId="9">'IWP08'!$B$81:$X$85</definedName>
    <definedName name="UnitsOfServicePeriod1" localSheetId="10">'IWP09'!$B$81:$X$85</definedName>
    <definedName name="UnitsOfServicePeriod1" localSheetId="11">'IWP10'!$B$81:$X$85</definedName>
    <definedName name="UnitsOfServicePeriod1" localSheetId="12">'IWP11'!$B$81:$X$85</definedName>
    <definedName name="UnitsOfServicePeriod1" localSheetId="13">'IWP12'!$B$81:$X$85</definedName>
    <definedName name="UnitsOfServicePeriod1" localSheetId="14">'IWP13'!$B$81:$X$85</definedName>
    <definedName name="UnitsOfServicePeriod1" localSheetId="15">'IWP14'!$B$81:$X$85</definedName>
    <definedName name="UnitsOfServicePeriod1" localSheetId="16">'IWP15'!$B$81:$X$85</definedName>
    <definedName name="UnitsOfServicePeriod1" localSheetId="17">'IWP16'!$B$81:$X$85</definedName>
    <definedName name="UnitsOfServicePeriod1" localSheetId="18">'IWP17'!$B$81:$X$85</definedName>
    <definedName name="UnitsOfServicePeriod1" localSheetId="19">'IWP18'!$B$81:$X$85</definedName>
    <definedName name="UnitsOfServicePeriod1" localSheetId="20">'IWP19'!$B$81:$X$85</definedName>
    <definedName name="UnitsOfServicePeriod1" localSheetId="21">'IWP20'!$B$81:$X$85</definedName>
    <definedName name="UnitsOfServicePeriod1" localSheetId="22">'IWP21'!$B$81:$X$85</definedName>
    <definedName name="UnitsOfServicePeriod1" localSheetId="23">'IWP22'!$B$81:$X$85</definedName>
    <definedName name="UnitsOfServicePeriod1" localSheetId="24">'IWP23'!$B$81:$X$85</definedName>
    <definedName name="UnitsOfServicePeriod1" localSheetId="25">'IWP24'!$B$81:$X$85</definedName>
    <definedName name="UnitsOfServicePeriod1" localSheetId="26">'IWP25'!$B$81:$X$85</definedName>
    <definedName name="UnitsOfServicePeriod1" localSheetId="27">'IWP26'!$B$81:$X$85</definedName>
    <definedName name="UnitsOfServicePeriod1" localSheetId="28">'IWP27'!$B$81:$X$85</definedName>
    <definedName name="UnitsOfServicePeriod1" localSheetId="29">'IWP28'!$B$81:$X$85</definedName>
    <definedName name="UnitsOfServicePeriod1" localSheetId="30">'IWP29'!$B$81:$X$85</definedName>
    <definedName name="UnitsOfServicePeriod1" localSheetId="31">'IWP30'!$B$81:$X$85</definedName>
    <definedName name="UnitsOfServicePeriod2" localSheetId="2">'IWP01'!$B$90:$X$94</definedName>
    <definedName name="UnitsOfServicePeriod2" localSheetId="3">'IWP02'!$B$90:$X$94</definedName>
    <definedName name="UnitsOfServicePeriod2" localSheetId="4">'IWP03'!$B$90:$X$94</definedName>
    <definedName name="UnitsOfServicePeriod2" localSheetId="5">'IWP04'!$B$90:$X$94</definedName>
    <definedName name="UnitsOfServicePeriod2" localSheetId="6">'IWP05'!$B$90:$X$94</definedName>
    <definedName name="UnitsOfServicePeriod2" localSheetId="7">'IWP06'!$B$90:$X$94</definedName>
    <definedName name="UnitsOfServicePeriod2" localSheetId="8">'IWP07'!$B$90:$X$94</definedName>
    <definedName name="UnitsOfServicePeriod2" localSheetId="9">'IWP08'!$B$90:$X$94</definedName>
    <definedName name="UnitsOfServicePeriod2" localSheetId="10">'IWP09'!$B$90:$X$94</definedName>
    <definedName name="UnitsOfServicePeriod2" localSheetId="11">'IWP10'!$B$90:$X$94</definedName>
    <definedName name="UnitsOfServicePeriod2" localSheetId="12">'IWP11'!$B$90:$X$94</definedName>
    <definedName name="UnitsOfServicePeriod2" localSheetId="13">'IWP12'!$B$90:$X$94</definedName>
    <definedName name="UnitsOfServicePeriod2" localSheetId="14">'IWP13'!$B$90:$X$94</definedName>
    <definedName name="UnitsOfServicePeriod2" localSheetId="15">'IWP14'!$B$90:$X$94</definedName>
    <definedName name="UnitsOfServicePeriod2" localSheetId="16">'IWP15'!$B$90:$X$94</definedName>
    <definedName name="UnitsOfServicePeriod2" localSheetId="17">'IWP16'!$B$90:$X$94</definedName>
    <definedName name="UnitsOfServicePeriod2" localSheetId="18">'IWP17'!$B$90:$X$94</definedName>
    <definedName name="UnitsOfServicePeriod2" localSheetId="19">'IWP18'!$B$90:$X$94</definedName>
    <definedName name="UnitsOfServicePeriod2" localSheetId="20">'IWP19'!$B$90:$X$94</definedName>
    <definedName name="UnitsOfServicePeriod2" localSheetId="21">'IWP20'!$B$90:$X$94</definedName>
    <definedName name="UnitsOfServicePeriod2" localSheetId="22">'IWP21'!$B$90:$X$94</definedName>
    <definedName name="UnitsOfServicePeriod2" localSheetId="23">'IWP22'!$B$90:$X$94</definedName>
    <definedName name="UnitsOfServicePeriod2" localSheetId="24">'IWP23'!$B$90:$X$94</definedName>
    <definedName name="UnitsOfServicePeriod2" localSheetId="25">'IWP24'!$B$90:$X$94</definedName>
    <definedName name="UnitsOfServicePeriod2" localSheetId="26">'IWP25'!$B$90:$X$94</definedName>
    <definedName name="UnitsOfServicePeriod2" localSheetId="27">'IWP26'!$B$90:$X$94</definedName>
    <definedName name="UnitsOfServicePeriod2" localSheetId="28">'IWP27'!$B$90:$X$94</definedName>
    <definedName name="UnitsOfServicePeriod2" localSheetId="29">'IWP28'!$B$90:$X$94</definedName>
    <definedName name="UnitsOfServicePeriod2" localSheetId="30">'IWP29'!$B$90:$X$94</definedName>
    <definedName name="UnitsOfServicePeriod2" localSheetId="31">'IWP30'!$B$90:$X$94</definedName>
    <definedName name="UnitsOfServiceTotalsPeriod1" localSheetId="2">'IWP01'!$R$87:$X$87</definedName>
    <definedName name="UnitsOfServiceTotalsPeriod1" localSheetId="3">'IWP02'!$R$87:$X$87</definedName>
    <definedName name="UnitsOfServiceTotalsPeriod1" localSheetId="4">'IWP03'!$R$87:$X$87</definedName>
    <definedName name="UnitsOfServiceTotalsPeriod1" localSheetId="5">'IWP04'!$R$87:$X$87</definedName>
    <definedName name="UnitsOfServiceTotalsPeriod1" localSheetId="6">'IWP05'!$R$87:$X$87</definedName>
    <definedName name="UnitsOfServiceTotalsPeriod1" localSheetId="7">'IWP06'!$R$87:$X$87</definedName>
    <definedName name="UnitsOfServiceTotalsPeriod1" localSheetId="8">'IWP07'!$R$87:$X$87</definedName>
    <definedName name="UnitsOfServiceTotalsPeriod1" localSheetId="9">'IWP08'!$R$87:$X$87</definedName>
    <definedName name="UnitsOfServiceTotalsPeriod1" localSheetId="10">'IWP09'!$R$87:$X$87</definedName>
    <definedName name="UnitsOfServiceTotalsPeriod1" localSheetId="11">'IWP10'!$R$87:$X$87</definedName>
    <definedName name="UnitsOfServiceTotalsPeriod1" localSheetId="12">'IWP11'!$R$87:$X$87</definedName>
    <definedName name="UnitsOfServiceTotalsPeriod1" localSheetId="13">'IWP12'!$R$87:$X$87</definedName>
    <definedName name="UnitsOfServiceTotalsPeriod1" localSheetId="14">'IWP13'!$R$87:$X$87</definedName>
    <definedName name="UnitsOfServiceTotalsPeriod1" localSheetId="15">'IWP14'!$R$87:$X$87</definedName>
    <definedName name="UnitsOfServiceTotalsPeriod1" localSheetId="16">'IWP15'!$R$87:$X$87</definedName>
    <definedName name="UnitsOfServiceTotalsPeriod1" localSheetId="17">'IWP16'!$R$87:$X$87</definedName>
    <definedName name="UnitsOfServiceTotalsPeriod1" localSheetId="18">'IWP17'!$R$87:$X$87</definedName>
    <definedName name="UnitsOfServiceTotalsPeriod1" localSheetId="19">'IWP18'!$R$87:$X$87</definedName>
    <definedName name="UnitsOfServiceTotalsPeriod1" localSheetId="20">'IWP19'!$R$87:$X$87</definedName>
    <definedName name="UnitsOfServiceTotalsPeriod1" localSheetId="21">'IWP20'!$R$87:$X$87</definedName>
    <definedName name="UnitsOfServiceTotalsPeriod1" localSheetId="22">'IWP21'!$R$87:$X$87</definedName>
    <definedName name="UnitsOfServiceTotalsPeriod1" localSheetId="23">'IWP22'!$R$87:$X$87</definedName>
    <definedName name="UnitsOfServiceTotalsPeriod1" localSheetId="24">'IWP23'!$R$87:$X$87</definedName>
    <definedName name="UnitsOfServiceTotalsPeriod1" localSheetId="25">'IWP24'!$R$87:$X$87</definedName>
    <definedName name="UnitsOfServiceTotalsPeriod1" localSheetId="26">'IWP25'!$R$87:$X$87</definedName>
    <definedName name="UnitsOfServiceTotalsPeriod1" localSheetId="27">'IWP26'!$R$87:$X$87</definedName>
    <definedName name="UnitsOfServiceTotalsPeriod1" localSheetId="28">'IWP27'!$R$87:$X$87</definedName>
    <definedName name="UnitsOfServiceTotalsPeriod1" localSheetId="29">'IWP28'!$R$87:$X$87</definedName>
    <definedName name="UnitsOfServiceTotalsPeriod1" localSheetId="30">'IWP29'!$R$87:$X$87</definedName>
    <definedName name="UnitsOfServiceTotalsPeriod1" localSheetId="31">'IWP30'!$R$87:$X$87</definedName>
    <definedName name="UnitsOfServiceTotalsPeriod2" localSheetId="2">'IWP01'!$R$96:$X$96</definedName>
    <definedName name="UnitsOfServiceTotalsPeriod2" localSheetId="3">'IWP02'!$R$96:$X$96</definedName>
    <definedName name="UnitsOfServiceTotalsPeriod2" localSheetId="4">'IWP03'!$R$96:$X$96</definedName>
    <definedName name="UnitsOfServiceTotalsPeriod2" localSheetId="5">'IWP04'!$R$96:$X$96</definedName>
    <definedName name="UnitsOfServiceTotalsPeriod2" localSheetId="6">'IWP05'!$R$96:$X$96</definedName>
    <definedName name="UnitsOfServiceTotalsPeriod2" localSheetId="7">'IWP06'!$R$96:$X$96</definedName>
    <definedName name="UnitsOfServiceTotalsPeriod2" localSheetId="8">'IWP07'!$R$96:$X$96</definedName>
    <definedName name="UnitsOfServiceTotalsPeriod2" localSheetId="9">'IWP08'!$R$96:$X$96</definedName>
    <definedName name="UnitsOfServiceTotalsPeriod2" localSheetId="10">'IWP09'!$R$96:$X$96</definedName>
    <definedName name="UnitsOfServiceTotalsPeriod2" localSheetId="11">'IWP10'!$R$96:$X$96</definedName>
    <definedName name="UnitsOfServiceTotalsPeriod2" localSheetId="12">'IWP11'!$R$96:$X$96</definedName>
    <definedName name="UnitsOfServiceTotalsPeriod2" localSheetId="13">'IWP12'!$R$96:$X$96</definedName>
    <definedName name="UnitsOfServiceTotalsPeriod2" localSheetId="14">'IWP13'!$R$96:$X$96</definedName>
    <definedName name="UnitsOfServiceTotalsPeriod2" localSheetId="15">'IWP14'!$R$96:$X$96</definedName>
    <definedName name="UnitsOfServiceTotalsPeriod2" localSheetId="16">'IWP15'!$R$96:$X$96</definedName>
    <definedName name="UnitsOfServiceTotalsPeriod2" localSheetId="17">'IWP16'!$R$96:$X$96</definedName>
    <definedName name="UnitsOfServiceTotalsPeriod2" localSheetId="18">'IWP17'!$R$96:$X$96</definedName>
    <definedName name="UnitsOfServiceTotalsPeriod2" localSheetId="19">'IWP18'!$R$96:$X$96</definedName>
    <definedName name="UnitsOfServiceTotalsPeriod2" localSheetId="20">'IWP19'!$R$96:$X$96</definedName>
    <definedName name="UnitsOfServiceTotalsPeriod2" localSheetId="21">'IWP20'!$R$96:$X$96</definedName>
    <definedName name="UnitsOfServiceTotalsPeriod2" localSheetId="22">'IWP21'!$R$96:$X$96</definedName>
    <definedName name="UnitsOfServiceTotalsPeriod2" localSheetId="23">'IWP22'!$R$96:$X$96</definedName>
    <definedName name="UnitsOfServiceTotalsPeriod2" localSheetId="24">'IWP23'!$R$96:$X$96</definedName>
    <definedName name="UnitsOfServiceTotalsPeriod2" localSheetId="25">'IWP24'!$R$96:$X$96</definedName>
    <definedName name="UnitsOfServiceTotalsPeriod2" localSheetId="26">'IWP25'!$R$96:$X$96</definedName>
    <definedName name="UnitsOfServiceTotalsPeriod2" localSheetId="27">'IWP26'!$R$96:$X$96</definedName>
    <definedName name="UnitsOfServiceTotalsPeriod2" localSheetId="28">'IWP27'!$R$96:$X$96</definedName>
    <definedName name="UnitsOfServiceTotalsPeriod2" localSheetId="29">'IWP28'!$R$96:$X$96</definedName>
    <definedName name="UnitsOfServiceTotalsPeriod2" localSheetId="30">'IWP29'!$R$96:$X$96</definedName>
    <definedName name="UnitsOfServiceTotalsPeriod2" localSheetId="31">'IWP30'!$R$96:$X$96</definedName>
    <definedName name="VehicleInfo" localSheetId="34">'Vehicle Checklist (Print)'!$E$10:$L$73</definedName>
    <definedName name="XdahsComplianceSummary" localSheetId="0">Data!$A$27:$L$28</definedName>
    <definedName name="XdahsEmployeeReqs" localSheetId="0">Data!$A$46:$P$76</definedName>
    <definedName name="XdahsIwpData" localSheetId="0">Data!$A$79:$BJ$109</definedName>
    <definedName name="XdahsIwpUnitsOfSvc" localSheetId="0">Data!$A$175:$Y$535</definedName>
    <definedName name="XdahsIwpUnitsOfSvcTotals" localSheetId="0">Data!$A$112:$H$172</definedName>
    <definedName name="XdahsMonitoringWbk1" localSheetId="0">Data!$A$10:$CW$11</definedName>
    <definedName name="XdahsMonWbkStd3dot2Drivers" localSheetId="0">Data!$A$14:$D$24</definedName>
    <definedName name="XdahsVehicleChkList" localSheetId="0">Data!$A$31:$X$43</definedName>
    <definedName name="Z_FA063EB1_52B3_49D8_83D1_441968C7020F_.wvu.Cols" localSheetId="35" hidden="1">'Employee Req. Table (Print)'!$N:$P</definedName>
    <definedName name="Z_FA063EB1_52B3_49D8_83D1_441968C7020F_.wvu.Cols" localSheetId="2" hidden="1">'IWP01'!$T:$T,'IWP01'!$Z:$AA</definedName>
    <definedName name="Z_FA063EB1_52B3_49D8_83D1_441968C7020F_.wvu.Cols" localSheetId="3" hidden="1">'IWP02'!$T:$T,'IWP02'!$Z:$AA</definedName>
    <definedName name="Z_FA063EB1_52B3_49D8_83D1_441968C7020F_.wvu.Cols" localSheetId="4" hidden="1">'IWP03'!$T:$T,'IWP03'!$Z:$AA</definedName>
    <definedName name="Z_FA063EB1_52B3_49D8_83D1_441968C7020F_.wvu.Cols" localSheetId="5" hidden="1">'IWP04'!$T:$T,'IWP04'!$Z:$AA</definedName>
    <definedName name="Z_FA063EB1_52B3_49D8_83D1_441968C7020F_.wvu.Cols" localSheetId="6" hidden="1">'IWP05'!$T:$T,'IWP05'!$Z:$AA</definedName>
    <definedName name="Z_FA063EB1_52B3_49D8_83D1_441968C7020F_.wvu.Cols" localSheetId="7" hidden="1">'IWP06'!$T:$T,'IWP06'!$Z:$AA</definedName>
    <definedName name="Z_FA063EB1_52B3_49D8_83D1_441968C7020F_.wvu.Cols" localSheetId="8" hidden="1">'IWP07'!$T:$T,'IWP07'!$Z:$AA</definedName>
    <definedName name="Z_FA063EB1_52B3_49D8_83D1_441968C7020F_.wvu.Cols" localSheetId="9" hidden="1">'IWP08'!$T:$T,'IWP08'!$Z:$AA</definedName>
    <definedName name="Z_FA063EB1_52B3_49D8_83D1_441968C7020F_.wvu.Cols" localSheetId="10" hidden="1">'IWP09'!$T:$T,'IWP09'!$Z:$AA</definedName>
    <definedName name="Z_FA063EB1_52B3_49D8_83D1_441968C7020F_.wvu.Cols" localSheetId="11" hidden="1">'IWP10'!$T:$T,'IWP10'!$Z:$AA</definedName>
    <definedName name="Z_FA063EB1_52B3_49D8_83D1_441968C7020F_.wvu.Cols" localSheetId="12" hidden="1">'IWP11'!$T:$T,'IWP11'!$Z:$AA</definedName>
    <definedName name="Z_FA063EB1_52B3_49D8_83D1_441968C7020F_.wvu.Cols" localSheetId="13" hidden="1">'IWP12'!$T:$T,'IWP12'!$Z:$AA</definedName>
    <definedName name="Z_FA063EB1_52B3_49D8_83D1_441968C7020F_.wvu.Cols" localSheetId="14" hidden="1">'IWP13'!$T:$T,'IWP13'!$Z:$AA</definedName>
    <definedName name="Z_FA063EB1_52B3_49D8_83D1_441968C7020F_.wvu.Cols" localSheetId="15" hidden="1">'IWP14'!$T:$T,'IWP14'!$Z:$AA</definedName>
    <definedName name="Z_FA063EB1_52B3_49D8_83D1_441968C7020F_.wvu.Cols" localSheetId="16" hidden="1">'IWP15'!$T:$T,'IWP15'!$Z:$AA</definedName>
    <definedName name="Z_FA063EB1_52B3_49D8_83D1_441968C7020F_.wvu.Cols" localSheetId="17" hidden="1">'IWP16'!$T:$T,'IWP16'!$Z:$AA</definedName>
    <definedName name="Z_FA063EB1_52B3_49D8_83D1_441968C7020F_.wvu.Cols" localSheetId="18" hidden="1">'IWP17'!$T:$T,'IWP17'!$Z:$AA</definedName>
    <definedName name="Z_FA063EB1_52B3_49D8_83D1_441968C7020F_.wvu.Cols" localSheetId="19" hidden="1">'IWP18'!$T:$T,'IWP18'!$Z:$AA</definedName>
    <definedName name="Z_FA063EB1_52B3_49D8_83D1_441968C7020F_.wvu.Cols" localSheetId="20" hidden="1">'IWP19'!$T:$T,'IWP19'!$Z:$AA</definedName>
    <definedName name="Z_FA063EB1_52B3_49D8_83D1_441968C7020F_.wvu.Cols" localSheetId="21" hidden="1">'IWP20'!$T:$T,'IWP20'!$Z:$AA</definedName>
    <definedName name="Z_FA063EB1_52B3_49D8_83D1_441968C7020F_.wvu.Cols" localSheetId="22" hidden="1">'IWP21'!$T:$T,'IWP21'!$Z:$AA</definedName>
    <definedName name="Z_FA063EB1_52B3_49D8_83D1_441968C7020F_.wvu.Cols" localSheetId="23" hidden="1">'IWP22'!$T:$T,'IWP22'!$Z:$AA</definedName>
    <definedName name="Z_FA063EB1_52B3_49D8_83D1_441968C7020F_.wvu.Cols" localSheetId="24" hidden="1">'IWP23'!$T:$T,'IWP23'!$Z:$AA</definedName>
    <definedName name="Z_FA063EB1_52B3_49D8_83D1_441968C7020F_.wvu.Cols" localSheetId="25" hidden="1">'IWP24'!$T:$T,'IWP24'!$Z:$AA</definedName>
    <definedName name="Z_FA063EB1_52B3_49D8_83D1_441968C7020F_.wvu.Cols" localSheetId="26" hidden="1">'IWP25'!$T:$T,'IWP25'!$Z:$AA</definedName>
    <definedName name="Z_FA063EB1_52B3_49D8_83D1_441968C7020F_.wvu.Cols" localSheetId="27" hidden="1">'IWP26'!$T:$T,'IWP26'!$Z:$AA</definedName>
    <definedName name="Z_FA063EB1_52B3_49D8_83D1_441968C7020F_.wvu.Cols" localSheetId="28" hidden="1">'IWP27'!$T:$T,'IWP27'!$Z:$AA</definedName>
    <definedName name="Z_FA063EB1_52B3_49D8_83D1_441968C7020F_.wvu.Cols" localSheetId="29" hidden="1">'IWP28'!$T:$T,'IWP28'!$Z:$AA</definedName>
    <definedName name="Z_FA063EB1_52B3_49D8_83D1_441968C7020F_.wvu.Cols" localSheetId="30" hidden="1">'IWP29'!$T:$T,'IWP29'!$Z:$AA</definedName>
    <definedName name="Z_FA063EB1_52B3_49D8_83D1_441968C7020F_.wvu.Cols" localSheetId="31" hidden="1">'IWP30'!$T:$T,'IWP30'!$Z:$AA</definedName>
    <definedName name="Z_FA063EB1_52B3_49D8_83D1_441968C7020F_.wvu.PrintArea" localSheetId="37" hidden="1">'Notes (Print)'!$A$1:$L$27</definedName>
    <definedName name="Z_FA063EB1_52B3_49D8_83D1_441968C7020F_.wvu.PrintTitles" localSheetId="33" hidden="1">'Demand for Pmt. (Print)'!$1:$13</definedName>
    <definedName name="Z_FA063EB1_52B3_49D8_83D1_441968C7020F_.wvu.PrintTitles" localSheetId="2" hidden="1">'IWP01'!$1:$4</definedName>
    <definedName name="Z_FA063EB1_52B3_49D8_83D1_441968C7020F_.wvu.PrintTitles" localSheetId="3" hidden="1">'IWP02'!$1:$4</definedName>
    <definedName name="Z_FA063EB1_52B3_49D8_83D1_441968C7020F_.wvu.PrintTitles" localSheetId="4" hidden="1">'IWP03'!$1:$4</definedName>
    <definedName name="Z_FA063EB1_52B3_49D8_83D1_441968C7020F_.wvu.PrintTitles" localSheetId="5" hidden="1">'IWP04'!$1:$4</definedName>
    <definedName name="Z_FA063EB1_52B3_49D8_83D1_441968C7020F_.wvu.PrintTitles" localSheetId="6" hidden="1">'IWP05'!$1:$4</definedName>
    <definedName name="Z_FA063EB1_52B3_49D8_83D1_441968C7020F_.wvu.PrintTitles" localSheetId="7" hidden="1">'IWP06'!$1:$4</definedName>
    <definedName name="Z_FA063EB1_52B3_49D8_83D1_441968C7020F_.wvu.PrintTitles" localSheetId="8" hidden="1">'IWP07'!$1:$4</definedName>
    <definedName name="Z_FA063EB1_52B3_49D8_83D1_441968C7020F_.wvu.PrintTitles" localSheetId="9" hidden="1">'IWP08'!$1:$4</definedName>
    <definedName name="Z_FA063EB1_52B3_49D8_83D1_441968C7020F_.wvu.PrintTitles" localSheetId="10" hidden="1">'IWP09'!$1:$4</definedName>
    <definedName name="Z_FA063EB1_52B3_49D8_83D1_441968C7020F_.wvu.PrintTitles" localSheetId="11" hidden="1">'IWP10'!$1:$4</definedName>
    <definedName name="Z_FA063EB1_52B3_49D8_83D1_441968C7020F_.wvu.PrintTitles" localSheetId="12" hidden="1">'IWP11'!$1:$4</definedName>
    <definedName name="Z_FA063EB1_52B3_49D8_83D1_441968C7020F_.wvu.PrintTitles" localSheetId="13" hidden="1">'IWP12'!$1:$4</definedName>
    <definedName name="Z_FA063EB1_52B3_49D8_83D1_441968C7020F_.wvu.PrintTitles" localSheetId="14" hidden="1">'IWP13'!$1:$4</definedName>
    <definedName name="Z_FA063EB1_52B3_49D8_83D1_441968C7020F_.wvu.PrintTitles" localSheetId="15" hidden="1">'IWP14'!$1:$4</definedName>
    <definedName name="Z_FA063EB1_52B3_49D8_83D1_441968C7020F_.wvu.PrintTitles" localSheetId="16" hidden="1">'IWP15'!$1:$4</definedName>
    <definedName name="Z_FA063EB1_52B3_49D8_83D1_441968C7020F_.wvu.PrintTitles" localSheetId="17" hidden="1">'IWP16'!$1:$4</definedName>
    <definedName name="Z_FA063EB1_52B3_49D8_83D1_441968C7020F_.wvu.PrintTitles" localSheetId="18" hidden="1">'IWP17'!$1:$4</definedName>
    <definedName name="Z_FA063EB1_52B3_49D8_83D1_441968C7020F_.wvu.PrintTitles" localSheetId="19" hidden="1">'IWP18'!$1:$4</definedName>
    <definedName name="Z_FA063EB1_52B3_49D8_83D1_441968C7020F_.wvu.PrintTitles" localSheetId="20" hidden="1">'IWP19'!$1:$4</definedName>
    <definedName name="Z_FA063EB1_52B3_49D8_83D1_441968C7020F_.wvu.PrintTitles" localSheetId="21" hidden="1">'IWP20'!$1:$4</definedName>
    <definedName name="Z_FA063EB1_52B3_49D8_83D1_441968C7020F_.wvu.PrintTitles" localSheetId="22" hidden="1">'IWP21'!$1:$4</definedName>
    <definedName name="Z_FA063EB1_52B3_49D8_83D1_441968C7020F_.wvu.PrintTitles" localSheetId="23" hidden="1">'IWP22'!$1:$4</definedName>
    <definedName name="Z_FA063EB1_52B3_49D8_83D1_441968C7020F_.wvu.PrintTitles" localSheetId="24" hidden="1">'IWP23'!$1:$4</definedName>
    <definedName name="Z_FA063EB1_52B3_49D8_83D1_441968C7020F_.wvu.PrintTitles" localSheetId="25" hidden="1">'IWP24'!$1:$4</definedName>
    <definedName name="Z_FA063EB1_52B3_49D8_83D1_441968C7020F_.wvu.PrintTitles" localSheetId="26" hidden="1">'IWP25'!$1:$4</definedName>
    <definedName name="Z_FA063EB1_52B3_49D8_83D1_441968C7020F_.wvu.PrintTitles" localSheetId="27" hidden="1">'IWP26'!$1:$4</definedName>
    <definedName name="Z_FA063EB1_52B3_49D8_83D1_441968C7020F_.wvu.PrintTitles" localSheetId="28" hidden="1">'IWP27'!$1:$4</definedName>
    <definedName name="Z_FA063EB1_52B3_49D8_83D1_441968C7020F_.wvu.PrintTitles" localSheetId="29" hidden="1">'IWP28'!$1:$4</definedName>
    <definedName name="Z_FA063EB1_52B3_49D8_83D1_441968C7020F_.wvu.PrintTitles" localSheetId="30" hidden="1">'IWP29'!$1:$4</definedName>
    <definedName name="Z_FA063EB1_52B3_49D8_83D1_441968C7020F_.wvu.PrintTitles" localSheetId="31" hidden="1">'IWP30'!$1:$4</definedName>
    <definedName name="Z_FA063EB1_52B3_49D8_83D1_441968C7020F_.wvu.PrintTitles" localSheetId="1" hidden="1">'Monitoring Workbook'!$1:$5</definedName>
    <definedName name="Z_FA063EB1_52B3_49D8_83D1_441968C7020F_.wvu.PrintTitles" localSheetId="34" hidden="1">'Vehicle Checklist (Print)'!$1:$7</definedName>
  </definedNames>
  <calcPr calcId="191029"/>
  <customWorkbookViews>
    <customWorkbookView name="Nelson,Rose M (HHSC) - Personal View" guid="{FA063EB1-52B3-49D8-83D1-441968C7020F}" mergeInterval="0" personalView="1" maximized="1" xWindow="-11" yWindow="-11" windowWidth="1942" windowHeight="1042" tabRatio="88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 i="32" l="1"/>
  <c r="I17" i="31"/>
  <c r="I17" i="30"/>
  <c r="I17" i="29"/>
  <c r="I17" i="28"/>
  <c r="I17" i="27"/>
  <c r="I17" i="26"/>
  <c r="I17" i="25"/>
  <c r="I17" i="24"/>
  <c r="I17" i="23"/>
  <c r="I17" i="22"/>
  <c r="I17" i="21"/>
  <c r="I17" i="20"/>
  <c r="I17" i="19"/>
  <c r="I17" i="18"/>
  <c r="I17" i="17"/>
  <c r="I17" i="16"/>
  <c r="I17" i="15"/>
  <c r="I17" i="14"/>
  <c r="I17" i="13"/>
  <c r="I17" i="12"/>
  <c r="I17" i="11"/>
  <c r="I17" i="10"/>
  <c r="I17" i="9"/>
  <c r="I17" i="8"/>
  <c r="I17" i="7"/>
  <c r="I17" i="6"/>
  <c r="I17" i="5"/>
  <c r="I17" i="4"/>
  <c r="I17" i="3"/>
  <c r="Y535" i="1" l="1"/>
  <c r="W535" i="1"/>
  <c r="U535" i="1"/>
  <c r="R535" i="1"/>
  <c r="P535" i="1"/>
  <c r="N535" i="1"/>
  <c r="L535" i="1"/>
  <c r="J535" i="1"/>
  <c r="H535" i="1"/>
  <c r="F535" i="1"/>
  <c r="E535" i="1"/>
  <c r="D535" i="1"/>
  <c r="Y534" i="1"/>
  <c r="W534" i="1"/>
  <c r="U534" i="1"/>
  <c r="R534" i="1"/>
  <c r="P534" i="1"/>
  <c r="N534" i="1"/>
  <c r="L534" i="1"/>
  <c r="J534" i="1"/>
  <c r="H534" i="1"/>
  <c r="F534" i="1"/>
  <c r="E534" i="1"/>
  <c r="D534" i="1"/>
  <c r="Y533" i="1"/>
  <c r="W533" i="1"/>
  <c r="U533" i="1"/>
  <c r="R533" i="1"/>
  <c r="P533" i="1"/>
  <c r="N533" i="1"/>
  <c r="L533" i="1"/>
  <c r="J533" i="1"/>
  <c r="H533" i="1"/>
  <c r="F533" i="1"/>
  <c r="E533" i="1"/>
  <c r="D533" i="1"/>
  <c r="Y532" i="1"/>
  <c r="W532" i="1"/>
  <c r="U532" i="1"/>
  <c r="R532" i="1"/>
  <c r="P532" i="1"/>
  <c r="N532" i="1"/>
  <c r="L532" i="1"/>
  <c r="J532" i="1"/>
  <c r="H532" i="1"/>
  <c r="F532" i="1"/>
  <c r="E532" i="1"/>
  <c r="D532" i="1"/>
  <c r="Y531" i="1"/>
  <c r="W531" i="1"/>
  <c r="U531" i="1"/>
  <c r="R531" i="1"/>
  <c r="P531" i="1"/>
  <c r="N531" i="1"/>
  <c r="L531" i="1"/>
  <c r="J531" i="1"/>
  <c r="H531" i="1"/>
  <c r="F531" i="1"/>
  <c r="E531" i="1"/>
  <c r="D531" i="1"/>
  <c r="Y530" i="1"/>
  <c r="W530" i="1"/>
  <c r="U530" i="1"/>
  <c r="R530" i="1"/>
  <c r="P530" i="1"/>
  <c r="N530" i="1"/>
  <c r="L530" i="1"/>
  <c r="J530" i="1"/>
  <c r="H530" i="1"/>
  <c r="F530" i="1"/>
  <c r="E530" i="1"/>
  <c r="D530" i="1"/>
  <c r="Y529" i="1"/>
  <c r="W529" i="1"/>
  <c r="U529" i="1"/>
  <c r="R529" i="1"/>
  <c r="P529" i="1"/>
  <c r="N529" i="1"/>
  <c r="L529" i="1"/>
  <c r="J529" i="1"/>
  <c r="H529" i="1"/>
  <c r="F529" i="1"/>
  <c r="E529" i="1"/>
  <c r="D529" i="1"/>
  <c r="Y528" i="1"/>
  <c r="W528" i="1"/>
  <c r="U528" i="1"/>
  <c r="R528" i="1"/>
  <c r="P528" i="1"/>
  <c r="N528" i="1"/>
  <c r="L528" i="1"/>
  <c r="J528" i="1"/>
  <c r="H528" i="1"/>
  <c r="F528" i="1"/>
  <c r="E528" i="1"/>
  <c r="D528" i="1"/>
  <c r="Y527" i="1"/>
  <c r="W527" i="1"/>
  <c r="U527" i="1"/>
  <c r="R527" i="1"/>
  <c r="P527" i="1"/>
  <c r="N527" i="1"/>
  <c r="L527" i="1"/>
  <c r="J527" i="1"/>
  <c r="H527" i="1"/>
  <c r="F527" i="1"/>
  <c r="E527" i="1"/>
  <c r="D527" i="1"/>
  <c r="Y526" i="1"/>
  <c r="W526" i="1"/>
  <c r="U526" i="1"/>
  <c r="R526" i="1"/>
  <c r="P526" i="1"/>
  <c r="N526" i="1"/>
  <c r="L526" i="1"/>
  <c r="J526" i="1"/>
  <c r="H526" i="1"/>
  <c r="F526" i="1"/>
  <c r="E526" i="1"/>
  <c r="D526" i="1"/>
  <c r="Y525" i="1"/>
  <c r="W525" i="1"/>
  <c r="U525" i="1"/>
  <c r="R525" i="1"/>
  <c r="P525" i="1"/>
  <c r="N525" i="1"/>
  <c r="L525" i="1"/>
  <c r="J525" i="1"/>
  <c r="H525" i="1"/>
  <c r="F525" i="1"/>
  <c r="E525" i="1"/>
  <c r="D525" i="1"/>
  <c r="Y524" i="1"/>
  <c r="W524" i="1"/>
  <c r="U524" i="1"/>
  <c r="R524" i="1"/>
  <c r="P524" i="1"/>
  <c r="N524" i="1"/>
  <c r="L524" i="1"/>
  <c r="J524" i="1"/>
  <c r="H524" i="1"/>
  <c r="F524" i="1"/>
  <c r="E524" i="1"/>
  <c r="D524" i="1"/>
  <c r="Y523" i="1"/>
  <c r="W523" i="1"/>
  <c r="U523" i="1"/>
  <c r="R523" i="1"/>
  <c r="P523" i="1"/>
  <c r="N523" i="1"/>
  <c r="L523" i="1"/>
  <c r="J523" i="1"/>
  <c r="H523" i="1"/>
  <c r="F523" i="1"/>
  <c r="E523" i="1"/>
  <c r="D523" i="1"/>
  <c r="Y522" i="1"/>
  <c r="W522" i="1"/>
  <c r="U522" i="1"/>
  <c r="R522" i="1"/>
  <c r="P522" i="1"/>
  <c r="N522" i="1"/>
  <c r="L522" i="1"/>
  <c r="J522" i="1"/>
  <c r="H522" i="1"/>
  <c r="F522" i="1"/>
  <c r="E522" i="1"/>
  <c r="D522" i="1"/>
  <c r="Y521" i="1"/>
  <c r="W521" i="1"/>
  <c r="U521" i="1"/>
  <c r="R521" i="1"/>
  <c r="P521" i="1"/>
  <c r="N521" i="1"/>
  <c r="L521" i="1"/>
  <c r="J521" i="1"/>
  <c r="H521" i="1"/>
  <c r="F521" i="1"/>
  <c r="E521" i="1"/>
  <c r="D521" i="1"/>
  <c r="Y520" i="1"/>
  <c r="W520" i="1"/>
  <c r="U520" i="1"/>
  <c r="R520" i="1"/>
  <c r="P520" i="1"/>
  <c r="N520" i="1"/>
  <c r="L520" i="1"/>
  <c r="J520" i="1"/>
  <c r="H520" i="1"/>
  <c r="F520" i="1"/>
  <c r="E520" i="1"/>
  <c r="D520" i="1"/>
  <c r="Y519" i="1"/>
  <c r="W519" i="1"/>
  <c r="U519" i="1"/>
  <c r="R519" i="1"/>
  <c r="P519" i="1"/>
  <c r="N519" i="1"/>
  <c r="L519" i="1"/>
  <c r="J519" i="1"/>
  <c r="H519" i="1"/>
  <c r="F519" i="1"/>
  <c r="E519" i="1"/>
  <c r="D519" i="1"/>
  <c r="Y518" i="1"/>
  <c r="W518" i="1"/>
  <c r="U518" i="1"/>
  <c r="R518" i="1"/>
  <c r="P518" i="1"/>
  <c r="N518" i="1"/>
  <c r="L518" i="1"/>
  <c r="J518" i="1"/>
  <c r="H518" i="1"/>
  <c r="F518" i="1"/>
  <c r="E518" i="1"/>
  <c r="D518" i="1"/>
  <c r="Y517" i="1"/>
  <c r="W517" i="1"/>
  <c r="U517" i="1"/>
  <c r="R517" i="1"/>
  <c r="P517" i="1"/>
  <c r="N517" i="1"/>
  <c r="L517" i="1"/>
  <c r="J517" i="1"/>
  <c r="H517" i="1"/>
  <c r="F517" i="1"/>
  <c r="E517" i="1"/>
  <c r="D517" i="1"/>
  <c r="Y516" i="1"/>
  <c r="W516" i="1"/>
  <c r="U516" i="1"/>
  <c r="R516" i="1"/>
  <c r="P516" i="1"/>
  <c r="N516" i="1"/>
  <c r="L516" i="1"/>
  <c r="J516" i="1"/>
  <c r="H516" i="1"/>
  <c r="F516" i="1"/>
  <c r="E516" i="1"/>
  <c r="D516" i="1"/>
  <c r="Y515" i="1"/>
  <c r="W515" i="1"/>
  <c r="U515" i="1"/>
  <c r="R515" i="1"/>
  <c r="P515" i="1"/>
  <c r="N515" i="1"/>
  <c r="L515" i="1"/>
  <c r="J515" i="1"/>
  <c r="H515" i="1"/>
  <c r="F515" i="1"/>
  <c r="E515" i="1"/>
  <c r="D515" i="1"/>
  <c r="Y514" i="1"/>
  <c r="W514" i="1"/>
  <c r="U514" i="1"/>
  <c r="R514" i="1"/>
  <c r="P514" i="1"/>
  <c r="N514" i="1"/>
  <c r="L514" i="1"/>
  <c r="J514" i="1"/>
  <c r="H514" i="1"/>
  <c r="F514" i="1"/>
  <c r="E514" i="1"/>
  <c r="D514" i="1"/>
  <c r="Y513" i="1"/>
  <c r="W513" i="1"/>
  <c r="U513" i="1"/>
  <c r="R513" i="1"/>
  <c r="P513" i="1"/>
  <c r="N513" i="1"/>
  <c r="L513" i="1"/>
  <c r="J513" i="1"/>
  <c r="H513" i="1"/>
  <c r="F513" i="1"/>
  <c r="E513" i="1"/>
  <c r="D513" i="1"/>
  <c r="Y512" i="1"/>
  <c r="W512" i="1"/>
  <c r="U512" i="1"/>
  <c r="R512" i="1"/>
  <c r="P512" i="1"/>
  <c r="N512" i="1"/>
  <c r="L512" i="1"/>
  <c r="J512" i="1"/>
  <c r="H512" i="1"/>
  <c r="F512" i="1"/>
  <c r="E512" i="1"/>
  <c r="D512" i="1"/>
  <c r="Y511" i="1"/>
  <c r="W511" i="1"/>
  <c r="U511" i="1"/>
  <c r="R511" i="1"/>
  <c r="P511" i="1"/>
  <c r="N511" i="1"/>
  <c r="L511" i="1"/>
  <c r="J511" i="1"/>
  <c r="H511" i="1"/>
  <c r="F511" i="1"/>
  <c r="E511" i="1"/>
  <c r="D511" i="1"/>
  <c r="Y510" i="1"/>
  <c r="W510" i="1"/>
  <c r="U510" i="1"/>
  <c r="R510" i="1"/>
  <c r="P510" i="1"/>
  <c r="N510" i="1"/>
  <c r="L510" i="1"/>
  <c r="J510" i="1"/>
  <c r="H510" i="1"/>
  <c r="F510" i="1"/>
  <c r="E510" i="1"/>
  <c r="D510" i="1"/>
  <c r="Y509" i="1"/>
  <c r="W509" i="1"/>
  <c r="U509" i="1"/>
  <c r="R509" i="1"/>
  <c r="P509" i="1"/>
  <c r="N509" i="1"/>
  <c r="L509" i="1"/>
  <c r="J509" i="1"/>
  <c r="H509" i="1"/>
  <c r="F509" i="1"/>
  <c r="E509" i="1"/>
  <c r="D509" i="1"/>
  <c r="Y508" i="1"/>
  <c r="W508" i="1"/>
  <c r="U508" i="1"/>
  <c r="R508" i="1"/>
  <c r="P508" i="1"/>
  <c r="N508" i="1"/>
  <c r="L508" i="1"/>
  <c r="J508" i="1"/>
  <c r="H508" i="1"/>
  <c r="F508" i="1"/>
  <c r="E508" i="1"/>
  <c r="D508" i="1"/>
  <c r="Y507" i="1"/>
  <c r="W507" i="1"/>
  <c r="U507" i="1"/>
  <c r="R507" i="1"/>
  <c r="P507" i="1"/>
  <c r="N507" i="1"/>
  <c r="L507" i="1"/>
  <c r="J507" i="1"/>
  <c r="H507" i="1"/>
  <c r="F507" i="1"/>
  <c r="E507" i="1"/>
  <c r="D507" i="1"/>
  <c r="Y506" i="1"/>
  <c r="W506" i="1"/>
  <c r="U506" i="1"/>
  <c r="R506" i="1"/>
  <c r="P506" i="1"/>
  <c r="N506" i="1"/>
  <c r="L506" i="1"/>
  <c r="J506" i="1"/>
  <c r="H506" i="1"/>
  <c r="F506" i="1"/>
  <c r="E506" i="1"/>
  <c r="D506" i="1"/>
  <c r="Y505" i="1"/>
  <c r="W505" i="1"/>
  <c r="U505" i="1"/>
  <c r="R505" i="1"/>
  <c r="P505" i="1"/>
  <c r="N505" i="1"/>
  <c r="L505" i="1"/>
  <c r="J505" i="1"/>
  <c r="H505" i="1"/>
  <c r="F505" i="1"/>
  <c r="E505" i="1"/>
  <c r="D505" i="1"/>
  <c r="Y504" i="1"/>
  <c r="W504" i="1"/>
  <c r="U504" i="1"/>
  <c r="R504" i="1"/>
  <c r="P504" i="1"/>
  <c r="N504" i="1"/>
  <c r="L504" i="1"/>
  <c r="J504" i="1"/>
  <c r="H504" i="1"/>
  <c r="F504" i="1"/>
  <c r="E504" i="1"/>
  <c r="D504" i="1"/>
  <c r="Y503" i="1"/>
  <c r="W503" i="1"/>
  <c r="U503" i="1"/>
  <c r="R503" i="1"/>
  <c r="P503" i="1"/>
  <c r="N503" i="1"/>
  <c r="L503" i="1"/>
  <c r="J503" i="1"/>
  <c r="H503" i="1"/>
  <c r="F503" i="1"/>
  <c r="E503" i="1"/>
  <c r="D503" i="1"/>
  <c r="Y502" i="1"/>
  <c r="W502" i="1"/>
  <c r="U502" i="1"/>
  <c r="R502" i="1"/>
  <c r="P502" i="1"/>
  <c r="N502" i="1"/>
  <c r="L502" i="1"/>
  <c r="J502" i="1"/>
  <c r="H502" i="1"/>
  <c r="F502" i="1"/>
  <c r="E502" i="1"/>
  <c r="D502" i="1"/>
  <c r="Y501" i="1"/>
  <c r="W501" i="1"/>
  <c r="U501" i="1"/>
  <c r="R501" i="1"/>
  <c r="P501" i="1"/>
  <c r="N501" i="1"/>
  <c r="L501" i="1"/>
  <c r="J501" i="1"/>
  <c r="H501" i="1"/>
  <c r="F501" i="1"/>
  <c r="E501" i="1"/>
  <c r="D501" i="1"/>
  <c r="Y500" i="1"/>
  <c r="W500" i="1"/>
  <c r="U500" i="1"/>
  <c r="R500" i="1"/>
  <c r="P500" i="1"/>
  <c r="N500" i="1"/>
  <c r="L500" i="1"/>
  <c r="J500" i="1"/>
  <c r="H500" i="1"/>
  <c r="F500" i="1"/>
  <c r="E500" i="1"/>
  <c r="D500" i="1"/>
  <c r="Y499" i="1"/>
  <c r="W499" i="1"/>
  <c r="U499" i="1"/>
  <c r="R499" i="1"/>
  <c r="P499" i="1"/>
  <c r="N499" i="1"/>
  <c r="L499" i="1"/>
  <c r="J499" i="1"/>
  <c r="H499" i="1"/>
  <c r="F499" i="1"/>
  <c r="E499" i="1"/>
  <c r="D499" i="1"/>
  <c r="Y498" i="1"/>
  <c r="W498" i="1"/>
  <c r="U498" i="1"/>
  <c r="R498" i="1"/>
  <c r="P498" i="1"/>
  <c r="N498" i="1"/>
  <c r="L498" i="1"/>
  <c r="J498" i="1"/>
  <c r="H498" i="1"/>
  <c r="F498" i="1"/>
  <c r="E498" i="1"/>
  <c r="D498" i="1"/>
  <c r="Y497" i="1"/>
  <c r="W497" i="1"/>
  <c r="U497" i="1"/>
  <c r="R497" i="1"/>
  <c r="P497" i="1"/>
  <c r="N497" i="1"/>
  <c r="L497" i="1"/>
  <c r="J497" i="1"/>
  <c r="H497" i="1"/>
  <c r="F497" i="1"/>
  <c r="E497" i="1"/>
  <c r="D497" i="1"/>
  <c r="Y496" i="1"/>
  <c r="W496" i="1"/>
  <c r="U496" i="1"/>
  <c r="R496" i="1"/>
  <c r="P496" i="1"/>
  <c r="N496" i="1"/>
  <c r="L496" i="1"/>
  <c r="J496" i="1"/>
  <c r="H496" i="1"/>
  <c r="F496" i="1"/>
  <c r="E496" i="1"/>
  <c r="D496" i="1"/>
  <c r="Y495" i="1"/>
  <c r="W495" i="1"/>
  <c r="U495" i="1"/>
  <c r="R495" i="1"/>
  <c r="P495" i="1"/>
  <c r="N495" i="1"/>
  <c r="L495" i="1"/>
  <c r="J495" i="1"/>
  <c r="H495" i="1"/>
  <c r="F495" i="1"/>
  <c r="E495" i="1"/>
  <c r="D495" i="1"/>
  <c r="Y494" i="1"/>
  <c r="W494" i="1"/>
  <c r="U494" i="1"/>
  <c r="R494" i="1"/>
  <c r="P494" i="1"/>
  <c r="N494" i="1"/>
  <c r="L494" i="1"/>
  <c r="J494" i="1"/>
  <c r="H494" i="1"/>
  <c r="F494" i="1"/>
  <c r="E494" i="1"/>
  <c r="D494" i="1"/>
  <c r="Y493" i="1"/>
  <c r="W493" i="1"/>
  <c r="U493" i="1"/>
  <c r="R493" i="1"/>
  <c r="P493" i="1"/>
  <c r="N493" i="1"/>
  <c r="L493" i="1"/>
  <c r="J493" i="1"/>
  <c r="H493" i="1"/>
  <c r="F493" i="1"/>
  <c r="E493" i="1"/>
  <c r="D493" i="1"/>
  <c r="Y492" i="1"/>
  <c r="W492" i="1"/>
  <c r="U492" i="1"/>
  <c r="R492" i="1"/>
  <c r="P492" i="1"/>
  <c r="N492" i="1"/>
  <c r="L492" i="1"/>
  <c r="J492" i="1"/>
  <c r="H492" i="1"/>
  <c r="F492" i="1"/>
  <c r="E492" i="1"/>
  <c r="D492" i="1"/>
  <c r="Y491" i="1"/>
  <c r="W491" i="1"/>
  <c r="U491" i="1"/>
  <c r="R491" i="1"/>
  <c r="P491" i="1"/>
  <c r="N491" i="1"/>
  <c r="L491" i="1"/>
  <c r="J491" i="1"/>
  <c r="H491" i="1"/>
  <c r="F491" i="1"/>
  <c r="E491" i="1"/>
  <c r="D491" i="1"/>
  <c r="Y490" i="1"/>
  <c r="W490" i="1"/>
  <c r="U490" i="1"/>
  <c r="R490" i="1"/>
  <c r="P490" i="1"/>
  <c r="N490" i="1"/>
  <c r="L490" i="1"/>
  <c r="J490" i="1"/>
  <c r="H490" i="1"/>
  <c r="F490" i="1"/>
  <c r="E490" i="1"/>
  <c r="D490" i="1"/>
  <c r="Y489" i="1"/>
  <c r="W489" i="1"/>
  <c r="U489" i="1"/>
  <c r="R489" i="1"/>
  <c r="P489" i="1"/>
  <c r="N489" i="1"/>
  <c r="L489" i="1"/>
  <c r="J489" i="1"/>
  <c r="H489" i="1"/>
  <c r="F489" i="1"/>
  <c r="E489" i="1"/>
  <c r="D489" i="1"/>
  <c r="Y488" i="1"/>
  <c r="W488" i="1"/>
  <c r="U488" i="1"/>
  <c r="R488" i="1"/>
  <c r="P488" i="1"/>
  <c r="N488" i="1"/>
  <c r="L488" i="1"/>
  <c r="J488" i="1"/>
  <c r="H488" i="1"/>
  <c r="F488" i="1"/>
  <c r="E488" i="1"/>
  <c r="D488" i="1"/>
  <c r="Y487" i="1"/>
  <c r="W487" i="1"/>
  <c r="U487" i="1"/>
  <c r="R487" i="1"/>
  <c r="P487" i="1"/>
  <c r="N487" i="1"/>
  <c r="L487" i="1"/>
  <c r="J487" i="1"/>
  <c r="H487" i="1"/>
  <c r="F487" i="1"/>
  <c r="E487" i="1"/>
  <c r="D487" i="1"/>
  <c r="Y486" i="1"/>
  <c r="W486" i="1"/>
  <c r="U486" i="1"/>
  <c r="R486" i="1"/>
  <c r="P486" i="1"/>
  <c r="N486" i="1"/>
  <c r="L486" i="1"/>
  <c r="J486" i="1"/>
  <c r="H486" i="1"/>
  <c r="F486" i="1"/>
  <c r="E486" i="1"/>
  <c r="D486" i="1"/>
  <c r="Y485" i="1"/>
  <c r="W485" i="1"/>
  <c r="U485" i="1"/>
  <c r="R485" i="1"/>
  <c r="P485" i="1"/>
  <c r="N485" i="1"/>
  <c r="L485" i="1"/>
  <c r="J485" i="1"/>
  <c r="H485" i="1"/>
  <c r="F485" i="1"/>
  <c r="E485" i="1"/>
  <c r="D485" i="1"/>
  <c r="Y484" i="1"/>
  <c r="W484" i="1"/>
  <c r="U484" i="1"/>
  <c r="R484" i="1"/>
  <c r="P484" i="1"/>
  <c r="N484" i="1"/>
  <c r="L484" i="1"/>
  <c r="J484" i="1"/>
  <c r="H484" i="1"/>
  <c r="F484" i="1"/>
  <c r="E484" i="1"/>
  <c r="D484" i="1"/>
  <c r="Y483" i="1"/>
  <c r="W483" i="1"/>
  <c r="U483" i="1"/>
  <c r="R483" i="1"/>
  <c r="P483" i="1"/>
  <c r="N483" i="1"/>
  <c r="L483" i="1"/>
  <c r="J483" i="1"/>
  <c r="H483" i="1"/>
  <c r="F483" i="1"/>
  <c r="E483" i="1"/>
  <c r="D483" i="1"/>
  <c r="Y482" i="1"/>
  <c r="W482" i="1"/>
  <c r="U482" i="1"/>
  <c r="R482" i="1"/>
  <c r="P482" i="1"/>
  <c r="N482" i="1"/>
  <c r="L482" i="1"/>
  <c r="J482" i="1"/>
  <c r="H482" i="1"/>
  <c r="F482" i="1"/>
  <c r="E482" i="1"/>
  <c r="D482" i="1"/>
  <c r="Y481" i="1"/>
  <c r="W481" i="1"/>
  <c r="U481" i="1"/>
  <c r="R481" i="1"/>
  <c r="P481" i="1"/>
  <c r="N481" i="1"/>
  <c r="L481" i="1"/>
  <c r="J481" i="1"/>
  <c r="H481" i="1"/>
  <c r="F481" i="1"/>
  <c r="E481" i="1"/>
  <c r="D481" i="1"/>
  <c r="Y480" i="1"/>
  <c r="W480" i="1"/>
  <c r="U480" i="1"/>
  <c r="R480" i="1"/>
  <c r="P480" i="1"/>
  <c r="N480" i="1"/>
  <c r="L480" i="1"/>
  <c r="J480" i="1"/>
  <c r="H480" i="1"/>
  <c r="F480" i="1"/>
  <c r="E480" i="1"/>
  <c r="D480" i="1"/>
  <c r="Y479" i="1"/>
  <c r="W479" i="1"/>
  <c r="U479" i="1"/>
  <c r="R479" i="1"/>
  <c r="P479" i="1"/>
  <c r="N479" i="1"/>
  <c r="L479" i="1"/>
  <c r="J479" i="1"/>
  <c r="H479" i="1"/>
  <c r="F479" i="1"/>
  <c r="E479" i="1"/>
  <c r="D479" i="1"/>
  <c r="Y478" i="1"/>
  <c r="W478" i="1"/>
  <c r="U478" i="1"/>
  <c r="R478" i="1"/>
  <c r="P478" i="1"/>
  <c r="N478" i="1"/>
  <c r="L478" i="1"/>
  <c r="J478" i="1"/>
  <c r="H478" i="1"/>
  <c r="F478" i="1"/>
  <c r="E478" i="1"/>
  <c r="D478" i="1"/>
  <c r="Y477" i="1"/>
  <c r="W477" i="1"/>
  <c r="U477" i="1"/>
  <c r="R477" i="1"/>
  <c r="P477" i="1"/>
  <c r="N477" i="1"/>
  <c r="L477" i="1"/>
  <c r="J477" i="1"/>
  <c r="H477" i="1"/>
  <c r="F477" i="1"/>
  <c r="E477" i="1"/>
  <c r="D477" i="1"/>
  <c r="Y476" i="1"/>
  <c r="W476" i="1"/>
  <c r="U476" i="1"/>
  <c r="R476" i="1"/>
  <c r="P476" i="1"/>
  <c r="N476" i="1"/>
  <c r="L476" i="1"/>
  <c r="J476" i="1"/>
  <c r="H476" i="1"/>
  <c r="F476" i="1"/>
  <c r="E476" i="1"/>
  <c r="D476" i="1"/>
  <c r="Y475" i="1"/>
  <c r="W475" i="1"/>
  <c r="U475" i="1"/>
  <c r="R475" i="1"/>
  <c r="P475" i="1"/>
  <c r="N475" i="1"/>
  <c r="L475" i="1"/>
  <c r="J475" i="1"/>
  <c r="H475" i="1"/>
  <c r="F475" i="1"/>
  <c r="E475" i="1"/>
  <c r="D475" i="1"/>
  <c r="Y474" i="1"/>
  <c r="W474" i="1"/>
  <c r="U474" i="1"/>
  <c r="R474" i="1"/>
  <c r="P474" i="1"/>
  <c r="N474" i="1"/>
  <c r="L474" i="1"/>
  <c r="J474" i="1"/>
  <c r="H474" i="1"/>
  <c r="F474" i="1"/>
  <c r="E474" i="1"/>
  <c r="D474" i="1"/>
  <c r="Y473" i="1"/>
  <c r="W473" i="1"/>
  <c r="U473" i="1"/>
  <c r="R473" i="1"/>
  <c r="P473" i="1"/>
  <c r="N473" i="1"/>
  <c r="L473" i="1"/>
  <c r="J473" i="1"/>
  <c r="H473" i="1"/>
  <c r="F473" i="1"/>
  <c r="E473" i="1"/>
  <c r="D473" i="1"/>
  <c r="Y472" i="1"/>
  <c r="W472" i="1"/>
  <c r="U472" i="1"/>
  <c r="R472" i="1"/>
  <c r="P472" i="1"/>
  <c r="N472" i="1"/>
  <c r="L472" i="1"/>
  <c r="J472" i="1"/>
  <c r="H472" i="1"/>
  <c r="F472" i="1"/>
  <c r="E472" i="1"/>
  <c r="D472" i="1"/>
  <c r="Y471" i="1"/>
  <c r="W471" i="1"/>
  <c r="U471" i="1"/>
  <c r="R471" i="1"/>
  <c r="P471" i="1"/>
  <c r="N471" i="1"/>
  <c r="L471" i="1"/>
  <c r="J471" i="1"/>
  <c r="H471" i="1"/>
  <c r="F471" i="1"/>
  <c r="E471" i="1"/>
  <c r="D471" i="1"/>
  <c r="Y470" i="1"/>
  <c r="W470" i="1"/>
  <c r="U470" i="1"/>
  <c r="R470" i="1"/>
  <c r="P470" i="1"/>
  <c r="N470" i="1"/>
  <c r="L470" i="1"/>
  <c r="J470" i="1"/>
  <c r="H470" i="1"/>
  <c r="F470" i="1"/>
  <c r="E470" i="1"/>
  <c r="D470" i="1"/>
  <c r="Y469" i="1"/>
  <c r="W469" i="1"/>
  <c r="U469" i="1"/>
  <c r="R469" i="1"/>
  <c r="P469" i="1"/>
  <c r="N469" i="1"/>
  <c r="L469" i="1"/>
  <c r="J469" i="1"/>
  <c r="H469" i="1"/>
  <c r="F469" i="1"/>
  <c r="E469" i="1"/>
  <c r="D469" i="1"/>
  <c r="Y468" i="1"/>
  <c r="W468" i="1"/>
  <c r="U468" i="1"/>
  <c r="R468" i="1"/>
  <c r="P468" i="1"/>
  <c r="N468" i="1"/>
  <c r="L468" i="1"/>
  <c r="J468" i="1"/>
  <c r="H468" i="1"/>
  <c r="F468" i="1"/>
  <c r="E468" i="1"/>
  <c r="D468" i="1"/>
  <c r="Y467" i="1"/>
  <c r="W467" i="1"/>
  <c r="U467" i="1"/>
  <c r="R467" i="1"/>
  <c r="P467" i="1"/>
  <c r="N467" i="1"/>
  <c r="L467" i="1"/>
  <c r="J467" i="1"/>
  <c r="H467" i="1"/>
  <c r="F467" i="1"/>
  <c r="E467" i="1"/>
  <c r="D467" i="1"/>
  <c r="Y466" i="1"/>
  <c r="W466" i="1"/>
  <c r="U466" i="1"/>
  <c r="R466" i="1"/>
  <c r="P466" i="1"/>
  <c r="N466" i="1"/>
  <c r="L466" i="1"/>
  <c r="J466" i="1"/>
  <c r="H466" i="1"/>
  <c r="F466" i="1"/>
  <c r="E466" i="1"/>
  <c r="D466" i="1"/>
  <c r="Y465" i="1"/>
  <c r="W465" i="1"/>
  <c r="U465" i="1"/>
  <c r="R465" i="1"/>
  <c r="P465" i="1"/>
  <c r="N465" i="1"/>
  <c r="L465" i="1"/>
  <c r="J465" i="1"/>
  <c r="H465" i="1"/>
  <c r="F465" i="1"/>
  <c r="E465" i="1"/>
  <c r="D465" i="1"/>
  <c r="Y464" i="1"/>
  <c r="W464" i="1"/>
  <c r="U464" i="1"/>
  <c r="R464" i="1"/>
  <c r="P464" i="1"/>
  <c r="N464" i="1"/>
  <c r="L464" i="1"/>
  <c r="J464" i="1"/>
  <c r="H464" i="1"/>
  <c r="F464" i="1"/>
  <c r="E464" i="1"/>
  <c r="D464" i="1"/>
  <c r="Y463" i="1"/>
  <c r="W463" i="1"/>
  <c r="U463" i="1"/>
  <c r="R463" i="1"/>
  <c r="P463" i="1"/>
  <c r="N463" i="1"/>
  <c r="L463" i="1"/>
  <c r="J463" i="1"/>
  <c r="H463" i="1"/>
  <c r="F463" i="1"/>
  <c r="E463" i="1"/>
  <c r="D463" i="1"/>
  <c r="Y462" i="1"/>
  <c r="W462" i="1"/>
  <c r="U462" i="1"/>
  <c r="R462" i="1"/>
  <c r="P462" i="1"/>
  <c r="N462" i="1"/>
  <c r="L462" i="1"/>
  <c r="J462" i="1"/>
  <c r="H462" i="1"/>
  <c r="F462" i="1"/>
  <c r="E462" i="1"/>
  <c r="D462" i="1"/>
  <c r="Y461" i="1"/>
  <c r="W461" i="1"/>
  <c r="U461" i="1"/>
  <c r="R461" i="1"/>
  <c r="P461" i="1"/>
  <c r="N461" i="1"/>
  <c r="L461" i="1"/>
  <c r="J461" i="1"/>
  <c r="H461" i="1"/>
  <c r="F461" i="1"/>
  <c r="E461" i="1"/>
  <c r="D461" i="1"/>
  <c r="Y460" i="1"/>
  <c r="W460" i="1"/>
  <c r="U460" i="1"/>
  <c r="R460" i="1"/>
  <c r="P460" i="1"/>
  <c r="N460" i="1"/>
  <c r="L460" i="1"/>
  <c r="J460" i="1"/>
  <c r="H460" i="1"/>
  <c r="F460" i="1"/>
  <c r="E460" i="1"/>
  <c r="D460" i="1"/>
  <c r="Y459" i="1"/>
  <c r="W459" i="1"/>
  <c r="U459" i="1"/>
  <c r="R459" i="1"/>
  <c r="P459" i="1"/>
  <c r="N459" i="1"/>
  <c r="L459" i="1"/>
  <c r="J459" i="1"/>
  <c r="H459" i="1"/>
  <c r="F459" i="1"/>
  <c r="E459" i="1"/>
  <c r="D459" i="1"/>
  <c r="Y458" i="1"/>
  <c r="W458" i="1"/>
  <c r="U458" i="1"/>
  <c r="R458" i="1"/>
  <c r="P458" i="1"/>
  <c r="N458" i="1"/>
  <c r="L458" i="1"/>
  <c r="J458" i="1"/>
  <c r="H458" i="1"/>
  <c r="F458" i="1"/>
  <c r="E458" i="1"/>
  <c r="D458" i="1"/>
  <c r="Y457" i="1"/>
  <c r="W457" i="1"/>
  <c r="U457" i="1"/>
  <c r="R457" i="1"/>
  <c r="P457" i="1"/>
  <c r="N457" i="1"/>
  <c r="L457" i="1"/>
  <c r="J457" i="1"/>
  <c r="H457" i="1"/>
  <c r="F457" i="1"/>
  <c r="E457" i="1"/>
  <c r="D457" i="1"/>
  <c r="Y456" i="1"/>
  <c r="W456" i="1"/>
  <c r="U456" i="1"/>
  <c r="R456" i="1"/>
  <c r="P456" i="1"/>
  <c r="N456" i="1"/>
  <c r="L456" i="1"/>
  <c r="J456" i="1"/>
  <c r="H456" i="1"/>
  <c r="F456" i="1"/>
  <c r="E456" i="1"/>
  <c r="D456" i="1"/>
  <c r="Y455" i="1"/>
  <c r="W455" i="1"/>
  <c r="U455" i="1"/>
  <c r="R455" i="1"/>
  <c r="P455" i="1"/>
  <c r="N455" i="1"/>
  <c r="L455" i="1"/>
  <c r="J455" i="1"/>
  <c r="H455" i="1"/>
  <c r="F455" i="1"/>
  <c r="E455" i="1"/>
  <c r="D455" i="1"/>
  <c r="Y454" i="1"/>
  <c r="W454" i="1"/>
  <c r="U454" i="1"/>
  <c r="R454" i="1"/>
  <c r="P454" i="1"/>
  <c r="N454" i="1"/>
  <c r="L454" i="1"/>
  <c r="J454" i="1"/>
  <c r="H454" i="1"/>
  <c r="F454" i="1"/>
  <c r="E454" i="1"/>
  <c r="D454" i="1"/>
  <c r="Y453" i="1"/>
  <c r="W453" i="1"/>
  <c r="U453" i="1"/>
  <c r="R453" i="1"/>
  <c r="P453" i="1"/>
  <c r="N453" i="1"/>
  <c r="L453" i="1"/>
  <c r="J453" i="1"/>
  <c r="H453" i="1"/>
  <c r="F453" i="1"/>
  <c r="E453" i="1"/>
  <c r="D453" i="1"/>
  <c r="Y452" i="1"/>
  <c r="W452" i="1"/>
  <c r="U452" i="1"/>
  <c r="R452" i="1"/>
  <c r="P452" i="1"/>
  <c r="N452" i="1"/>
  <c r="L452" i="1"/>
  <c r="J452" i="1"/>
  <c r="H452" i="1"/>
  <c r="F452" i="1"/>
  <c r="E452" i="1"/>
  <c r="D452" i="1"/>
  <c r="Y451" i="1"/>
  <c r="W451" i="1"/>
  <c r="U451" i="1"/>
  <c r="R451" i="1"/>
  <c r="P451" i="1"/>
  <c r="N451" i="1"/>
  <c r="L451" i="1"/>
  <c r="J451" i="1"/>
  <c r="H451" i="1"/>
  <c r="F451" i="1"/>
  <c r="E451" i="1"/>
  <c r="D451" i="1"/>
  <c r="Y450" i="1"/>
  <c r="W450" i="1"/>
  <c r="U450" i="1"/>
  <c r="R450" i="1"/>
  <c r="P450" i="1"/>
  <c r="N450" i="1"/>
  <c r="L450" i="1"/>
  <c r="J450" i="1"/>
  <c r="H450" i="1"/>
  <c r="F450" i="1"/>
  <c r="E450" i="1"/>
  <c r="D450" i="1"/>
  <c r="Y449" i="1"/>
  <c r="W449" i="1"/>
  <c r="U449" i="1"/>
  <c r="R449" i="1"/>
  <c r="P449" i="1"/>
  <c r="N449" i="1"/>
  <c r="L449" i="1"/>
  <c r="J449" i="1"/>
  <c r="H449" i="1"/>
  <c r="F449" i="1"/>
  <c r="E449" i="1"/>
  <c r="D449" i="1"/>
  <c r="Y448" i="1"/>
  <c r="W448" i="1"/>
  <c r="U448" i="1"/>
  <c r="R448" i="1"/>
  <c r="P448" i="1"/>
  <c r="N448" i="1"/>
  <c r="L448" i="1"/>
  <c r="J448" i="1"/>
  <c r="H448" i="1"/>
  <c r="F448" i="1"/>
  <c r="E448" i="1"/>
  <c r="D448" i="1"/>
  <c r="Y447" i="1"/>
  <c r="W447" i="1"/>
  <c r="U447" i="1"/>
  <c r="R447" i="1"/>
  <c r="P447" i="1"/>
  <c r="N447" i="1"/>
  <c r="L447" i="1"/>
  <c r="J447" i="1"/>
  <c r="H447" i="1"/>
  <c r="F447" i="1"/>
  <c r="E447" i="1"/>
  <c r="D447" i="1"/>
  <c r="Y446" i="1"/>
  <c r="W446" i="1"/>
  <c r="U446" i="1"/>
  <c r="R446" i="1"/>
  <c r="P446" i="1"/>
  <c r="N446" i="1"/>
  <c r="L446" i="1"/>
  <c r="J446" i="1"/>
  <c r="H446" i="1"/>
  <c r="F446" i="1"/>
  <c r="E446" i="1"/>
  <c r="D446" i="1"/>
  <c r="Y445" i="1"/>
  <c r="W445" i="1"/>
  <c r="U445" i="1"/>
  <c r="R445" i="1"/>
  <c r="P445" i="1"/>
  <c r="N445" i="1"/>
  <c r="L445" i="1"/>
  <c r="J445" i="1"/>
  <c r="H445" i="1"/>
  <c r="F445" i="1"/>
  <c r="E445" i="1"/>
  <c r="D445" i="1"/>
  <c r="Y444" i="1"/>
  <c r="W444" i="1"/>
  <c r="U444" i="1"/>
  <c r="R444" i="1"/>
  <c r="P444" i="1"/>
  <c r="N444" i="1"/>
  <c r="L444" i="1"/>
  <c r="J444" i="1"/>
  <c r="H444" i="1"/>
  <c r="F444" i="1"/>
  <c r="E444" i="1"/>
  <c r="D444" i="1"/>
  <c r="Y443" i="1"/>
  <c r="W443" i="1"/>
  <c r="U443" i="1"/>
  <c r="R443" i="1"/>
  <c r="P443" i="1"/>
  <c r="N443" i="1"/>
  <c r="L443" i="1"/>
  <c r="J443" i="1"/>
  <c r="H443" i="1"/>
  <c r="F443" i="1"/>
  <c r="E443" i="1"/>
  <c r="D443" i="1"/>
  <c r="Y442" i="1"/>
  <c r="W442" i="1"/>
  <c r="U442" i="1"/>
  <c r="R442" i="1"/>
  <c r="P442" i="1"/>
  <c r="N442" i="1"/>
  <c r="L442" i="1"/>
  <c r="J442" i="1"/>
  <c r="H442" i="1"/>
  <c r="F442" i="1"/>
  <c r="E442" i="1"/>
  <c r="D442" i="1"/>
  <c r="Y441" i="1"/>
  <c r="W441" i="1"/>
  <c r="U441" i="1"/>
  <c r="R441" i="1"/>
  <c r="P441" i="1"/>
  <c r="N441" i="1"/>
  <c r="L441" i="1"/>
  <c r="J441" i="1"/>
  <c r="H441" i="1"/>
  <c r="F441" i="1"/>
  <c r="E441" i="1"/>
  <c r="D441" i="1"/>
  <c r="Y440" i="1"/>
  <c r="W440" i="1"/>
  <c r="U440" i="1"/>
  <c r="R440" i="1"/>
  <c r="P440" i="1"/>
  <c r="N440" i="1"/>
  <c r="L440" i="1"/>
  <c r="J440" i="1"/>
  <c r="H440" i="1"/>
  <c r="F440" i="1"/>
  <c r="E440" i="1"/>
  <c r="D440" i="1"/>
  <c r="Y439" i="1"/>
  <c r="W439" i="1"/>
  <c r="U439" i="1"/>
  <c r="R439" i="1"/>
  <c r="P439" i="1"/>
  <c r="N439" i="1"/>
  <c r="L439" i="1"/>
  <c r="J439" i="1"/>
  <c r="H439" i="1"/>
  <c r="F439" i="1"/>
  <c r="E439" i="1"/>
  <c r="D439" i="1"/>
  <c r="Y438" i="1"/>
  <c r="W438" i="1"/>
  <c r="U438" i="1"/>
  <c r="R438" i="1"/>
  <c r="P438" i="1"/>
  <c r="N438" i="1"/>
  <c r="L438" i="1"/>
  <c r="J438" i="1"/>
  <c r="H438" i="1"/>
  <c r="F438" i="1"/>
  <c r="E438" i="1"/>
  <c r="D438" i="1"/>
  <c r="Y437" i="1"/>
  <c r="W437" i="1"/>
  <c r="U437" i="1"/>
  <c r="R437" i="1"/>
  <c r="P437" i="1"/>
  <c r="N437" i="1"/>
  <c r="L437" i="1"/>
  <c r="J437" i="1"/>
  <c r="H437" i="1"/>
  <c r="F437" i="1"/>
  <c r="E437" i="1"/>
  <c r="D437" i="1"/>
  <c r="Y436" i="1"/>
  <c r="W436" i="1"/>
  <c r="U436" i="1"/>
  <c r="R436" i="1"/>
  <c r="P436" i="1"/>
  <c r="N436" i="1"/>
  <c r="L436" i="1"/>
  <c r="J436" i="1"/>
  <c r="H436" i="1"/>
  <c r="F436" i="1"/>
  <c r="E436" i="1"/>
  <c r="D436" i="1"/>
  <c r="Y435" i="1"/>
  <c r="W435" i="1"/>
  <c r="U435" i="1"/>
  <c r="R435" i="1"/>
  <c r="P435" i="1"/>
  <c r="N435" i="1"/>
  <c r="L435" i="1"/>
  <c r="J435" i="1"/>
  <c r="H435" i="1"/>
  <c r="F435" i="1"/>
  <c r="E435" i="1"/>
  <c r="D435" i="1"/>
  <c r="Y434" i="1"/>
  <c r="W434" i="1"/>
  <c r="U434" i="1"/>
  <c r="R434" i="1"/>
  <c r="P434" i="1"/>
  <c r="N434" i="1"/>
  <c r="L434" i="1"/>
  <c r="J434" i="1"/>
  <c r="H434" i="1"/>
  <c r="F434" i="1"/>
  <c r="E434" i="1"/>
  <c r="D434" i="1"/>
  <c r="Y433" i="1"/>
  <c r="W433" i="1"/>
  <c r="U433" i="1"/>
  <c r="R433" i="1"/>
  <c r="P433" i="1"/>
  <c r="N433" i="1"/>
  <c r="L433" i="1"/>
  <c r="J433" i="1"/>
  <c r="H433" i="1"/>
  <c r="F433" i="1"/>
  <c r="E433" i="1"/>
  <c r="D433" i="1"/>
  <c r="Y432" i="1"/>
  <c r="W432" i="1"/>
  <c r="U432" i="1"/>
  <c r="R432" i="1"/>
  <c r="P432" i="1"/>
  <c r="N432" i="1"/>
  <c r="L432" i="1"/>
  <c r="J432" i="1"/>
  <c r="H432" i="1"/>
  <c r="F432" i="1"/>
  <c r="E432" i="1"/>
  <c r="D432" i="1"/>
  <c r="Y431" i="1"/>
  <c r="W431" i="1"/>
  <c r="U431" i="1"/>
  <c r="R431" i="1"/>
  <c r="P431" i="1"/>
  <c r="N431" i="1"/>
  <c r="L431" i="1"/>
  <c r="J431" i="1"/>
  <c r="H431" i="1"/>
  <c r="F431" i="1"/>
  <c r="E431" i="1"/>
  <c r="D431" i="1"/>
  <c r="Y430" i="1"/>
  <c r="W430" i="1"/>
  <c r="U430" i="1"/>
  <c r="R430" i="1"/>
  <c r="P430" i="1"/>
  <c r="N430" i="1"/>
  <c r="L430" i="1"/>
  <c r="J430" i="1"/>
  <c r="H430" i="1"/>
  <c r="F430" i="1"/>
  <c r="E430" i="1"/>
  <c r="D430" i="1"/>
  <c r="Y429" i="1"/>
  <c r="W429" i="1"/>
  <c r="U429" i="1"/>
  <c r="R429" i="1"/>
  <c r="P429" i="1"/>
  <c r="N429" i="1"/>
  <c r="L429" i="1"/>
  <c r="J429" i="1"/>
  <c r="H429" i="1"/>
  <c r="F429" i="1"/>
  <c r="E429" i="1"/>
  <c r="D429" i="1"/>
  <c r="Y428" i="1"/>
  <c r="W428" i="1"/>
  <c r="U428" i="1"/>
  <c r="R428" i="1"/>
  <c r="P428" i="1"/>
  <c r="N428" i="1"/>
  <c r="L428" i="1"/>
  <c r="J428" i="1"/>
  <c r="H428" i="1"/>
  <c r="F428" i="1"/>
  <c r="E428" i="1"/>
  <c r="D428" i="1"/>
  <c r="Y427" i="1"/>
  <c r="W427" i="1"/>
  <c r="U427" i="1"/>
  <c r="R427" i="1"/>
  <c r="P427" i="1"/>
  <c r="N427" i="1"/>
  <c r="L427" i="1"/>
  <c r="J427" i="1"/>
  <c r="H427" i="1"/>
  <c r="F427" i="1"/>
  <c r="E427" i="1"/>
  <c r="D427" i="1"/>
  <c r="Y426" i="1"/>
  <c r="W426" i="1"/>
  <c r="U426" i="1"/>
  <c r="R426" i="1"/>
  <c r="P426" i="1"/>
  <c r="N426" i="1"/>
  <c r="L426" i="1"/>
  <c r="J426" i="1"/>
  <c r="H426" i="1"/>
  <c r="F426" i="1"/>
  <c r="E426" i="1"/>
  <c r="D426" i="1"/>
  <c r="Y425" i="1"/>
  <c r="W425" i="1"/>
  <c r="U425" i="1"/>
  <c r="R425" i="1"/>
  <c r="P425" i="1"/>
  <c r="N425" i="1"/>
  <c r="L425" i="1"/>
  <c r="J425" i="1"/>
  <c r="H425" i="1"/>
  <c r="F425" i="1"/>
  <c r="E425" i="1"/>
  <c r="D425" i="1"/>
  <c r="Y424" i="1"/>
  <c r="W424" i="1"/>
  <c r="U424" i="1"/>
  <c r="R424" i="1"/>
  <c r="P424" i="1"/>
  <c r="N424" i="1"/>
  <c r="L424" i="1"/>
  <c r="J424" i="1"/>
  <c r="H424" i="1"/>
  <c r="F424" i="1"/>
  <c r="E424" i="1"/>
  <c r="D424" i="1"/>
  <c r="Y423" i="1"/>
  <c r="W423" i="1"/>
  <c r="U423" i="1"/>
  <c r="R423" i="1"/>
  <c r="P423" i="1"/>
  <c r="N423" i="1"/>
  <c r="L423" i="1"/>
  <c r="J423" i="1"/>
  <c r="H423" i="1"/>
  <c r="F423" i="1"/>
  <c r="E423" i="1"/>
  <c r="D423" i="1"/>
  <c r="Y422" i="1"/>
  <c r="W422" i="1"/>
  <c r="U422" i="1"/>
  <c r="R422" i="1"/>
  <c r="P422" i="1"/>
  <c r="N422" i="1"/>
  <c r="L422" i="1"/>
  <c r="J422" i="1"/>
  <c r="H422" i="1"/>
  <c r="F422" i="1"/>
  <c r="E422" i="1"/>
  <c r="D422" i="1"/>
  <c r="Y421" i="1"/>
  <c r="W421" i="1"/>
  <c r="U421" i="1"/>
  <c r="R421" i="1"/>
  <c r="P421" i="1"/>
  <c r="N421" i="1"/>
  <c r="L421" i="1"/>
  <c r="J421" i="1"/>
  <c r="H421" i="1"/>
  <c r="F421" i="1"/>
  <c r="E421" i="1"/>
  <c r="D421" i="1"/>
  <c r="Y420" i="1"/>
  <c r="W420" i="1"/>
  <c r="U420" i="1"/>
  <c r="R420" i="1"/>
  <c r="P420" i="1"/>
  <c r="N420" i="1"/>
  <c r="L420" i="1"/>
  <c r="J420" i="1"/>
  <c r="H420" i="1"/>
  <c r="F420" i="1"/>
  <c r="E420" i="1"/>
  <c r="D420" i="1"/>
  <c r="Y419" i="1"/>
  <c r="W419" i="1"/>
  <c r="U419" i="1"/>
  <c r="R419" i="1"/>
  <c r="P419" i="1"/>
  <c r="N419" i="1"/>
  <c r="L419" i="1"/>
  <c r="J419" i="1"/>
  <c r="H419" i="1"/>
  <c r="F419" i="1"/>
  <c r="E419" i="1"/>
  <c r="D419" i="1"/>
  <c r="Y418" i="1"/>
  <c r="W418" i="1"/>
  <c r="U418" i="1"/>
  <c r="R418" i="1"/>
  <c r="P418" i="1"/>
  <c r="N418" i="1"/>
  <c r="L418" i="1"/>
  <c r="J418" i="1"/>
  <c r="H418" i="1"/>
  <c r="F418" i="1"/>
  <c r="E418" i="1"/>
  <c r="D418" i="1"/>
  <c r="Y417" i="1"/>
  <c r="W417" i="1"/>
  <c r="U417" i="1"/>
  <c r="R417" i="1"/>
  <c r="P417" i="1"/>
  <c r="N417" i="1"/>
  <c r="L417" i="1"/>
  <c r="J417" i="1"/>
  <c r="H417" i="1"/>
  <c r="F417" i="1"/>
  <c r="E417" i="1"/>
  <c r="D417" i="1"/>
  <c r="Y416" i="1"/>
  <c r="W416" i="1"/>
  <c r="U416" i="1"/>
  <c r="R416" i="1"/>
  <c r="P416" i="1"/>
  <c r="N416" i="1"/>
  <c r="L416" i="1"/>
  <c r="J416" i="1"/>
  <c r="H416" i="1"/>
  <c r="F416" i="1"/>
  <c r="E416" i="1"/>
  <c r="D416" i="1"/>
  <c r="Y415" i="1"/>
  <c r="W415" i="1"/>
  <c r="U415" i="1"/>
  <c r="R415" i="1"/>
  <c r="P415" i="1"/>
  <c r="N415" i="1"/>
  <c r="L415" i="1"/>
  <c r="J415" i="1"/>
  <c r="H415" i="1"/>
  <c r="F415" i="1"/>
  <c r="E415" i="1"/>
  <c r="D415" i="1"/>
  <c r="Y414" i="1"/>
  <c r="W414" i="1"/>
  <c r="U414" i="1"/>
  <c r="R414" i="1"/>
  <c r="P414" i="1"/>
  <c r="N414" i="1"/>
  <c r="L414" i="1"/>
  <c r="J414" i="1"/>
  <c r="H414" i="1"/>
  <c r="F414" i="1"/>
  <c r="E414" i="1"/>
  <c r="D414" i="1"/>
  <c r="Y413" i="1"/>
  <c r="W413" i="1"/>
  <c r="U413" i="1"/>
  <c r="R413" i="1"/>
  <c r="P413" i="1"/>
  <c r="N413" i="1"/>
  <c r="L413" i="1"/>
  <c r="J413" i="1"/>
  <c r="H413" i="1"/>
  <c r="F413" i="1"/>
  <c r="E413" i="1"/>
  <c r="D413" i="1"/>
  <c r="Y412" i="1"/>
  <c r="W412" i="1"/>
  <c r="U412" i="1"/>
  <c r="R412" i="1"/>
  <c r="P412" i="1"/>
  <c r="N412" i="1"/>
  <c r="L412" i="1"/>
  <c r="J412" i="1"/>
  <c r="H412" i="1"/>
  <c r="F412" i="1"/>
  <c r="E412" i="1"/>
  <c r="D412" i="1"/>
  <c r="Y411" i="1"/>
  <c r="W411" i="1"/>
  <c r="U411" i="1"/>
  <c r="R411" i="1"/>
  <c r="P411" i="1"/>
  <c r="N411" i="1"/>
  <c r="L411" i="1"/>
  <c r="J411" i="1"/>
  <c r="H411" i="1"/>
  <c r="F411" i="1"/>
  <c r="E411" i="1"/>
  <c r="D411" i="1"/>
  <c r="Y410" i="1"/>
  <c r="W410" i="1"/>
  <c r="U410" i="1"/>
  <c r="R410" i="1"/>
  <c r="P410" i="1"/>
  <c r="N410" i="1"/>
  <c r="L410" i="1"/>
  <c r="J410" i="1"/>
  <c r="H410" i="1"/>
  <c r="F410" i="1"/>
  <c r="E410" i="1"/>
  <c r="D410" i="1"/>
  <c r="Y409" i="1"/>
  <c r="W409" i="1"/>
  <c r="U409" i="1"/>
  <c r="R409" i="1"/>
  <c r="P409" i="1"/>
  <c r="N409" i="1"/>
  <c r="L409" i="1"/>
  <c r="J409" i="1"/>
  <c r="H409" i="1"/>
  <c r="F409" i="1"/>
  <c r="E409" i="1"/>
  <c r="D409" i="1"/>
  <c r="Y408" i="1"/>
  <c r="W408" i="1"/>
  <c r="U408" i="1"/>
  <c r="R408" i="1"/>
  <c r="P408" i="1"/>
  <c r="N408" i="1"/>
  <c r="L408" i="1"/>
  <c r="J408" i="1"/>
  <c r="H408" i="1"/>
  <c r="F408" i="1"/>
  <c r="E408" i="1"/>
  <c r="D408" i="1"/>
  <c r="Y407" i="1"/>
  <c r="W407" i="1"/>
  <c r="U407" i="1"/>
  <c r="R407" i="1"/>
  <c r="P407" i="1"/>
  <c r="N407" i="1"/>
  <c r="L407" i="1"/>
  <c r="J407" i="1"/>
  <c r="H407" i="1"/>
  <c r="F407" i="1"/>
  <c r="E407" i="1"/>
  <c r="D407" i="1"/>
  <c r="Y406" i="1"/>
  <c r="W406" i="1"/>
  <c r="U406" i="1"/>
  <c r="R406" i="1"/>
  <c r="P406" i="1"/>
  <c r="N406" i="1"/>
  <c r="L406" i="1"/>
  <c r="J406" i="1"/>
  <c r="H406" i="1"/>
  <c r="F406" i="1"/>
  <c r="E406" i="1"/>
  <c r="D406" i="1"/>
  <c r="Y405" i="1"/>
  <c r="W405" i="1"/>
  <c r="U405" i="1"/>
  <c r="R405" i="1"/>
  <c r="P405" i="1"/>
  <c r="N405" i="1"/>
  <c r="L405" i="1"/>
  <c r="J405" i="1"/>
  <c r="H405" i="1"/>
  <c r="F405" i="1"/>
  <c r="E405" i="1"/>
  <c r="D405" i="1"/>
  <c r="Y404" i="1"/>
  <c r="W404" i="1"/>
  <c r="U404" i="1"/>
  <c r="R404" i="1"/>
  <c r="P404" i="1"/>
  <c r="N404" i="1"/>
  <c r="L404" i="1"/>
  <c r="J404" i="1"/>
  <c r="H404" i="1"/>
  <c r="F404" i="1"/>
  <c r="E404" i="1"/>
  <c r="D404" i="1"/>
  <c r="Y403" i="1"/>
  <c r="W403" i="1"/>
  <c r="U403" i="1"/>
  <c r="R403" i="1"/>
  <c r="P403" i="1"/>
  <c r="N403" i="1"/>
  <c r="L403" i="1"/>
  <c r="J403" i="1"/>
  <c r="H403" i="1"/>
  <c r="F403" i="1"/>
  <c r="E403" i="1"/>
  <c r="D403" i="1"/>
  <c r="Y402" i="1"/>
  <c r="W402" i="1"/>
  <c r="U402" i="1"/>
  <c r="R402" i="1"/>
  <c r="P402" i="1"/>
  <c r="N402" i="1"/>
  <c r="L402" i="1"/>
  <c r="J402" i="1"/>
  <c r="H402" i="1"/>
  <c r="F402" i="1"/>
  <c r="E402" i="1"/>
  <c r="D402" i="1"/>
  <c r="Y401" i="1"/>
  <c r="W401" i="1"/>
  <c r="U401" i="1"/>
  <c r="R401" i="1"/>
  <c r="P401" i="1"/>
  <c r="N401" i="1"/>
  <c r="L401" i="1"/>
  <c r="J401" i="1"/>
  <c r="H401" i="1"/>
  <c r="F401" i="1"/>
  <c r="E401" i="1"/>
  <c r="D401" i="1"/>
  <c r="Y400" i="1"/>
  <c r="W400" i="1"/>
  <c r="U400" i="1"/>
  <c r="R400" i="1"/>
  <c r="P400" i="1"/>
  <c r="N400" i="1"/>
  <c r="L400" i="1"/>
  <c r="J400" i="1"/>
  <c r="H400" i="1"/>
  <c r="F400" i="1"/>
  <c r="E400" i="1"/>
  <c r="D400" i="1"/>
  <c r="Y399" i="1"/>
  <c r="W399" i="1"/>
  <c r="U399" i="1"/>
  <c r="R399" i="1"/>
  <c r="P399" i="1"/>
  <c r="N399" i="1"/>
  <c r="L399" i="1"/>
  <c r="J399" i="1"/>
  <c r="H399" i="1"/>
  <c r="F399" i="1"/>
  <c r="E399" i="1"/>
  <c r="D399" i="1"/>
  <c r="Y398" i="1"/>
  <c r="W398" i="1"/>
  <c r="U398" i="1"/>
  <c r="R398" i="1"/>
  <c r="P398" i="1"/>
  <c r="N398" i="1"/>
  <c r="L398" i="1"/>
  <c r="J398" i="1"/>
  <c r="H398" i="1"/>
  <c r="F398" i="1"/>
  <c r="E398" i="1"/>
  <c r="D398" i="1"/>
  <c r="Y397" i="1"/>
  <c r="W397" i="1"/>
  <c r="U397" i="1"/>
  <c r="R397" i="1"/>
  <c r="P397" i="1"/>
  <c r="N397" i="1"/>
  <c r="L397" i="1"/>
  <c r="J397" i="1"/>
  <c r="H397" i="1"/>
  <c r="F397" i="1"/>
  <c r="E397" i="1"/>
  <c r="D397" i="1"/>
  <c r="Y396" i="1"/>
  <c r="W396" i="1"/>
  <c r="U396" i="1"/>
  <c r="R396" i="1"/>
  <c r="P396" i="1"/>
  <c r="N396" i="1"/>
  <c r="L396" i="1"/>
  <c r="J396" i="1"/>
  <c r="H396" i="1"/>
  <c r="F396" i="1"/>
  <c r="E396" i="1"/>
  <c r="D396" i="1"/>
  <c r="Y395" i="1"/>
  <c r="W395" i="1"/>
  <c r="U395" i="1"/>
  <c r="R395" i="1"/>
  <c r="P395" i="1"/>
  <c r="N395" i="1"/>
  <c r="L395" i="1"/>
  <c r="J395" i="1"/>
  <c r="H395" i="1"/>
  <c r="F395" i="1"/>
  <c r="E395" i="1"/>
  <c r="D395" i="1"/>
  <c r="Y394" i="1"/>
  <c r="W394" i="1"/>
  <c r="U394" i="1"/>
  <c r="R394" i="1"/>
  <c r="P394" i="1"/>
  <c r="N394" i="1"/>
  <c r="L394" i="1"/>
  <c r="J394" i="1"/>
  <c r="H394" i="1"/>
  <c r="F394" i="1"/>
  <c r="E394" i="1"/>
  <c r="D394" i="1"/>
  <c r="Y393" i="1"/>
  <c r="W393" i="1"/>
  <c r="U393" i="1"/>
  <c r="R393" i="1"/>
  <c r="P393" i="1"/>
  <c r="N393" i="1"/>
  <c r="L393" i="1"/>
  <c r="J393" i="1"/>
  <c r="H393" i="1"/>
  <c r="F393" i="1"/>
  <c r="E393" i="1"/>
  <c r="D393" i="1"/>
  <c r="Y392" i="1"/>
  <c r="W392" i="1"/>
  <c r="U392" i="1"/>
  <c r="R392" i="1"/>
  <c r="P392" i="1"/>
  <c r="N392" i="1"/>
  <c r="L392" i="1"/>
  <c r="J392" i="1"/>
  <c r="H392" i="1"/>
  <c r="F392" i="1"/>
  <c r="E392" i="1"/>
  <c r="D392" i="1"/>
  <c r="Y391" i="1"/>
  <c r="W391" i="1"/>
  <c r="U391" i="1"/>
  <c r="R391" i="1"/>
  <c r="P391" i="1"/>
  <c r="N391" i="1"/>
  <c r="L391" i="1"/>
  <c r="J391" i="1"/>
  <c r="H391" i="1"/>
  <c r="F391" i="1"/>
  <c r="E391" i="1"/>
  <c r="D391" i="1"/>
  <c r="Y390" i="1"/>
  <c r="W390" i="1"/>
  <c r="U390" i="1"/>
  <c r="R390" i="1"/>
  <c r="P390" i="1"/>
  <c r="N390" i="1"/>
  <c r="L390" i="1"/>
  <c r="J390" i="1"/>
  <c r="H390" i="1"/>
  <c r="F390" i="1"/>
  <c r="E390" i="1"/>
  <c r="D390" i="1"/>
  <c r="Y389" i="1"/>
  <c r="W389" i="1"/>
  <c r="U389" i="1"/>
  <c r="R389" i="1"/>
  <c r="P389" i="1"/>
  <c r="N389" i="1"/>
  <c r="L389" i="1"/>
  <c r="J389" i="1"/>
  <c r="H389" i="1"/>
  <c r="F389" i="1"/>
  <c r="E389" i="1"/>
  <c r="D389" i="1"/>
  <c r="Y388" i="1"/>
  <c r="W388" i="1"/>
  <c r="U388" i="1"/>
  <c r="R388" i="1"/>
  <c r="P388" i="1"/>
  <c r="N388" i="1"/>
  <c r="L388" i="1"/>
  <c r="J388" i="1"/>
  <c r="H388" i="1"/>
  <c r="F388" i="1"/>
  <c r="E388" i="1"/>
  <c r="D388" i="1"/>
  <c r="Y387" i="1"/>
  <c r="W387" i="1"/>
  <c r="U387" i="1"/>
  <c r="R387" i="1"/>
  <c r="P387" i="1"/>
  <c r="N387" i="1"/>
  <c r="L387" i="1"/>
  <c r="J387" i="1"/>
  <c r="H387" i="1"/>
  <c r="F387" i="1"/>
  <c r="E387" i="1"/>
  <c r="D387" i="1"/>
  <c r="Y386" i="1"/>
  <c r="W386" i="1"/>
  <c r="U386" i="1"/>
  <c r="R386" i="1"/>
  <c r="P386" i="1"/>
  <c r="N386" i="1"/>
  <c r="L386" i="1"/>
  <c r="J386" i="1"/>
  <c r="H386" i="1"/>
  <c r="F386" i="1"/>
  <c r="E386" i="1"/>
  <c r="D386" i="1"/>
  <c r="Y385" i="1"/>
  <c r="W385" i="1"/>
  <c r="U385" i="1"/>
  <c r="R385" i="1"/>
  <c r="P385" i="1"/>
  <c r="N385" i="1"/>
  <c r="L385" i="1"/>
  <c r="J385" i="1"/>
  <c r="H385" i="1"/>
  <c r="F385" i="1"/>
  <c r="E385" i="1"/>
  <c r="D385" i="1"/>
  <c r="Y384" i="1"/>
  <c r="W384" i="1"/>
  <c r="U384" i="1"/>
  <c r="R384" i="1"/>
  <c r="P384" i="1"/>
  <c r="N384" i="1"/>
  <c r="L384" i="1"/>
  <c r="J384" i="1"/>
  <c r="H384" i="1"/>
  <c r="F384" i="1"/>
  <c r="E384" i="1"/>
  <c r="D384" i="1"/>
  <c r="Y383" i="1"/>
  <c r="W383" i="1"/>
  <c r="U383" i="1"/>
  <c r="R383" i="1"/>
  <c r="P383" i="1"/>
  <c r="N383" i="1"/>
  <c r="L383" i="1"/>
  <c r="J383" i="1"/>
  <c r="H383" i="1"/>
  <c r="F383" i="1"/>
  <c r="E383" i="1"/>
  <c r="D383" i="1"/>
  <c r="Y382" i="1"/>
  <c r="W382" i="1"/>
  <c r="U382" i="1"/>
  <c r="R382" i="1"/>
  <c r="P382" i="1"/>
  <c r="N382" i="1"/>
  <c r="L382" i="1"/>
  <c r="J382" i="1"/>
  <c r="H382" i="1"/>
  <c r="F382" i="1"/>
  <c r="E382" i="1"/>
  <c r="D382" i="1"/>
  <c r="Y381" i="1"/>
  <c r="W381" i="1"/>
  <c r="U381" i="1"/>
  <c r="R381" i="1"/>
  <c r="P381" i="1"/>
  <c r="N381" i="1"/>
  <c r="L381" i="1"/>
  <c r="J381" i="1"/>
  <c r="H381" i="1"/>
  <c r="F381" i="1"/>
  <c r="E381" i="1"/>
  <c r="D381" i="1"/>
  <c r="Y380" i="1"/>
  <c r="W380" i="1"/>
  <c r="U380" i="1"/>
  <c r="R380" i="1"/>
  <c r="P380" i="1"/>
  <c r="N380" i="1"/>
  <c r="L380" i="1"/>
  <c r="J380" i="1"/>
  <c r="H380" i="1"/>
  <c r="F380" i="1"/>
  <c r="E380" i="1"/>
  <c r="D380" i="1"/>
  <c r="Y379" i="1"/>
  <c r="W379" i="1"/>
  <c r="U379" i="1"/>
  <c r="R379" i="1"/>
  <c r="P379" i="1"/>
  <c r="N379" i="1"/>
  <c r="L379" i="1"/>
  <c r="J379" i="1"/>
  <c r="H379" i="1"/>
  <c r="F379" i="1"/>
  <c r="E379" i="1"/>
  <c r="D379" i="1"/>
  <c r="Y378" i="1"/>
  <c r="W378" i="1"/>
  <c r="U378" i="1"/>
  <c r="R378" i="1"/>
  <c r="P378" i="1"/>
  <c r="N378" i="1"/>
  <c r="L378" i="1"/>
  <c r="J378" i="1"/>
  <c r="H378" i="1"/>
  <c r="F378" i="1"/>
  <c r="E378" i="1"/>
  <c r="D378" i="1"/>
  <c r="Y377" i="1"/>
  <c r="W377" i="1"/>
  <c r="U377" i="1"/>
  <c r="R377" i="1"/>
  <c r="P377" i="1"/>
  <c r="N377" i="1"/>
  <c r="L377" i="1"/>
  <c r="J377" i="1"/>
  <c r="H377" i="1"/>
  <c r="F377" i="1"/>
  <c r="E377" i="1"/>
  <c r="D377" i="1"/>
  <c r="Y376" i="1"/>
  <c r="W376" i="1"/>
  <c r="U376" i="1"/>
  <c r="R376" i="1"/>
  <c r="P376" i="1"/>
  <c r="N376" i="1"/>
  <c r="L376" i="1"/>
  <c r="J376" i="1"/>
  <c r="H376" i="1"/>
  <c r="F376" i="1"/>
  <c r="E376" i="1"/>
  <c r="D376" i="1"/>
  <c r="Y375" i="1"/>
  <c r="W375" i="1"/>
  <c r="U375" i="1"/>
  <c r="R375" i="1"/>
  <c r="P375" i="1"/>
  <c r="N375" i="1"/>
  <c r="L375" i="1"/>
  <c r="J375" i="1"/>
  <c r="H375" i="1"/>
  <c r="F375" i="1"/>
  <c r="E375" i="1"/>
  <c r="D375" i="1"/>
  <c r="Y374" i="1"/>
  <c r="W374" i="1"/>
  <c r="U374" i="1"/>
  <c r="R374" i="1"/>
  <c r="P374" i="1"/>
  <c r="N374" i="1"/>
  <c r="L374" i="1"/>
  <c r="J374" i="1"/>
  <c r="H374" i="1"/>
  <c r="F374" i="1"/>
  <c r="E374" i="1"/>
  <c r="D374" i="1"/>
  <c r="Y373" i="1"/>
  <c r="W373" i="1"/>
  <c r="U373" i="1"/>
  <c r="R373" i="1"/>
  <c r="P373" i="1"/>
  <c r="N373" i="1"/>
  <c r="L373" i="1"/>
  <c r="J373" i="1"/>
  <c r="H373" i="1"/>
  <c r="F373" i="1"/>
  <c r="E373" i="1"/>
  <c r="D373" i="1"/>
  <c r="Y372" i="1"/>
  <c r="W372" i="1"/>
  <c r="U372" i="1"/>
  <c r="R372" i="1"/>
  <c r="P372" i="1"/>
  <c r="N372" i="1"/>
  <c r="L372" i="1"/>
  <c r="J372" i="1"/>
  <c r="H372" i="1"/>
  <c r="F372" i="1"/>
  <c r="E372" i="1"/>
  <c r="D372" i="1"/>
  <c r="Y371" i="1"/>
  <c r="W371" i="1"/>
  <c r="U371" i="1"/>
  <c r="R371" i="1"/>
  <c r="P371" i="1"/>
  <c r="N371" i="1"/>
  <c r="L371" i="1"/>
  <c r="J371" i="1"/>
  <c r="H371" i="1"/>
  <c r="F371" i="1"/>
  <c r="E371" i="1"/>
  <c r="D371" i="1"/>
  <c r="Y370" i="1"/>
  <c r="W370" i="1"/>
  <c r="U370" i="1"/>
  <c r="R370" i="1"/>
  <c r="P370" i="1"/>
  <c r="N370" i="1"/>
  <c r="L370" i="1"/>
  <c r="J370" i="1"/>
  <c r="H370" i="1"/>
  <c r="F370" i="1"/>
  <c r="E370" i="1"/>
  <c r="D370" i="1"/>
  <c r="Y369" i="1"/>
  <c r="W369" i="1"/>
  <c r="U369" i="1"/>
  <c r="R369" i="1"/>
  <c r="P369" i="1"/>
  <c r="N369" i="1"/>
  <c r="L369" i="1"/>
  <c r="J369" i="1"/>
  <c r="H369" i="1"/>
  <c r="F369" i="1"/>
  <c r="E369" i="1"/>
  <c r="D369" i="1"/>
  <c r="Y368" i="1"/>
  <c r="W368" i="1"/>
  <c r="U368" i="1"/>
  <c r="R368" i="1"/>
  <c r="P368" i="1"/>
  <c r="N368" i="1"/>
  <c r="L368" i="1"/>
  <c r="J368" i="1"/>
  <c r="H368" i="1"/>
  <c r="F368" i="1"/>
  <c r="E368" i="1"/>
  <c r="D368" i="1"/>
  <c r="Y367" i="1"/>
  <c r="W367" i="1"/>
  <c r="U367" i="1"/>
  <c r="R367" i="1"/>
  <c r="P367" i="1"/>
  <c r="N367" i="1"/>
  <c r="L367" i="1"/>
  <c r="J367" i="1"/>
  <c r="H367" i="1"/>
  <c r="F367" i="1"/>
  <c r="E367" i="1"/>
  <c r="D367" i="1"/>
  <c r="Y366" i="1"/>
  <c r="W366" i="1"/>
  <c r="U366" i="1"/>
  <c r="R366" i="1"/>
  <c r="P366" i="1"/>
  <c r="N366" i="1"/>
  <c r="L366" i="1"/>
  <c r="J366" i="1"/>
  <c r="H366" i="1"/>
  <c r="F366" i="1"/>
  <c r="E366" i="1"/>
  <c r="D366" i="1"/>
  <c r="Y365" i="1"/>
  <c r="W365" i="1"/>
  <c r="U365" i="1"/>
  <c r="R365" i="1"/>
  <c r="P365" i="1"/>
  <c r="N365" i="1"/>
  <c r="L365" i="1"/>
  <c r="J365" i="1"/>
  <c r="H365" i="1"/>
  <c r="F365" i="1"/>
  <c r="E365" i="1"/>
  <c r="D365" i="1"/>
  <c r="Y364" i="1"/>
  <c r="W364" i="1"/>
  <c r="U364" i="1"/>
  <c r="R364" i="1"/>
  <c r="P364" i="1"/>
  <c r="N364" i="1"/>
  <c r="L364" i="1"/>
  <c r="J364" i="1"/>
  <c r="H364" i="1"/>
  <c r="F364" i="1"/>
  <c r="E364" i="1"/>
  <c r="D364" i="1"/>
  <c r="Y363" i="1"/>
  <c r="W363" i="1"/>
  <c r="U363" i="1"/>
  <c r="R363" i="1"/>
  <c r="P363" i="1"/>
  <c r="N363" i="1"/>
  <c r="L363" i="1"/>
  <c r="J363" i="1"/>
  <c r="H363" i="1"/>
  <c r="F363" i="1"/>
  <c r="E363" i="1"/>
  <c r="D363" i="1"/>
  <c r="Y362" i="1"/>
  <c r="W362" i="1"/>
  <c r="U362" i="1"/>
  <c r="R362" i="1"/>
  <c r="P362" i="1"/>
  <c r="N362" i="1"/>
  <c r="L362" i="1"/>
  <c r="J362" i="1"/>
  <c r="H362" i="1"/>
  <c r="F362" i="1"/>
  <c r="E362" i="1"/>
  <c r="D362" i="1"/>
  <c r="Y361" i="1"/>
  <c r="W361" i="1"/>
  <c r="U361" i="1"/>
  <c r="R361" i="1"/>
  <c r="P361" i="1"/>
  <c r="N361" i="1"/>
  <c r="L361" i="1"/>
  <c r="J361" i="1"/>
  <c r="H361" i="1"/>
  <c r="F361" i="1"/>
  <c r="E361" i="1"/>
  <c r="D361" i="1"/>
  <c r="Y360" i="1"/>
  <c r="W360" i="1"/>
  <c r="U360" i="1"/>
  <c r="R360" i="1"/>
  <c r="P360" i="1"/>
  <c r="N360" i="1"/>
  <c r="L360" i="1"/>
  <c r="J360" i="1"/>
  <c r="H360" i="1"/>
  <c r="F360" i="1"/>
  <c r="E360" i="1"/>
  <c r="D360" i="1"/>
  <c r="Y359" i="1"/>
  <c r="W359" i="1"/>
  <c r="U359" i="1"/>
  <c r="R359" i="1"/>
  <c r="P359" i="1"/>
  <c r="N359" i="1"/>
  <c r="L359" i="1"/>
  <c r="J359" i="1"/>
  <c r="H359" i="1"/>
  <c r="F359" i="1"/>
  <c r="E359" i="1"/>
  <c r="D359" i="1"/>
  <c r="Y358" i="1"/>
  <c r="W358" i="1"/>
  <c r="U358" i="1"/>
  <c r="R358" i="1"/>
  <c r="P358" i="1"/>
  <c r="N358" i="1"/>
  <c r="L358" i="1"/>
  <c r="J358" i="1"/>
  <c r="H358" i="1"/>
  <c r="F358" i="1"/>
  <c r="E358" i="1"/>
  <c r="D358" i="1"/>
  <c r="Y357" i="1"/>
  <c r="W357" i="1"/>
  <c r="U357" i="1"/>
  <c r="R357" i="1"/>
  <c r="P357" i="1"/>
  <c r="N357" i="1"/>
  <c r="L357" i="1"/>
  <c r="J357" i="1"/>
  <c r="H357" i="1"/>
  <c r="F357" i="1"/>
  <c r="E357" i="1"/>
  <c r="D357" i="1"/>
  <c r="Y356" i="1"/>
  <c r="W356" i="1"/>
  <c r="U356" i="1"/>
  <c r="R356" i="1"/>
  <c r="P356" i="1"/>
  <c r="N356" i="1"/>
  <c r="L356" i="1"/>
  <c r="J356" i="1"/>
  <c r="H356" i="1"/>
  <c r="F356" i="1"/>
  <c r="E356" i="1"/>
  <c r="D356" i="1"/>
  <c r="Y355" i="1"/>
  <c r="W355" i="1"/>
  <c r="U355" i="1"/>
  <c r="R355" i="1"/>
  <c r="P355" i="1"/>
  <c r="N355" i="1"/>
  <c r="L355" i="1"/>
  <c r="J355" i="1"/>
  <c r="H355" i="1"/>
  <c r="F355" i="1"/>
  <c r="E355" i="1"/>
  <c r="D355" i="1"/>
  <c r="Y354" i="1"/>
  <c r="W354" i="1"/>
  <c r="U354" i="1"/>
  <c r="R354" i="1"/>
  <c r="P354" i="1"/>
  <c r="N354" i="1"/>
  <c r="L354" i="1"/>
  <c r="J354" i="1"/>
  <c r="H354" i="1"/>
  <c r="F354" i="1"/>
  <c r="E354" i="1"/>
  <c r="D354" i="1"/>
  <c r="Y353" i="1"/>
  <c r="W353" i="1"/>
  <c r="U353" i="1"/>
  <c r="R353" i="1"/>
  <c r="P353" i="1"/>
  <c r="N353" i="1"/>
  <c r="L353" i="1"/>
  <c r="J353" i="1"/>
  <c r="H353" i="1"/>
  <c r="F353" i="1"/>
  <c r="E353" i="1"/>
  <c r="D353" i="1"/>
  <c r="Y352" i="1"/>
  <c r="W352" i="1"/>
  <c r="U352" i="1"/>
  <c r="R352" i="1"/>
  <c r="P352" i="1"/>
  <c r="N352" i="1"/>
  <c r="L352" i="1"/>
  <c r="J352" i="1"/>
  <c r="H352" i="1"/>
  <c r="F352" i="1"/>
  <c r="E352" i="1"/>
  <c r="D352" i="1"/>
  <c r="Y351" i="1"/>
  <c r="W351" i="1"/>
  <c r="U351" i="1"/>
  <c r="R351" i="1"/>
  <c r="P351" i="1"/>
  <c r="N351" i="1"/>
  <c r="L351" i="1"/>
  <c r="J351" i="1"/>
  <c r="H351" i="1"/>
  <c r="F351" i="1"/>
  <c r="E351" i="1"/>
  <c r="D351" i="1"/>
  <c r="Y350" i="1"/>
  <c r="W350" i="1"/>
  <c r="U350" i="1"/>
  <c r="R350" i="1"/>
  <c r="P350" i="1"/>
  <c r="N350" i="1"/>
  <c r="L350" i="1"/>
  <c r="J350" i="1"/>
  <c r="H350" i="1"/>
  <c r="F350" i="1"/>
  <c r="E350" i="1"/>
  <c r="D350" i="1"/>
  <c r="Y349" i="1"/>
  <c r="W349" i="1"/>
  <c r="U349" i="1"/>
  <c r="R349" i="1"/>
  <c r="P349" i="1"/>
  <c r="N349" i="1"/>
  <c r="L349" i="1"/>
  <c r="J349" i="1"/>
  <c r="H349" i="1"/>
  <c r="F349" i="1"/>
  <c r="E349" i="1"/>
  <c r="D349" i="1"/>
  <c r="Y348" i="1"/>
  <c r="W348" i="1"/>
  <c r="U348" i="1"/>
  <c r="R348" i="1"/>
  <c r="P348" i="1"/>
  <c r="N348" i="1"/>
  <c r="L348" i="1"/>
  <c r="J348" i="1"/>
  <c r="H348" i="1"/>
  <c r="F348" i="1"/>
  <c r="E348" i="1"/>
  <c r="D348" i="1"/>
  <c r="Y347" i="1"/>
  <c r="W347" i="1"/>
  <c r="U347" i="1"/>
  <c r="R347" i="1"/>
  <c r="P347" i="1"/>
  <c r="N347" i="1"/>
  <c r="L347" i="1"/>
  <c r="J347" i="1"/>
  <c r="H347" i="1"/>
  <c r="F347" i="1"/>
  <c r="E347" i="1"/>
  <c r="D347" i="1"/>
  <c r="Y346" i="1"/>
  <c r="W346" i="1"/>
  <c r="U346" i="1"/>
  <c r="R346" i="1"/>
  <c r="P346" i="1"/>
  <c r="N346" i="1"/>
  <c r="L346" i="1"/>
  <c r="J346" i="1"/>
  <c r="H346" i="1"/>
  <c r="F346" i="1"/>
  <c r="E346" i="1"/>
  <c r="D346" i="1"/>
  <c r="Y345" i="1"/>
  <c r="W345" i="1"/>
  <c r="U345" i="1"/>
  <c r="R345" i="1"/>
  <c r="P345" i="1"/>
  <c r="N345" i="1"/>
  <c r="L345" i="1"/>
  <c r="J345" i="1"/>
  <c r="H345" i="1"/>
  <c r="F345" i="1"/>
  <c r="E345" i="1"/>
  <c r="D345" i="1"/>
  <c r="Y344" i="1"/>
  <c r="W344" i="1"/>
  <c r="U344" i="1"/>
  <c r="R344" i="1"/>
  <c r="P344" i="1"/>
  <c r="N344" i="1"/>
  <c r="L344" i="1"/>
  <c r="J344" i="1"/>
  <c r="H344" i="1"/>
  <c r="F344" i="1"/>
  <c r="E344" i="1"/>
  <c r="D344" i="1"/>
  <c r="Y343" i="1"/>
  <c r="W343" i="1"/>
  <c r="U343" i="1"/>
  <c r="R343" i="1"/>
  <c r="P343" i="1"/>
  <c r="N343" i="1"/>
  <c r="L343" i="1"/>
  <c r="J343" i="1"/>
  <c r="H343" i="1"/>
  <c r="F343" i="1"/>
  <c r="E343" i="1"/>
  <c r="D343" i="1"/>
  <c r="Y342" i="1"/>
  <c r="W342" i="1"/>
  <c r="U342" i="1"/>
  <c r="R342" i="1"/>
  <c r="P342" i="1"/>
  <c r="N342" i="1"/>
  <c r="L342" i="1"/>
  <c r="J342" i="1"/>
  <c r="H342" i="1"/>
  <c r="F342" i="1"/>
  <c r="E342" i="1"/>
  <c r="D342" i="1"/>
  <c r="Y341" i="1"/>
  <c r="W341" i="1"/>
  <c r="U341" i="1"/>
  <c r="R341" i="1"/>
  <c r="P341" i="1"/>
  <c r="N341" i="1"/>
  <c r="L341" i="1"/>
  <c r="J341" i="1"/>
  <c r="H341" i="1"/>
  <c r="F341" i="1"/>
  <c r="E341" i="1"/>
  <c r="D341" i="1"/>
  <c r="Y340" i="1"/>
  <c r="W340" i="1"/>
  <c r="U340" i="1"/>
  <c r="R340" i="1"/>
  <c r="P340" i="1"/>
  <c r="N340" i="1"/>
  <c r="L340" i="1"/>
  <c r="J340" i="1"/>
  <c r="H340" i="1"/>
  <c r="F340" i="1"/>
  <c r="E340" i="1"/>
  <c r="D340" i="1"/>
  <c r="Y339" i="1"/>
  <c r="W339" i="1"/>
  <c r="U339" i="1"/>
  <c r="R339" i="1"/>
  <c r="P339" i="1"/>
  <c r="N339" i="1"/>
  <c r="L339" i="1"/>
  <c r="J339" i="1"/>
  <c r="H339" i="1"/>
  <c r="F339" i="1"/>
  <c r="E339" i="1"/>
  <c r="D339" i="1"/>
  <c r="Y338" i="1"/>
  <c r="W338" i="1"/>
  <c r="U338" i="1"/>
  <c r="R338" i="1"/>
  <c r="P338" i="1"/>
  <c r="N338" i="1"/>
  <c r="L338" i="1"/>
  <c r="J338" i="1"/>
  <c r="H338" i="1"/>
  <c r="F338" i="1"/>
  <c r="E338" i="1"/>
  <c r="D338" i="1"/>
  <c r="Y337" i="1"/>
  <c r="W337" i="1"/>
  <c r="U337" i="1"/>
  <c r="R337" i="1"/>
  <c r="P337" i="1"/>
  <c r="N337" i="1"/>
  <c r="L337" i="1"/>
  <c r="J337" i="1"/>
  <c r="H337" i="1"/>
  <c r="F337" i="1"/>
  <c r="E337" i="1"/>
  <c r="D337" i="1"/>
  <c r="Y336" i="1"/>
  <c r="W336" i="1"/>
  <c r="U336" i="1"/>
  <c r="R336" i="1"/>
  <c r="P336" i="1"/>
  <c r="N336" i="1"/>
  <c r="L336" i="1"/>
  <c r="J336" i="1"/>
  <c r="H336" i="1"/>
  <c r="F336" i="1"/>
  <c r="E336" i="1"/>
  <c r="D336" i="1"/>
  <c r="Y335" i="1"/>
  <c r="W335" i="1"/>
  <c r="U335" i="1"/>
  <c r="R335" i="1"/>
  <c r="P335" i="1"/>
  <c r="N335" i="1"/>
  <c r="L335" i="1"/>
  <c r="J335" i="1"/>
  <c r="H335" i="1"/>
  <c r="F335" i="1"/>
  <c r="E335" i="1"/>
  <c r="D335" i="1"/>
  <c r="Y334" i="1"/>
  <c r="W334" i="1"/>
  <c r="U334" i="1"/>
  <c r="R334" i="1"/>
  <c r="P334" i="1"/>
  <c r="N334" i="1"/>
  <c r="L334" i="1"/>
  <c r="J334" i="1"/>
  <c r="H334" i="1"/>
  <c r="F334" i="1"/>
  <c r="E334" i="1"/>
  <c r="D334" i="1"/>
  <c r="Y333" i="1"/>
  <c r="W333" i="1"/>
  <c r="U333" i="1"/>
  <c r="R333" i="1"/>
  <c r="P333" i="1"/>
  <c r="N333" i="1"/>
  <c r="L333" i="1"/>
  <c r="J333" i="1"/>
  <c r="H333" i="1"/>
  <c r="F333" i="1"/>
  <c r="E333" i="1"/>
  <c r="D333" i="1"/>
  <c r="Y332" i="1"/>
  <c r="W332" i="1"/>
  <c r="U332" i="1"/>
  <c r="R332" i="1"/>
  <c r="P332" i="1"/>
  <c r="N332" i="1"/>
  <c r="L332" i="1"/>
  <c r="J332" i="1"/>
  <c r="H332" i="1"/>
  <c r="F332" i="1"/>
  <c r="E332" i="1"/>
  <c r="D332" i="1"/>
  <c r="Y331" i="1"/>
  <c r="W331" i="1"/>
  <c r="U331" i="1"/>
  <c r="R331" i="1"/>
  <c r="P331" i="1"/>
  <c r="N331" i="1"/>
  <c r="L331" i="1"/>
  <c r="J331" i="1"/>
  <c r="H331" i="1"/>
  <c r="F331" i="1"/>
  <c r="E331" i="1"/>
  <c r="D331" i="1"/>
  <c r="Y330" i="1"/>
  <c r="W330" i="1"/>
  <c r="U330" i="1"/>
  <c r="R330" i="1"/>
  <c r="P330" i="1"/>
  <c r="N330" i="1"/>
  <c r="L330" i="1"/>
  <c r="J330" i="1"/>
  <c r="H330" i="1"/>
  <c r="F330" i="1"/>
  <c r="E330" i="1"/>
  <c r="D330" i="1"/>
  <c r="Y329" i="1"/>
  <c r="W329" i="1"/>
  <c r="U329" i="1"/>
  <c r="R329" i="1"/>
  <c r="P329" i="1"/>
  <c r="N329" i="1"/>
  <c r="L329" i="1"/>
  <c r="J329" i="1"/>
  <c r="H329" i="1"/>
  <c r="F329" i="1"/>
  <c r="E329" i="1"/>
  <c r="D329" i="1"/>
  <c r="Y328" i="1"/>
  <c r="W328" i="1"/>
  <c r="U328" i="1"/>
  <c r="R328" i="1"/>
  <c r="P328" i="1"/>
  <c r="N328" i="1"/>
  <c r="L328" i="1"/>
  <c r="J328" i="1"/>
  <c r="H328" i="1"/>
  <c r="F328" i="1"/>
  <c r="E328" i="1"/>
  <c r="D328" i="1"/>
  <c r="Y327" i="1"/>
  <c r="W327" i="1"/>
  <c r="U327" i="1"/>
  <c r="R327" i="1"/>
  <c r="P327" i="1"/>
  <c r="N327" i="1"/>
  <c r="L327" i="1"/>
  <c r="J327" i="1"/>
  <c r="H327" i="1"/>
  <c r="F327" i="1"/>
  <c r="E327" i="1"/>
  <c r="D327" i="1"/>
  <c r="Y326" i="1"/>
  <c r="W326" i="1"/>
  <c r="U326" i="1"/>
  <c r="R326" i="1"/>
  <c r="P326" i="1"/>
  <c r="N326" i="1"/>
  <c r="L326" i="1"/>
  <c r="J326" i="1"/>
  <c r="H326" i="1"/>
  <c r="F326" i="1"/>
  <c r="E326" i="1"/>
  <c r="D326" i="1"/>
  <c r="Y325" i="1"/>
  <c r="W325" i="1"/>
  <c r="U325" i="1"/>
  <c r="R325" i="1"/>
  <c r="P325" i="1"/>
  <c r="N325" i="1"/>
  <c r="L325" i="1"/>
  <c r="J325" i="1"/>
  <c r="H325" i="1"/>
  <c r="F325" i="1"/>
  <c r="E325" i="1"/>
  <c r="D325" i="1"/>
  <c r="Y324" i="1"/>
  <c r="W324" i="1"/>
  <c r="U324" i="1"/>
  <c r="R324" i="1"/>
  <c r="P324" i="1"/>
  <c r="N324" i="1"/>
  <c r="L324" i="1"/>
  <c r="J324" i="1"/>
  <c r="H324" i="1"/>
  <c r="F324" i="1"/>
  <c r="E324" i="1"/>
  <c r="D324" i="1"/>
  <c r="Y323" i="1"/>
  <c r="W323" i="1"/>
  <c r="U323" i="1"/>
  <c r="R323" i="1"/>
  <c r="P323" i="1"/>
  <c r="N323" i="1"/>
  <c r="L323" i="1"/>
  <c r="J323" i="1"/>
  <c r="H323" i="1"/>
  <c r="F323" i="1"/>
  <c r="E323" i="1"/>
  <c r="D323" i="1"/>
  <c r="Y322" i="1"/>
  <c r="W322" i="1"/>
  <c r="U322" i="1"/>
  <c r="R322" i="1"/>
  <c r="P322" i="1"/>
  <c r="N322" i="1"/>
  <c r="L322" i="1"/>
  <c r="J322" i="1"/>
  <c r="H322" i="1"/>
  <c r="F322" i="1"/>
  <c r="E322" i="1"/>
  <c r="D322" i="1"/>
  <c r="Y321" i="1"/>
  <c r="W321" i="1"/>
  <c r="U321" i="1"/>
  <c r="R321" i="1"/>
  <c r="P321" i="1"/>
  <c r="N321" i="1"/>
  <c r="L321" i="1"/>
  <c r="J321" i="1"/>
  <c r="H321" i="1"/>
  <c r="F321" i="1"/>
  <c r="E321" i="1"/>
  <c r="D321" i="1"/>
  <c r="Y320" i="1"/>
  <c r="W320" i="1"/>
  <c r="U320" i="1"/>
  <c r="R320" i="1"/>
  <c r="P320" i="1"/>
  <c r="N320" i="1"/>
  <c r="L320" i="1"/>
  <c r="J320" i="1"/>
  <c r="H320" i="1"/>
  <c r="F320" i="1"/>
  <c r="E320" i="1"/>
  <c r="D320" i="1"/>
  <c r="Y319" i="1"/>
  <c r="W319" i="1"/>
  <c r="U319" i="1"/>
  <c r="R319" i="1"/>
  <c r="P319" i="1"/>
  <c r="N319" i="1"/>
  <c r="L319" i="1"/>
  <c r="J319" i="1"/>
  <c r="H319" i="1"/>
  <c r="F319" i="1"/>
  <c r="E319" i="1"/>
  <c r="D319" i="1"/>
  <c r="Y318" i="1"/>
  <c r="W318" i="1"/>
  <c r="U318" i="1"/>
  <c r="R318" i="1"/>
  <c r="P318" i="1"/>
  <c r="N318" i="1"/>
  <c r="L318" i="1"/>
  <c r="J318" i="1"/>
  <c r="H318" i="1"/>
  <c r="F318" i="1"/>
  <c r="E318" i="1"/>
  <c r="D318" i="1"/>
  <c r="Y317" i="1"/>
  <c r="W317" i="1"/>
  <c r="U317" i="1"/>
  <c r="R317" i="1"/>
  <c r="P317" i="1"/>
  <c r="N317" i="1"/>
  <c r="L317" i="1"/>
  <c r="J317" i="1"/>
  <c r="H317" i="1"/>
  <c r="F317" i="1"/>
  <c r="E317" i="1"/>
  <c r="D317" i="1"/>
  <c r="Y316" i="1"/>
  <c r="W316" i="1"/>
  <c r="U316" i="1"/>
  <c r="R316" i="1"/>
  <c r="P316" i="1"/>
  <c r="N316" i="1"/>
  <c r="L316" i="1"/>
  <c r="J316" i="1"/>
  <c r="H316" i="1"/>
  <c r="F316" i="1"/>
  <c r="E316" i="1"/>
  <c r="D316" i="1"/>
  <c r="Y315" i="1"/>
  <c r="W315" i="1"/>
  <c r="U315" i="1"/>
  <c r="R315" i="1"/>
  <c r="P315" i="1"/>
  <c r="N315" i="1"/>
  <c r="L315" i="1"/>
  <c r="J315" i="1"/>
  <c r="H315" i="1"/>
  <c r="F315" i="1"/>
  <c r="E315" i="1"/>
  <c r="D315" i="1"/>
  <c r="Y314" i="1"/>
  <c r="W314" i="1"/>
  <c r="U314" i="1"/>
  <c r="R314" i="1"/>
  <c r="P314" i="1"/>
  <c r="N314" i="1"/>
  <c r="L314" i="1"/>
  <c r="J314" i="1"/>
  <c r="H314" i="1"/>
  <c r="F314" i="1"/>
  <c r="E314" i="1"/>
  <c r="D314" i="1"/>
  <c r="Y313" i="1"/>
  <c r="W313" i="1"/>
  <c r="U313" i="1"/>
  <c r="R313" i="1"/>
  <c r="P313" i="1"/>
  <c r="N313" i="1"/>
  <c r="L313" i="1"/>
  <c r="J313" i="1"/>
  <c r="H313" i="1"/>
  <c r="F313" i="1"/>
  <c r="E313" i="1"/>
  <c r="D313" i="1"/>
  <c r="Y312" i="1"/>
  <c r="W312" i="1"/>
  <c r="U312" i="1"/>
  <c r="R312" i="1"/>
  <c r="P312" i="1"/>
  <c r="N312" i="1"/>
  <c r="L312" i="1"/>
  <c r="J312" i="1"/>
  <c r="H312" i="1"/>
  <c r="F312" i="1"/>
  <c r="E312" i="1"/>
  <c r="D312" i="1"/>
  <c r="Y311" i="1"/>
  <c r="W311" i="1"/>
  <c r="U311" i="1"/>
  <c r="R311" i="1"/>
  <c r="P311" i="1"/>
  <c r="N311" i="1"/>
  <c r="L311" i="1"/>
  <c r="J311" i="1"/>
  <c r="H311" i="1"/>
  <c r="F311" i="1"/>
  <c r="E311" i="1"/>
  <c r="D311" i="1"/>
  <c r="Y310" i="1"/>
  <c r="W310" i="1"/>
  <c r="U310" i="1"/>
  <c r="R310" i="1"/>
  <c r="P310" i="1"/>
  <c r="N310" i="1"/>
  <c r="L310" i="1"/>
  <c r="J310" i="1"/>
  <c r="H310" i="1"/>
  <c r="F310" i="1"/>
  <c r="E310" i="1"/>
  <c r="D310" i="1"/>
  <c r="Y309" i="1"/>
  <c r="W309" i="1"/>
  <c r="U309" i="1"/>
  <c r="R309" i="1"/>
  <c r="P309" i="1"/>
  <c r="N309" i="1"/>
  <c r="L309" i="1"/>
  <c r="J309" i="1"/>
  <c r="H309" i="1"/>
  <c r="F309" i="1"/>
  <c r="E309" i="1"/>
  <c r="D309" i="1"/>
  <c r="Y308" i="1"/>
  <c r="W308" i="1"/>
  <c r="U308" i="1"/>
  <c r="R308" i="1"/>
  <c r="P308" i="1"/>
  <c r="N308" i="1"/>
  <c r="L308" i="1"/>
  <c r="J308" i="1"/>
  <c r="H308" i="1"/>
  <c r="F308" i="1"/>
  <c r="E308" i="1"/>
  <c r="D308" i="1"/>
  <c r="Y307" i="1"/>
  <c r="W307" i="1"/>
  <c r="U307" i="1"/>
  <c r="R307" i="1"/>
  <c r="P307" i="1"/>
  <c r="N307" i="1"/>
  <c r="L307" i="1"/>
  <c r="J307" i="1"/>
  <c r="H307" i="1"/>
  <c r="F307" i="1"/>
  <c r="E307" i="1"/>
  <c r="D307" i="1"/>
  <c r="Y306" i="1"/>
  <c r="W306" i="1"/>
  <c r="U306" i="1"/>
  <c r="R306" i="1"/>
  <c r="P306" i="1"/>
  <c r="N306" i="1"/>
  <c r="L306" i="1"/>
  <c r="J306" i="1"/>
  <c r="H306" i="1"/>
  <c r="F306" i="1"/>
  <c r="E306" i="1"/>
  <c r="D306" i="1"/>
  <c r="Y305" i="1"/>
  <c r="W305" i="1"/>
  <c r="U305" i="1"/>
  <c r="R305" i="1"/>
  <c r="P305" i="1"/>
  <c r="N305" i="1"/>
  <c r="L305" i="1"/>
  <c r="J305" i="1"/>
  <c r="H305" i="1"/>
  <c r="F305" i="1"/>
  <c r="E305" i="1"/>
  <c r="D305" i="1"/>
  <c r="Y304" i="1"/>
  <c r="W304" i="1"/>
  <c r="U304" i="1"/>
  <c r="R304" i="1"/>
  <c r="P304" i="1"/>
  <c r="N304" i="1"/>
  <c r="L304" i="1"/>
  <c r="J304" i="1"/>
  <c r="H304" i="1"/>
  <c r="F304" i="1"/>
  <c r="E304" i="1"/>
  <c r="D304" i="1"/>
  <c r="Y303" i="1"/>
  <c r="W303" i="1"/>
  <c r="U303" i="1"/>
  <c r="R303" i="1"/>
  <c r="P303" i="1"/>
  <c r="N303" i="1"/>
  <c r="L303" i="1"/>
  <c r="J303" i="1"/>
  <c r="H303" i="1"/>
  <c r="F303" i="1"/>
  <c r="E303" i="1"/>
  <c r="D303" i="1"/>
  <c r="Y302" i="1"/>
  <c r="W302" i="1"/>
  <c r="U302" i="1"/>
  <c r="R302" i="1"/>
  <c r="P302" i="1"/>
  <c r="N302" i="1"/>
  <c r="L302" i="1"/>
  <c r="J302" i="1"/>
  <c r="H302" i="1"/>
  <c r="F302" i="1"/>
  <c r="E302" i="1"/>
  <c r="D302" i="1"/>
  <c r="Y301" i="1"/>
  <c r="W301" i="1"/>
  <c r="U301" i="1"/>
  <c r="R301" i="1"/>
  <c r="P301" i="1"/>
  <c r="N301" i="1"/>
  <c r="L301" i="1"/>
  <c r="J301" i="1"/>
  <c r="H301" i="1"/>
  <c r="F301" i="1"/>
  <c r="E301" i="1"/>
  <c r="D301" i="1"/>
  <c r="Y300" i="1"/>
  <c r="W300" i="1"/>
  <c r="U300" i="1"/>
  <c r="R300" i="1"/>
  <c r="P300" i="1"/>
  <c r="N300" i="1"/>
  <c r="L300" i="1"/>
  <c r="J300" i="1"/>
  <c r="H300" i="1"/>
  <c r="F300" i="1"/>
  <c r="E300" i="1"/>
  <c r="D300" i="1"/>
  <c r="Y299" i="1"/>
  <c r="W299" i="1"/>
  <c r="U299" i="1"/>
  <c r="R299" i="1"/>
  <c r="P299" i="1"/>
  <c r="N299" i="1"/>
  <c r="L299" i="1"/>
  <c r="J299" i="1"/>
  <c r="H299" i="1"/>
  <c r="F299" i="1"/>
  <c r="E299" i="1"/>
  <c r="D299" i="1"/>
  <c r="Y298" i="1"/>
  <c r="W298" i="1"/>
  <c r="U298" i="1"/>
  <c r="R298" i="1"/>
  <c r="P298" i="1"/>
  <c r="N298" i="1"/>
  <c r="L298" i="1"/>
  <c r="J298" i="1"/>
  <c r="H298" i="1"/>
  <c r="F298" i="1"/>
  <c r="E298" i="1"/>
  <c r="D298" i="1"/>
  <c r="Y297" i="1"/>
  <c r="W297" i="1"/>
  <c r="U297" i="1"/>
  <c r="R297" i="1"/>
  <c r="P297" i="1"/>
  <c r="N297" i="1"/>
  <c r="L297" i="1"/>
  <c r="J297" i="1"/>
  <c r="H297" i="1"/>
  <c r="F297" i="1"/>
  <c r="E297" i="1"/>
  <c r="D297" i="1"/>
  <c r="Y296" i="1"/>
  <c r="W296" i="1"/>
  <c r="U296" i="1"/>
  <c r="R296" i="1"/>
  <c r="P296" i="1"/>
  <c r="N296" i="1"/>
  <c r="L296" i="1"/>
  <c r="J296" i="1"/>
  <c r="H296" i="1"/>
  <c r="F296" i="1"/>
  <c r="E296" i="1"/>
  <c r="D296" i="1"/>
  <c r="Y295" i="1"/>
  <c r="W295" i="1"/>
  <c r="U295" i="1"/>
  <c r="R295" i="1"/>
  <c r="P295" i="1"/>
  <c r="N295" i="1"/>
  <c r="L295" i="1"/>
  <c r="J295" i="1"/>
  <c r="H295" i="1"/>
  <c r="F295" i="1"/>
  <c r="E295" i="1"/>
  <c r="D295" i="1"/>
  <c r="Y294" i="1"/>
  <c r="W294" i="1"/>
  <c r="U294" i="1"/>
  <c r="R294" i="1"/>
  <c r="P294" i="1"/>
  <c r="N294" i="1"/>
  <c r="L294" i="1"/>
  <c r="J294" i="1"/>
  <c r="H294" i="1"/>
  <c r="F294" i="1"/>
  <c r="E294" i="1"/>
  <c r="D294" i="1"/>
  <c r="Y293" i="1"/>
  <c r="W293" i="1"/>
  <c r="U293" i="1"/>
  <c r="R293" i="1"/>
  <c r="P293" i="1"/>
  <c r="N293" i="1"/>
  <c r="L293" i="1"/>
  <c r="J293" i="1"/>
  <c r="H293" i="1"/>
  <c r="F293" i="1"/>
  <c r="E293" i="1"/>
  <c r="D293" i="1"/>
  <c r="Y292" i="1"/>
  <c r="W292" i="1"/>
  <c r="U292" i="1"/>
  <c r="R292" i="1"/>
  <c r="P292" i="1"/>
  <c r="N292" i="1"/>
  <c r="L292" i="1"/>
  <c r="J292" i="1"/>
  <c r="H292" i="1"/>
  <c r="F292" i="1"/>
  <c r="E292" i="1"/>
  <c r="D292" i="1"/>
  <c r="Y291" i="1"/>
  <c r="W291" i="1"/>
  <c r="U291" i="1"/>
  <c r="R291" i="1"/>
  <c r="P291" i="1"/>
  <c r="N291" i="1"/>
  <c r="L291" i="1"/>
  <c r="J291" i="1"/>
  <c r="H291" i="1"/>
  <c r="F291" i="1"/>
  <c r="E291" i="1"/>
  <c r="D291" i="1"/>
  <c r="Y290" i="1"/>
  <c r="W290" i="1"/>
  <c r="U290" i="1"/>
  <c r="R290" i="1"/>
  <c r="P290" i="1"/>
  <c r="N290" i="1"/>
  <c r="L290" i="1"/>
  <c r="J290" i="1"/>
  <c r="H290" i="1"/>
  <c r="F290" i="1"/>
  <c r="E290" i="1"/>
  <c r="D290" i="1"/>
  <c r="Y289" i="1"/>
  <c r="W289" i="1"/>
  <c r="U289" i="1"/>
  <c r="R289" i="1"/>
  <c r="P289" i="1"/>
  <c r="N289" i="1"/>
  <c r="L289" i="1"/>
  <c r="J289" i="1"/>
  <c r="H289" i="1"/>
  <c r="F289" i="1"/>
  <c r="E289" i="1"/>
  <c r="D289" i="1"/>
  <c r="Y288" i="1"/>
  <c r="W288" i="1"/>
  <c r="U288" i="1"/>
  <c r="R288" i="1"/>
  <c r="P288" i="1"/>
  <c r="N288" i="1"/>
  <c r="L288" i="1"/>
  <c r="J288" i="1"/>
  <c r="H288" i="1"/>
  <c r="F288" i="1"/>
  <c r="E288" i="1"/>
  <c r="D288" i="1"/>
  <c r="Y287" i="1"/>
  <c r="W287" i="1"/>
  <c r="U287" i="1"/>
  <c r="R287" i="1"/>
  <c r="P287" i="1"/>
  <c r="N287" i="1"/>
  <c r="L287" i="1"/>
  <c r="J287" i="1"/>
  <c r="H287" i="1"/>
  <c r="F287" i="1"/>
  <c r="E287" i="1"/>
  <c r="D287" i="1"/>
  <c r="Y286" i="1"/>
  <c r="W286" i="1"/>
  <c r="U286" i="1"/>
  <c r="R286" i="1"/>
  <c r="P286" i="1"/>
  <c r="N286" i="1"/>
  <c r="L286" i="1"/>
  <c r="J286" i="1"/>
  <c r="H286" i="1"/>
  <c r="F286" i="1"/>
  <c r="E286" i="1"/>
  <c r="D286" i="1"/>
  <c r="Y285" i="1"/>
  <c r="W285" i="1"/>
  <c r="U285" i="1"/>
  <c r="R285" i="1"/>
  <c r="P285" i="1"/>
  <c r="N285" i="1"/>
  <c r="L285" i="1"/>
  <c r="J285" i="1"/>
  <c r="H285" i="1"/>
  <c r="F285" i="1"/>
  <c r="E285" i="1"/>
  <c r="D285" i="1"/>
  <c r="Y284" i="1"/>
  <c r="W284" i="1"/>
  <c r="U284" i="1"/>
  <c r="R284" i="1"/>
  <c r="P284" i="1"/>
  <c r="N284" i="1"/>
  <c r="L284" i="1"/>
  <c r="J284" i="1"/>
  <c r="H284" i="1"/>
  <c r="F284" i="1"/>
  <c r="E284" i="1"/>
  <c r="D284" i="1"/>
  <c r="Y283" i="1"/>
  <c r="W283" i="1"/>
  <c r="U283" i="1"/>
  <c r="R283" i="1"/>
  <c r="P283" i="1"/>
  <c r="N283" i="1"/>
  <c r="L283" i="1"/>
  <c r="J283" i="1"/>
  <c r="H283" i="1"/>
  <c r="F283" i="1"/>
  <c r="E283" i="1"/>
  <c r="D283" i="1"/>
  <c r="Y282" i="1"/>
  <c r="W282" i="1"/>
  <c r="U282" i="1"/>
  <c r="R282" i="1"/>
  <c r="P282" i="1"/>
  <c r="N282" i="1"/>
  <c r="L282" i="1"/>
  <c r="J282" i="1"/>
  <c r="H282" i="1"/>
  <c r="F282" i="1"/>
  <c r="E282" i="1"/>
  <c r="D282" i="1"/>
  <c r="Y281" i="1"/>
  <c r="W281" i="1"/>
  <c r="U281" i="1"/>
  <c r="R281" i="1"/>
  <c r="P281" i="1"/>
  <c r="N281" i="1"/>
  <c r="L281" i="1"/>
  <c r="J281" i="1"/>
  <c r="H281" i="1"/>
  <c r="F281" i="1"/>
  <c r="E281" i="1"/>
  <c r="D281" i="1"/>
  <c r="Y280" i="1"/>
  <c r="W280" i="1"/>
  <c r="U280" i="1"/>
  <c r="R280" i="1"/>
  <c r="P280" i="1"/>
  <c r="N280" i="1"/>
  <c r="L280" i="1"/>
  <c r="J280" i="1"/>
  <c r="H280" i="1"/>
  <c r="F280" i="1"/>
  <c r="E280" i="1"/>
  <c r="D280" i="1"/>
  <c r="Y279" i="1"/>
  <c r="W279" i="1"/>
  <c r="U279" i="1"/>
  <c r="R279" i="1"/>
  <c r="P279" i="1"/>
  <c r="N279" i="1"/>
  <c r="L279" i="1"/>
  <c r="J279" i="1"/>
  <c r="H279" i="1"/>
  <c r="F279" i="1"/>
  <c r="E279" i="1"/>
  <c r="D279" i="1"/>
  <c r="Y278" i="1"/>
  <c r="W278" i="1"/>
  <c r="U278" i="1"/>
  <c r="R278" i="1"/>
  <c r="P278" i="1"/>
  <c r="N278" i="1"/>
  <c r="L278" i="1"/>
  <c r="J278" i="1"/>
  <c r="H278" i="1"/>
  <c r="F278" i="1"/>
  <c r="E278" i="1"/>
  <c r="D278" i="1"/>
  <c r="Y277" i="1"/>
  <c r="W277" i="1"/>
  <c r="U277" i="1"/>
  <c r="R277" i="1"/>
  <c r="P277" i="1"/>
  <c r="N277" i="1"/>
  <c r="L277" i="1"/>
  <c r="J277" i="1"/>
  <c r="H277" i="1"/>
  <c r="F277" i="1"/>
  <c r="E277" i="1"/>
  <c r="D277" i="1"/>
  <c r="Y276" i="1"/>
  <c r="W276" i="1"/>
  <c r="U276" i="1"/>
  <c r="R276" i="1"/>
  <c r="P276" i="1"/>
  <c r="N276" i="1"/>
  <c r="L276" i="1"/>
  <c r="J276" i="1"/>
  <c r="H276" i="1"/>
  <c r="F276" i="1"/>
  <c r="E276" i="1"/>
  <c r="D276" i="1"/>
  <c r="Y275" i="1"/>
  <c r="W275" i="1"/>
  <c r="U275" i="1"/>
  <c r="R275" i="1"/>
  <c r="P275" i="1"/>
  <c r="N275" i="1"/>
  <c r="L275" i="1"/>
  <c r="J275" i="1"/>
  <c r="H275" i="1"/>
  <c r="F275" i="1"/>
  <c r="E275" i="1"/>
  <c r="D275" i="1"/>
  <c r="Y274" i="1"/>
  <c r="W274" i="1"/>
  <c r="U274" i="1"/>
  <c r="R274" i="1"/>
  <c r="P274" i="1"/>
  <c r="N274" i="1"/>
  <c r="L274" i="1"/>
  <c r="J274" i="1"/>
  <c r="H274" i="1"/>
  <c r="F274" i="1"/>
  <c r="E274" i="1"/>
  <c r="D274" i="1"/>
  <c r="Y273" i="1"/>
  <c r="W273" i="1"/>
  <c r="U273" i="1"/>
  <c r="R273" i="1"/>
  <c r="P273" i="1"/>
  <c r="N273" i="1"/>
  <c r="L273" i="1"/>
  <c r="J273" i="1"/>
  <c r="H273" i="1"/>
  <c r="F273" i="1"/>
  <c r="E273" i="1"/>
  <c r="D273" i="1"/>
  <c r="Y272" i="1"/>
  <c r="W272" i="1"/>
  <c r="U272" i="1"/>
  <c r="R272" i="1"/>
  <c r="P272" i="1"/>
  <c r="N272" i="1"/>
  <c r="L272" i="1"/>
  <c r="J272" i="1"/>
  <c r="H272" i="1"/>
  <c r="F272" i="1"/>
  <c r="E272" i="1"/>
  <c r="D272" i="1"/>
  <c r="Y271" i="1"/>
  <c r="W271" i="1"/>
  <c r="U271" i="1"/>
  <c r="R271" i="1"/>
  <c r="P271" i="1"/>
  <c r="N271" i="1"/>
  <c r="L271" i="1"/>
  <c r="J271" i="1"/>
  <c r="H271" i="1"/>
  <c r="F271" i="1"/>
  <c r="E271" i="1"/>
  <c r="D271" i="1"/>
  <c r="Y270" i="1"/>
  <c r="W270" i="1"/>
  <c r="U270" i="1"/>
  <c r="R270" i="1"/>
  <c r="P270" i="1"/>
  <c r="N270" i="1"/>
  <c r="L270" i="1"/>
  <c r="J270" i="1"/>
  <c r="H270" i="1"/>
  <c r="F270" i="1"/>
  <c r="E270" i="1"/>
  <c r="D270" i="1"/>
  <c r="Y269" i="1"/>
  <c r="W269" i="1"/>
  <c r="U269" i="1"/>
  <c r="R269" i="1"/>
  <c r="P269" i="1"/>
  <c r="N269" i="1"/>
  <c r="L269" i="1"/>
  <c r="J269" i="1"/>
  <c r="H269" i="1"/>
  <c r="F269" i="1"/>
  <c r="E269" i="1"/>
  <c r="D269" i="1"/>
  <c r="Y268" i="1"/>
  <c r="W268" i="1"/>
  <c r="U268" i="1"/>
  <c r="R268" i="1"/>
  <c r="P268" i="1"/>
  <c r="N268" i="1"/>
  <c r="L268" i="1"/>
  <c r="J268" i="1"/>
  <c r="H268" i="1"/>
  <c r="F268" i="1"/>
  <c r="E268" i="1"/>
  <c r="D268" i="1"/>
  <c r="Y267" i="1"/>
  <c r="W267" i="1"/>
  <c r="U267" i="1"/>
  <c r="R267" i="1"/>
  <c r="P267" i="1"/>
  <c r="N267" i="1"/>
  <c r="L267" i="1"/>
  <c r="J267" i="1"/>
  <c r="H267" i="1"/>
  <c r="F267" i="1"/>
  <c r="E267" i="1"/>
  <c r="D267" i="1"/>
  <c r="Y266" i="1"/>
  <c r="W266" i="1"/>
  <c r="U266" i="1"/>
  <c r="R266" i="1"/>
  <c r="P266" i="1"/>
  <c r="N266" i="1"/>
  <c r="L266" i="1"/>
  <c r="J266" i="1"/>
  <c r="H266" i="1"/>
  <c r="F266" i="1"/>
  <c r="E266" i="1"/>
  <c r="D266" i="1"/>
  <c r="Y265" i="1"/>
  <c r="W265" i="1"/>
  <c r="U265" i="1"/>
  <c r="R265" i="1"/>
  <c r="P265" i="1"/>
  <c r="N265" i="1"/>
  <c r="L265" i="1"/>
  <c r="J265" i="1"/>
  <c r="H265" i="1"/>
  <c r="F265" i="1"/>
  <c r="E265" i="1"/>
  <c r="D265" i="1"/>
  <c r="Y264" i="1"/>
  <c r="W264" i="1"/>
  <c r="U264" i="1"/>
  <c r="R264" i="1"/>
  <c r="P264" i="1"/>
  <c r="N264" i="1"/>
  <c r="L264" i="1"/>
  <c r="J264" i="1"/>
  <c r="H264" i="1"/>
  <c r="F264" i="1"/>
  <c r="E264" i="1"/>
  <c r="D264" i="1"/>
  <c r="Y263" i="1"/>
  <c r="W263" i="1"/>
  <c r="U263" i="1"/>
  <c r="R263" i="1"/>
  <c r="P263" i="1"/>
  <c r="N263" i="1"/>
  <c r="L263" i="1"/>
  <c r="J263" i="1"/>
  <c r="H263" i="1"/>
  <c r="F263" i="1"/>
  <c r="E263" i="1"/>
  <c r="D263" i="1"/>
  <c r="Y262" i="1"/>
  <c r="W262" i="1"/>
  <c r="U262" i="1"/>
  <c r="R262" i="1"/>
  <c r="P262" i="1"/>
  <c r="N262" i="1"/>
  <c r="L262" i="1"/>
  <c r="J262" i="1"/>
  <c r="H262" i="1"/>
  <c r="F262" i="1"/>
  <c r="E262" i="1"/>
  <c r="D262" i="1"/>
  <c r="Y261" i="1"/>
  <c r="W261" i="1"/>
  <c r="U261" i="1"/>
  <c r="R261" i="1"/>
  <c r="P261" i="1"/>
  <c r="N261" i="1"/>
  <c r="L261" i="1"/>
  <c r="J261" i="1"/>
  <c r="H261" i="1"/>
  <c r="F261" i="1"/>
  <c r="E261" i="1"/>
  <c r="D261" i="1"/>
  <c r="Y260" i="1"/>
  <c r="W260" i="1"/>
  <c r="U260" i="1"/>
  <c r="R260" i="1"/>
  <c r="P260" i="1"/>
  <c r="N260" i="1"/>
  <c r="L260" i="1"/>
  <c r="J260" i="1"/>
  <c r="H260" i="1"/>
  <c r="F260" i="1"/>
  <c r="E260" i="1"/>
  <c r="D260" i="1"/>
  <c r="Y259" i="1"/>
  <c r="W259" i="1"/>
  <c r="U259" i="1"/>
  <c r="R259" i="1"/>
  <c r="P259" i="1"/>
  <c r="N259" i="1"/>
  <c r="L259" i="1"/>
  <c r="J259" i="1"/>
  <c r="H259" i="1"/>
  <c r="F259" i="1"/>
  <c r="E259" i="1"/>
  <c r="D259" i="1"/>
  <c r="Y258" i="1"/>
  <c r="W258" i="1"/>
  <c r="U258" i="1"/>
  <c r="R258" i="1"/>
  <c r="P258" i="1"/>
  <c r="N258" i="1"/>
  <c r="L258" i="1"/>
  <c r="J258" i="1"/>
  <c r="H258" i="1"/>
  <c r="F258" i="1"/>
  <c r="E258" i="1"/>
  <c r="D258" i="1"/>
  <c r="Y257" i="1"/>
  <c r="W257" i="1"/>
  <c r="U257" i="1"/>
  <c r="R257" i="1"/>
  <c r="P257" i="1"/>
  <c r="N257" i="1"/>
  <c r="L257" i="1"/>
  <c r="J257" i="1"/>
  <c r="H257" i="1"/>
  <c r="F257" i="1"/>
  <c r="E257" i="1"/>
  <c r="D257" i="1"/>
  <c r="Y256" i="1"/>
  <c r="W256" i="1"/>
  <c r="U256" i="1"/>
  <c r="R256" i="1"/>
  <c r="P256" i="1"/>
  <c r="N256" i="1"/>
  <c r="L256" i="1"/>
  <c r="J256" i="1"/>
  <c r="H256" i="1"/>
  <c r="F256" i="1"/>
  <c r="E256" i="1"/>
  <c r="D256" i="1"/>
  <c r="Y255" i="1"/>
  <c r="W255" i="1"/>
  <c r="U255" i="1"/>
  <c r="R255" i="1"/>
  <c r="P255" i="1"/>
  <c r="N255" i="1"/>
  <c r="L255" i="1"/>
  <c r="J255" i="1"/>
  <c r="H255" i="1"/>
  <c r="F255" i="1"/>
  <c r="E255" i="1"/>
  <c r="D255" i="1"/>
  <c r="Y254" i="1"/>
  <c r="W254" i="1"/>
  <c r="U254" i="1"/>
  <c r="R254" i="1"/>
  <c r="P254" i="1"/>
  <c r="N254" i="1"/>
  <c r="L254" i="1"/>
  <c r="J254" i="1"/>
  <c r="H254" i="1"/>
  <c r="F254" i="1"/>
  <c r="E254" i="1"/>
  <c r="D254" i="1"/>
  <c r="Y253" i="1"/>
  <c r="W253" i="1"/>
  <c r="U253" i="1"/>
  <c r="R253" i="1"/>
  <c r="P253" i="1"/>
  <c r="N253" i="1"/>
  <c r="L253" i="1"/>
  <c r="J253" i="1"/>
  <c r="H253" i="1"/>
  <c r="F253" i="1"/>
  <c r="E253" i="1"/>
  <c r="D253" i="1"/>
  <c r="Y252" i="1"/>
  <c r="W252" i="1"/>
  <c r="U252" i="1"/>
  <c r="R252" i="1"/>
  <c r="P252" i="1"/>
  <c r="N252" i="1"/>
  <c r="L252" i="1"/>
  <c r="J252" i="1"/>
  <c r="H252" i="1"/>
  <c r="F252" i="1"/>
  <c r="E252" i="1"/>
  <c r="D252" i="1"/>
  <c r="Y251" i="1"/>
  <c r="W251" i="1"/>
  <c r="U251" i="1"/>
  <c r="R251" i="1"/>
  <c r="P251" i="1"/>
  <c r="N251" i="1"/>
  <c r="L251" i="1"/>
  <c r="J251" i="1"/>
  <c r="H251" i="1"/>
  <c r="F251" i="1"/>
  <c r="E251" i="1"/>
  <c r="D251" i="1"/>
  <c r="Y250" i="1"/>
  <c r="W250" i="1"/>
  <c r="U250" i="1"/>
  <c r="R250" i="1"/>
  <c r="P250" i="1"/>
  <c r="N250" i="1"/>
  <c r="L250" i="1"/>
  <c r="J250" i="1"/>
  <c r="H250" i="1"/>
  <c r="F250" i="1"/>
  <c r="E250" i="1"/>
  <c r="D250" i="1"/>
  <c r="Y249" i="1"/>
  <c r="W249" i="1"/>
  <c r="U249" i="1"/>
  <c r="R249" i="1"/>
  <c r="P249" i="1"/>
  <c r="N249" i="1"/>
  <c r="L249" i="1"/>
  <c r="J249" i="1"/>
  <c r="H249" i="1"/>
  <c r="F249" i="1"/>
  <c r="E249" i="1"/>
  <c r="D249" i="1"/>
  <c r="Y248" i="1"/>
  <c r="W248" i="1"/>
  <c r="U248" i="1"/>
  <c r="R248" i="1"/>
  <c r="P248" i="1"/>
  <c r="N248" i="1"/>
  <c r="L248" i="1"/>
  <c r="J248" i="1"/>
  <c r="H248" i="1"/>
  <c r="F248" i="1"/>
  <c r="E248" i="1"/>
  <c r="D248" i="1"/>
  <c r="Y247" i="1"/>
  <c r="W247" i="1"/>
  <c r="U247" i="1"/>
  <c r="R247" i="1"/>
  <c r="P247" i="1"/>
  <c r="N247" i="1"/>
  <c r="L247" i="1"/>
  <c r="J247" i="1"/>
  <c r="H247" i="1"/>
  <c r="F247" i="1"/>
  <c r="E247" i="1"/>
  <c r="D247" i="1"/>
  <c r="Y246" i="1"/>
  <c r="W246" i="1"/>
  <c r="U246" i="1"/>
  <c r="R246" i="1"/>
  <c r="P246" i="1"/>
  <c r="N246" i="1"/>
  <c r="L246" i="1"/>
  <c r="J246" i="1"/>
  <c r="H246" i="1"/>
  <c r="F246" i="1"/>
  <c r="E246" i="1"/>
  <c r="D246" i="1"/>
  <c r="Y245" i="1"/>
  <c r="W245" i="1"/>
  <c r="U245" i="1"/>
  <c r="R245" i="1"/>
  <c r="P245" i="1"/>
  <c r="N245" i="1"/>
  <c r="L245" i="1"/>
  <c r="J245" i="1"/>
  <c r="H245" i="1"/>
  <c r="F245" i="1"/>
  <c r="E245" i="1"/>
  <c r="D245" i="1"/>
  <c r="Y244" i="1"/>
  <c r="W244" i="1"/>
  <c r="U244" i="1"/>
  <c r="R244" i="1"/>
  <c r="P244" i="1"/>
  <c r="N244" i="1"/>
  <c r="L244" i="1"/>
  <c r="J244" i="1"/>
  <c r="H244" i="1"/>
  <c r="F244" i="1"/>
  <c r="E244" i="1"/>
  <c r="D244" i="1"/>
  <c r="Y243" i="1"/>
  <c r="W243" i="1"/>
  <c r="U243" i="1"/>
  <c r="R243" i="1"/>
  <c r="P243" i="1"/>
  <c r="N243" i="1"/>
  <c r="L243" i="1"/>
  <c r="J243" i="1"/>
  <c r="H243" i="1"/>
  <c r="F243" i="1"/>
  <c r="E243" i="1"/>
  <c r="D243" i="1"/>
  <c r="Y242" i="1"/>
  <c r="W242" i="1"/>
  <c r="U242" i="1"/>
  <c r="R242" i="1"/>
  <c r="P242" i="1"/>
  <c r="N242" i="1"/>
  <c r="L242" i="1"/>
  <c r="J242" i="1"/>
  <c r="H242" i="1"/>
  <c r="F242" i="1"/>
  <c r="E242" i="1"/>
  <c r="D242" i="1"/>
  <c r="Y241" i="1"/>
  <c r="W241" i="1"/>
  <c r="U241" i="1"/>
  <c r="R241" i="1"/>
  <c r="P241" i="1"/>
  <c r="N241" i="1"/>
  <c r="L241" i="1"/>
  <c r="J241" i="1"/>
  <c r="H241" i="1"/>
  <c r="F241" i="1"/>
  <c r="E241" i="1"/>
  <c r="D241" i="1"/>
  <c r="Y240" i="1"/>
  <c r="W240" i="1"/>
  <c r="U240" i="1"/>
  <c r="R240" i="1"/>
  <c r="P240" i="1"/>
  <c r="N240" i="1"/>
  <c r="L240" i="1"/>
  <c r="J240" i="1"/>
  <c r="H240" i="1"/>
  <c r="F240" i="1"/>
  <c r="E240" i="1"/>
  <c r="D240" i="1"/>
  <c r="Y239" i="1"/>
  <c r="W239" i="1"/>
  <c r="U239" i="1"/>
  <c r="R239" i="1"/>
  <c r="P239" i="1"/>
  <c r="N239" i="1"/>
  <c r="L239" i="1"/>
  <c r="J239" i="1"/>
  <c r="H239" i="1"/>
  <c r="F239" i="1"/>
  <c r="E239" i="1"/>
  <c r="D239" i="1"/>
  <c r="Y238" i="1"/>
  <c r="W238" i="1"/>
  <c r="U238" i="1"/>
  <c r="R238" i="1"/>
  <c r="P238" i="1"/>
  <c r="N238" i="1"/>
  <c r="L238" i="1"/>
  <c r="J238" i="1"/>
  <c r="H238" i="1"/>
  <c r="F238" i="1"/>
  <c r="E238" i="1"/>
  <c r="D238" i="1"/>
  <c r="Y237" i="1"/>
  <c r="W237" i="1"/>
  <c r="U237" i="1"/>
  <c r="R237" i="1"/>
  <c r="P237" i="1"/>
  <c r="N237" i="1"/>
  <c r="L237" i="1"/>
  <c r="J237" i="1"/>
  <c r="H237" i="1"/>
  <c r="F237" i="1"/>
  <c r="E237" i="1"/>
  <c r="D237" i="1"/>
  <c r="Y236" i="1"/>
  <c r="W236" i="1"/>
  <c r="U236" i="1"/>
  <c r="R236" i="1"/>
  <c r="P236" i="1"/>
  <c r="N236" i="1"/>
  <c r="L236" i="1"/>
  <c r="J236" i="1"/>
  <c r="H236" i="1"/>
  <c r="F236" i="1"/>
  <c r="E236" i="1"/>
  <c r="D236" i="1"/>
  <c r="Y235" i="1"/>
  <c r="W235" i="1"/>
  <c r="U235" i="1"/>
  <c r="R235" i="1"/>
  <c r="P235" i="1"/>
  <c r="N235" i="1"/>
  <c r="L235" i="1"/>
  <c r="J235" i="1"/>
  <c r="H235" i="1"/>
  <c r="F235" i="1"/>
  <c r="E235" i="1"/>
  <c r="D235" i="1"/>
  <c r="Y234" i="1"/>
  <c r="W234" i="1"/>
  <c r="U234" i="1"/>
  <c r="R234" i="1"/>
  <c r="P234" i="1"/>
  <c r="N234" i="1"/>
  <c r="L234" i="1"/>
  <c r="J234" i="1"/>
  <c r="H234" i="1"/>
  <c r="F234" i="1"/>
  <c r="E234" i="1"/>
  <c r="D234" i="1"/>
  <c r="Y233" i="1"/>
  <c r="W233" i="1"/>
  <c r="U233" i="1"/>
  <c r="R233" i="1"/>
  <c r="P233" i="1"/>
  <c r="N233" i="1"/>
  <c r="L233" i="1"/>
  <c r="J233" i="1"/>
  <c r="H233" i="1"/>
  <c r="F233" i="1"/>
  <c r="E233" i="1"/>
  <c r="D233" i="1"/>
  <c r="Y232" i="1"/>
  <c r="W232" i="1"/>
  <c r="U232" i="1"/>
  <c r="R232" i="1"/>
  <c r="P232" i="1"/>
  <c r="N232" i="1"/>
  <c r="L232" i="1"/>
  <c r="J232" i="1"/>
  <c r="H232" i="1"/>
  <c r="F232" i="1"/>
  <c r="E232" i="1"/>
  <c r="D232" i="1"/>
  <c r="Y231" i="1"/>
  <c r="W231" i="1"/>
  <c r="U231" i="1"/>
  <c r="R231" i="1"/>
  <c r="P231" i="1"/>
  <c r="N231" i="1"/>
  <c r="L231" i="1"/>
  <c r="J231" i="1"/>
  <c r="H231" i="1"/>
  <c r="F231" i="1"/>
  <c r="E231" i="1"/>
  <c r="D231" i="1"/>
  <c r="Y230" i="1"/>
  <c r="W230" i="1"/>
  <c r="U230" i="1"/>
  <c r="R230" i="1"/>
  <c r="P230" i="1"/>
  <c r="N230" i="1"/>
  <c r="L230" i="1"/>
  <c r="J230" i="1"/>
  <c r="H230" i="1"/>
  <c r="F230" i="1"/>
  <c r="E230" i="1"/>
  <c r="D230" i="1"/>
  <c r="Y229" i="1"/>
  <c r="W229" i="1"/>
  <c r="U229" i="1"/>
  <c r="R229" i="1"/>
  <c r="P229" i="1"/>
  <c r="N229" i="1"/>
  <c r="L229" i="1"/>
  <c r="J229" i="1"/>
  <c r="H229" i="1"/>
  <c r="F229" i="1"/>
  <c r="E229" i="1"/>
  <c r="D229" i="1"/>
  <c r="Y228" i="1"/>
  <c r="W228" i="1"/>
  <c r="U228" i="1"/>
  <c r="R228" i="1"/>
  <c r="P228" i="1"/>
  <c r="N228" i="1"/>
  <c r="L228" i="1"/>
  <c r="J228" i="1"/>
  <c r="H228" i="1"/>
  <c r="F228" i="1"/>
  <c r="E228" i="1"/>
  <c r="D228" i="1"/>
  <c r="Y227" i="1"/>
  <c r="W227" i="1"/>
  <c r="U227" i="1"/>
  <c r="R227" i="1"/>
  <c r="P227" i="1"/>
  <c r="N227" i="1"/>
  <c r="L227" i="1"/>
  <c r="J227" i="1"/>
  <c r="H227" i="1"/>
  <c r="F227" i="1"/>
  <c r="E227" i="1"/>
  <c r="D227" i="1"/>
  <c r="Y226" i="1"/>
  <c r="W226" i="1"/>
  <c r="U226" i="1"/>
  <c r="R226" i="1"/>
  <c r="P226" i="1"/>
  <c r="N226" i="1"/>
  <c r="L226" i="1"/>
  <c r="J226" i="1"/>
  <c r="H226" i="1"/>
  <c r="F226" i="1"/>
  <c r="E226" i="1"/>
  <c r="D226" i="1"/>
  <c r="Y225" i="1"/>
  <c r="W225" i="1"/>
  <c r="U225" i="1"/>
  <c r="R225" i="1"/>
  <c r="P225" i="1"/>
  <c r="N225" i="1"/>
  <c r="L225" i="1"/>
  <c r="J225" i="1"/>
  <c r="H225" i="1"/>
  <c r="F225" i="1"/>
  <c r="E225" i="1"/>
  <c r="D225" i="1"/>
  <c r="Y224" i="1"/>
  <c r="W224" i="1"/>
  <c r="U224" i="1"/>
  <c r="R224" i="1"/>
  <c r="P224" i="1"/>
  <c r="N224" i="1"/>
  <c r="L224" i="1"/>
  <c r="J224" i="1"/>
  <c r="H224" i="1"/>
  <c r="F224" i="1"/>
  <c r="E224" i="1"/>
  <c r="D224" i="1"/>
  <c r="Y223" i="1"/>
  <c r="W223" i="1"/>
  <c r="U223" i="1"/>
  <c r="R223" i="1"/>
  <c r="P223" i="1"/>
  <c r="N223" i="1"/>
  <c r="L223" i="1"/>
  <c r="J223" i="1"/>
  <c r="H223" i="1"/>
  <c r="F223" i="1"/>
  <c r="E223" i="1"/>
  <c r="D223" i="1"/>
  <c r="Y222" i="1"/>
  <c r="W222" i="1"/>
  <c r="U222" i="1"/>
  <c r="R222" i="1"/>
  <c r="P222" i="1"/>
  <c r="N222" i="1"/>
  <c r="L222" i="1"/>
  <c r="J222" i="1"/>
  <c r="H222" i="1"/>
  <c r="F222" i="1"/>
  <c r="E222" i="1"/>
  <c r="D222" i="1"/>
  <c r="Y221" i="1"/>
  <c r="W221" i="1"/>
  <c r="U221" i="1"/>
  <c r="R221" i="1"/>
  <c r="P221" i="1"/>
  <c r="N221" i="1"/>
  <c r="L221" i="1"/>
  <c r="J221" i="1"/>
  <c r="H221" i="1"/>
  <c r="F221" i="1"/>
  <c r="E221" i="1"/>
  <c r="D221" i="1"/>
  <c r="Y220" i="1"/>
  <c r="W220" i="1"/>
  <c r="U220" i="1"/>
  <c r="R220" i="1"/>
  <c r="P220" i="1"/>
  <c r="N220" i="1"/>
  <c r="L220" i="1"/>
  <c r="J220" i="1"/>
  <c r="H220" i="1"/>
  <c r="F220" i="1"/>
  <c r="E220" i="1"/>
  <c r="D220" i="1"/>
  <c r="Y219" i="1"/>
  <c r="W219" i="1"/>
  <c r="U219" i="1"/>
  <c r="R219" i="1"/>
  <c r="P219" i="1"/>
  <c r="N219" i="1"/>
  <c r="L219" i="1"/>
  <c r="J219" i="1"/>
  <c r="H219" i="1"/>
  <c r="F219" i="1"/>
  <c r="E219" i="1"/>
  <c r="D219" i="1"/>
  <c r="Y218" i="1"/>
  <c r="W218" i="1"/>
  <c r="U218" i="1"/>
  <c r="R218" i="1"/>
  <c r="P218" i="1"/>
  <c r="N218" i="1"/>
  <c r="L218" i="1"/>
  <c r="J218" i="1"/>
  <c r="H218" i="1"/>
  <c r="F218" i="1"/>
  <c r="E218" i="1"/>
  <c r="D218" i="1"/>
  <c r="Y217" i="1"/>
  <c r="W217" i="1"/>
  <c r="U217" i="1"/>
  <c r="R217" i="1"/>
  <c r="P217" i="1"/>
  <c r="N217" i="1"/>
  <c r="L217" i="1"/>
  <c r="J217" i="1"/>
  <c r="H217" i="1"/>
  <c r="F217" i="1"/>
  <c r="E217" i="1"/>
  <c r="D217" i="1"/>
  <c r="Y216" i="1"/>
  <c r="W216" i="1"/>
  <c r="U216" i="1"/>
  <c r="R216" i="1"/>
  <c r="P216" i="1"/>
  <c r="N216" i="1"/>
  <c r="L216" i="1"/>
  <c r="J216" i="1"/>
  <c r="H216" i="1"/>
  <c r="F216" i="1"/>
  <c r="E216" i="1"/>
  <c r="D216" i="1"/>
  <c r="Y215" i="1"/>
  <c r="W215" i="1"/>
  <c r="U215" i="1"/>
  <c r="R215" i="1"/>
  <c r="P215" i="1"/>
  <c r="N215" i="1"/>
  <c r="L215" i="1"/>
  <c r="J215" i="1"/>
  <c r="H215" i="1"/>
  <c r="F215" i="1"/>
  <c r="E215" i="1"/>
  <c r="D215" i="1"/>
  <c r="Y214" i="1"/>
  <c r="W214" i="1"/>
  <c r="U214" i="1"/>
  <c r="R214" i="1"/>
  <c r="P214" i="1"/>
  <c r="N214" i="1"/>
  <c r="L214" i="1"/>
  <c r="J214" i="1"/>
  <c r="H214" i="1"/>
  <c r="F214" i="1"/>
  <c r="E214" i="1"/>
  <c r="D214" i="1"/>
  <c r="Y213" i="1"/>
  <c r="W213" i="1"/>
  <c r="U213" i="1"/>
  <c r="R213" i="1"/>
  <c r="P213" i="1"/>
  <c r="N213" i="1"/>
  <c r="L213" i="1"/>
  <c r="J213" i="1"/>
  <c r="H213" i="1"/>
  <c r="F213" i="1"/>
  <c r="E213" i="1"/>
  <c r="D213" i="1"/>
  <c r="Y212" i="1"/>
  <c r="W212" i="1"/>
  <c r="U212" i="1"/>
  <c r="R212" i="1"/>
  <c r="P212" i="1"/>
  <c r="N212" i="1"/>
  <c r="L212" i="1"/>
  <c r="J212" i="1"/>
  <c r="H212" i="1"/>
  <c r="F212" i="1"/>
  <c r="E212" i="1"/>
  <c r="D212" i="1"/>
  <c r="Y211" i="1"/>
  <c r="W211" i="1"/>
  <c r="U211" i="1"/>
  <c r="R211" i="1"/>
  <c r="P211" i="1"/>
  <c r="N211" i="1"/>
  <c r="L211" i="1"/>
  <c r="J211" i="1"/>
  <c r="H211" i="1"/>
  <c r="F211" i="1"/>
  <c r="E211" i="1"/>
  <c r="D211" i="1"/>
  <c r="Y210" i="1"/>
  <c r="W210" i="1"/>
  <c r="U210" i="1"/>
  <c r="R210" i="1"/>
  <c r="P210" i="1"/>
  <c r="N210" i="1"/>
  <c r="L210" i="1"/>
  <c r="J210" i="1"/>
  <c r="H210" i="1"/>
  <c r="F210" i="1"/>
  <c r="E210" i="1"/>
  <c r="D210" i="1"/>
  <c r="Y209" i="1"/>
  <c r="W209" i="1"/>
  <c r="U209" i="1"/>
  <c r="R209" i="1"/>
  <c r="P209" i="1"/>
  <c r="N209" i="1"/>
  <c r="L209" i="1"/>
  <c r="J209" i="1"/>
  <c r="H209" i="1"/>
  <c r="F209" i="1"/>
  <c r="E209" i="1"/>
  <c r="D209" i="1"/>
  <c r="Y208" i="1"/>
  <c r="W208" i="1"/>
  <c r="U208" i="1"/>
  <c r="R208" i="1"/>
  <c r="P208" i="1"/>
  <c r="N208" i="1"/>
  <c r="L208" i="1"/>
  <c r="J208" i="1"/>
  <c r="H208" i="1"/>
  <c r="F208" i="1"/>
  <c r="E208" i="1"/>
  <c r="D208" i="1"/>
  <c r="Y207" i="1"/>
  <c r="W207" i="1"/>
  <c r="U207" i="1"/>
  <c r="R207" i="1"/>
  <c r="P207" i="1"/>
  <c r="N207" i="1"/>
  <c r="L207" i="1"/>
  <c r="J207" i="1"/>
  <c r="H207" i="1"/>
  <c r="F207" i="1"/>
  <c r="E207" i="1"/>
  <c r="D207" i="1"/>
  <c r="Y206" i="1"/>
  <c r="W206" i="1"/>
  <c r="U206" i="1"/>
  <c r="R206" i="1"/>
  <c r="P206" i="1"/>
  <c r="N206" i="1"/>
  <c r="L206" i="1"/>
  <c r="J206" i="1"/>
  <c r="H206" i="1"/>
  <c r="F206" i="1"/>
  <c r="E206" i="1"/>
  <c r="D206" i="1"/>
  <c r="Y205" i="1"/>
  <c r="W205" i="1"/>
  <c r="U205" i="1"/>
  <c r="R205" i="1"/>
  <c r="P205" i="1"/>
  <c r="N205" i="1"/>
  <c r="L205" i="1"/>
  <c r="J205" i="1"/>
  <c r="H205" i="1"/>
  <c r="F205" i="1"/>
  <c r="E205" i="1"/>
  <c r="D205" i="1"/>
  <c r="Y204" i="1"/>
  <c r="W204" i="1"/>
  <c r="U204" i="1"/>
  <c r="R204" i="1"/>
  <c r="P204" i="1"/>
  <c r="N204" i="1"/>
  <c r="L204" i="1"/>
  <c r="J204" i="1"/>
  <c r="H204" i="1"/>
  <c r="F204" i="1"/>
  <c r="E204" i="1"/>
  <c r="D204" i="1"/>
  <c r="Y203" i="1"/>
  <c r="W203" i="1"/>
  <c r="U203" i="1"/>
  <c r="R203" i="1"/>
  <c r="P203" i="1"/>
  <c r="N203" i="1"/>
  <c r="L203" i="1"/>
  <c r="J203" i="1"/>
  <c r="H203" i="1"/>
  <c r="F203" i="1"/>
  <c r="E203" i="1"/>
  <c r="D203" i="1"/>
  <c r="Y202" i="1"/>
  <c r="W202" i="1"/>
  <c r="U202" i="1"/>
  <c r="R202" i="1"/>
  <c r="P202" i="1"/>
  <c r="N202" i="1"/>
  <c r="L202" i="1"/>
  <c r="J202" i="1"/>
  <c r="H202" i="1"/>
  <c r="F202" i="1"/>
  <c r="E202" i="1"/>
  <c r="D202" i="1"/>
  <c r="Y201" i="1"/>
  <c r="W201" i="1"/>
  <c r="U201" i="1"/>
  <c r="R201" i="1"/>
  <c r="P201" i="1"/>
  <c r="N201" i="1"/>
  <c r="L201" i="1"/>
  <c r="J201" i="1"/>
  <c r="H201" i="1"/>
  <c r="F201" i="1"/>
  <c r="E201" i="1"/>
  <c r="D201" i="1"/>
  <c r="Y200" i="1"/>
  <c r="W200" i="1"/>
  <c r="U200" i="1"/>
  <c r="R200" i="1"/>
  <c r="P200" i="1"/>
  <c r="N200" i="1"/>
  <c r="L200" i="1"/>
  <c r="J200" i="1"/>
  <c r="H200" i="1"/>
  <c r="F200" i="1"/>
  <c r="E200" i="1"/>
  <c r="D200" i="1"/>
  <c r="Y199" i="1"/>
  <c r="W199" i="1"/>
  <c r="U199" i="1"/>
  <c r="R199" i="1"/>
  <c r="P199" i="1"/>
  <c r="N199" i="1"/>
  <c r="L199" i="1"/>
  <c r="J199" i="1"/>
  <c r="H199" i="1"/>
  <c r="F199" i="1"/>
  <c r="E199" i="1"/>
  <c r="D199" i="1"/>
  <c r="Y198" i="1"/>
  <c r="W198" i="1"/>
  <c r="U198" i="1"/>
  <c r="R198" i="1"/>
  <c r="P198" i="1"/>
  <c r="N198" i="1"/>
  <c r="L198" i="1"/>
  <c r="J198" i="1"/>
  <c r="H198" i="1"/>
  <c r="F198" i="1"/>
  <c r="E198" i="1"/>
  <c r="D198" i="1"/>
  <c r="Y197" i="1"/>
  <c r="W197" i="1"/>
  <c r="U197" i="1"/>
  <c r="R197" i="1"/>
  <c r="P197" i="1"/>
  <c r="N197" i="1"/>
  <c r="L197" i="1"/>
  <c r="J197" i="1"/>
  <c r="H197" i="1"/>
  <c r="F197" i="1"/>
  <c r="E197" i="1"/>
  <c r="D197" i="1"/>
  <c r="Y196" i="1"/>
  <c r="W196" i="1"/>
  <c r="U196" i="1"/>
  <c r="R196" i="1"/>
  <c r="P196" i="1"/>
  <c r="N196" i="1"/>
  <c r="L196" i="1"/>
  <c r="J196" i="1"/>
  <c r="H196" i="1"/>
  <c r="F196" i="1"/>
  <c r="E196" i="1"/>
  <c r="D196" i="1"/>
  <c r="Y195" i="1"/>
  <c r="W195" i="1"/>
  <c r="U195" i="1"/>
  <c r="R195" i="1"/>
  <c r="P195" i="1"/>
  <c r="N195" i="1"/>
  <c r="L195" i="1"/>
  <c r="J195" i="1"/>
  <c r="H195" i="1"/>
  <c r="F195" i="1"/>
  <c r="E195" i="1"/>
  <c r="D195" i="1"/>
  <c r="Y194" i="1"/>
  <c r="W194" i="1"/>
  <c r="U194" i="1"/>
  <c r="R194" i="1"/>
  <c r="P194" i="1"/>
  <c r="N194" i="1"/>
  <c r="L194" i="1"/>
  <c r="J194" i="1"/>
  <c r="H194" i="1"/>
  <c r="F194" i="1"/>
  <c r="E194" i="1"/>
  <c r="D194" i="1"/>
  <c r="Y193" i="1"/>
  <c r="W193" i="1"/>
  <c r="U193" i="1"/>
  <c r="R193" i="1"/>
  <c r="P193" i="1"/>
  <c r="N193" i="1"/>
  <c r="L193" i="1"/>
  <c r="J193" i="1"/>
  <c r="H193" i="1"/>
  <c r="F193" i="1"/>
  <c r="E193" i="1"/>
  <c r="D193" i="1"/>
  <c r="Y192" i="1"/>
  <c r="W192" i="1"/>
  <c r="U192" i="1"/>
  <c r="R192" i="1"/>
  <c r="P192" i="1"/>
  <c r="N192" i="1"/>
  <c r="L192" i="1"/>
  <c r="J192" i="1"/>
  <c r="H192" i="1"/>
  <c r="F192" i="1"/>
  <c r="E192" i="1"/>
  <c r="D192" i="1"/>
  <c r="Y191" i="1"/>
  <c r="W191" i="1"/>
  <c r="U191" i="1"/>
  <c r="R191" i="1"/>
  <c r="P191" i="1"/>
  <c r="N191" i="1"/>
  <c r="L191" i="1"/>
  <c r="J191" i="1"/>
  <c r="H191" i="1"/>
  <c r="F191" i="1"/>
  <c r="E191" i="1"/>
  <c r="D191" i="1"/>
  <c r="Y190" i="1"/>
  <c r="W190" i="1"/>
  <c r="U190" i="1"/>
  <c r="R190" i="1"/>
  <c r="P190" i="1"/>
  <c r="N190" i="1"/>
  <c r="L190" i="1"/>
  <c r="J190" i="1"/>
  <c r="H190" i="1"/>
  <c r="F190" i="1"/>
  <c r="E190" i="1"/>
  <c r="D190" i="1"/>
  <c r="Y189" i="1"/>
  <c r="W189" i="1"/>
  <c r="U189" i="1"/>
  <c r="R189" i="1"/>
  <c r="P189" i="1"/>
  <c r="N189" i="1"/>
  <c r="L189" i="1"/>
  <c r="J189" i="1"/>
  <c r="H189" i="1"/>
  <c r="F189" i="1"/>
  <c r="E189" i="1"/>
  <c r="D189" i="1"/>
  <c r="Y188" i="1"/>
  <c r="W188" i="1"/>
  <c r="U188" i="1"/>
  <c r="R188" i="1"/>
  <c r="P188" i="1"/>
  <c r="N188" i="1"/>
  <c r="L188" i="1"/>
  <c r="J188" i="1"/>
  <c r="H188" i="1"/>
  <c r="F188" i="1"/>
  <c r="E188" i="1"/>
  <c r="D188"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BJ109"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AK109" i="1"/>
  <c r="AH109" i="1"/>
  <c r="AG109" i="1"/>
  <c r="AF109" i="1"/>
  <c r="AE109" i="1"/>
  <c r="AD109" i="1"/>
  <c r="AB109" i="1"/>
  <c r="X109" i="1"/>
  <c r="W109" i="1"/>
  <c r="V109" i="1"/>
  <c r="U109" i="1"/>
  <c r="T109" i="1"/>
  <c r="S109" i="1"/>
  <c r="R109" i="1"/>
  <c r="Q109" i="1"/>
  <c r="P109" i="1"/>
  <c r="O109" i="1"/>
  <c r="N109" i="1"/>
  <c r="M109" i="1"/>
  <c r="L109" i="1"/>
  <c r="K109" i="1"/>
  <c r="J109" i="1"/>
  <c r="I109" i="1"/>
  <c r="D109" i="1"/>
  <c r="BJ108" i="1"/>
  <c r="BI108" i="1"/>
  <c r="BH108" i="1"/>
  <c r="BG108" i="1"/>
  <c r="BF108" i="1"/>
  <c r="BE108" i="1"/>
  <c r="BD108" i="1"/>
  <c r="BC108" i="1"/>
  <c r="BB108" i="1"/>
  <c r="BA108" i="1"/>
  <c r="AZ108" i="1"/>
  <c r="AY108" i="1"/>
  <c r="AX108" i="1"/>
  <c r="AW108" i="1"/>
  <c r="AV108" i="1"/>
  <c r="AU108" i="1"/>
  <c r="AT108" i="1"/>
  <c r="AS108" i="1"/>
  <c r="AR108" i="1"/>
  <c r="AQ108" i="1"/>
  <c r="AP108" i="1"/>
  <c r="AO108" i="1"/>
  <c r="AN108" i="1"/>
  <c r="AM108" i="1"/>
  <c r="AK108" i="1"/>
  <c r="AH108" i="1"/>
  <c r="AG108" i="1"/>
  <c r="AF108" i="1"/>
  <c r="AE108" i="1"/>
  <c r="AD108" i="1"/>
  <c r="AB108" i="1"/>
  <c r="X108" i="1"/>
  <c r="W108" i="1"/>
  <c r="V108" i="1"/>
  <c r="U108" i="1"/>
  <c r="T108" i="1"/>
  <c r="S108" i="1"/>
  <c r="R108" i="1"/>
  <c r="Q108" i="1"/>
  <c r="P108" i="1"/>
  <c r="O108" i="1"/>
  <c r="N108" i="1"/>
  <c r="M108" i="1"/>
  <c r="L108" i="1"/>
  <c r="K108" i="1"/>
  <c r="J108" i="1"/>
  <c r="I108" i="1"/>
  <c r="D108" i="1"/>
  <c r="BJ107"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AK107" i="1"/>
  <c r="AH107" i="1"/>
  <c r="AG107" i="1"/>
  <c r="AF107" i="1"/>
  <c r="AE107" i="1"/>
  <c r="AD107" i="1"/>
  <c r="AB107" i="1"/>
  <c r="X107" i="1"/>
  <c r="W107" i="1"/>
  <c r="V107" i="1"/>
  <c r="U107" i="1"/>
  <c r="T107" i="1"/>
  <c r="S107" i="1"/>
  <c r="R107" i="1"/>
  <c r="Q107" i="1"/>
  <c r="P107" i="1"/>
  <c r="O107" i="1"/>
  <c r="N107" i="1"/>
  <c r="M107" i="1"/>
  <c r="L107" i="1"/>
  <c r="K107" i="1"/>
  <c r="J107" i="1"/>
  <c r="I107" i="1"/>
  <c r="D107" i="1"/>
  <c r="BJ106" i="1"/>
  <c r="BI106" i="1"/>
  <c r="BH106" i="1"/>
  <c r="BG106" i="1"/>
  <c r="BF106" i="1"/>
  <c r="BE106" i="1"/>
  <c r="BD106" i="1"/>
  <c r="BC106" i="1"/>
  <c r="BB106" i="1"/>
  <c r="BA106" i="1"/>
  <c r="AZ106" i="1"/>
  <c r="AY106" i="1"/>
  <c r="AX106" i="1"/>
  <c r="AW106" i="1"/>
  <c r="AV106" i="1"/>
  <c r="AU106" i="1"/>
  <c r="AT106" i="1"/>
  <c r="AS106" i="1"/>
  <c r="AR106" i="1"/>
  <c r="AQ106" i="1"/>
  <c r="AP106" i="1"/>
  <c r="AO106" i="1"/>
  <c r="AN106" i="1"/>
  <c r="AM106" i="1"/>
  <c r="AK106" i="1"/>
  <c r="AH106" i="1"/>
  <c r="AG106" i="1"/>
  <c r="AF106" i="1"/>
  <c r="AE106" i="1"/>
  <c r="AD106" i="1"/>
  <c r="AB106" i="1"/>
  <c r="X106" i="1"/>
  <c r="W106" i="1"/>
  <c r="V106" i="1"/>
  <c r="U106" i="1"/>
  <c r="T106" i="1"/>
  <c r="S106" i="1"/>
  <c r="R106" i="1"/>
  <c r="Q106" i="1"/>
  <c r="P106" i="1"/>
  <c r="O106" i="1"/>
  <c r="N106" i="1"/>
  <c r="M106" i="1"/>
  <c r="L106" i="1"/>
  <c r="K106" i="1"/>
  <c r="J106" i="1"/>
  <c r="I106" i="1"/>
  <c r="D106" i="1"/>
  <c r="BJ105"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AK105" i="1"/>
  <c r="AH105" i="1"/>
  <c r="AG105" i="1"/>
  <c r="AF105" i="1"/>
  <c r="AE105" i="1"/>
  <c r="AD105" i="1"/>
  <c r="AB105" i="1"/>
  <c r="X105" i="1"/>
  <c r="W105" i="1"/>
  <c r="V105" i="1"/>
  <c r="U105" i="1"/>
  <c r="T105" i="1"/>
  <c r="S105" i="1"/>
  <c r="R105" i="1"/>
  <c r="Q105" i="1"/>
  <c r="P105" i="1"/>
  <c r="O105" i="1"/>
  <c r="N105" i="1"/>
  <c r="M105" i="1"/>
  <c r="L105" i="1"/>
  <c r="K105" i="1"/>
  <c r="J105" i="1"/>
  <c r="I105" i="1"/>
  <c r="D105" i="1"/>
  <c r="BJ104" i="1"/>
  <c r="BI104" i="1"/>
  <c r="BH104" i="1"/>
  <c r="BG104" i="1"/>
  <c r="BF104" i="1"/>
  <c r="BE104" i="1"/>
  <c r="BD104" i="1"/>
  <c r="BC104" i="1"/>
  <c r="BB104" i="1"/>
  <c r="BA104" i="1"/>
  <c r="AZ104" i="1"/>
  <c r="AY104" i="1"/>
  <c r="AX104" i="1"/>
  <c r="AW104" i="1"/>
  <c r="AV104" i="1"/>
  <c r="AU104" i="1"/>
  <c r="AT104" i="1"/>
  <c r="AS104" i="1"/>
  <c r="AR104" i="1"/>
  <c r="AQ104" i="1"/>
  <c r="AP104" i="1"/>
  <c r="AO104" i="1"/>
  <c r="AN104" i="1"/>
  <c r="AM104" i="1"/>
  <c r="AK104" i="1"/>
  <c r="AH104" i="1"/>
  <c r="AG104" i="1"/>
  <c r="AF104" i="1"/>
  <c r="AE104" i="1"/>
  <c r="AD104" i="1"/>
  <c r="AB104" i="1"/>
  <c r="X104" i="1"/>
  <c r="W104" i="1"/>
  <c r="V104" i="1"/>
  <c r="U104" i="1"/>
  <c r="T104" i="1"/>
  <c r="S104" i="1"/>
  <c r="R104" i="1"/>
  <c r="Q104" i="1"/>
  <c r="P104" i="1"/>
  <c r="O104" i="1"/>
  <c r="N104" i="1"/>
  <c r="M104" i="1"/>
  <c r="L104" i="1"/>
  <c r="K104" i="1"/>
  <c r="J104" i="1"/>
  <c r="I104" i="1"/>
  <c r="D104" i="1"/>
  <c r="BJ103"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AK103" i="1"/>
  <c r="AH103" i="1"/>
  <c r="AG103" i="1"/>
  <c r="AF103" i="1"/>
  <c r="AE103" i="1"/>
  <c r="AD103" i="1"/>
  <c r="AB103" i="1"/>
  <c r="X103" i="1"/>
  <c r="W103" i="1"/>
  <c r="V103" i="1"/>
  <c r="U103" i="1"/>
  <c r="T103" i="1"/>
  <c r="S103" i="1"/>
  <c r="R103" i="1"/>
  <c r="Q103" i="1"/>
  <c r="P103" i="1"/>
  <c r="O103" i="1"/>
  <c r="N103" i="1"/>
  <c r="M103" i="1"/>
  <c r="L103" i="1"/>
  <c r="K103" i="1"/>
  <c r="J103" i="1"/>
  <c r="I103" i="1"/>
  <c r="D103" i="1"/>
  <c r="BJ102" i="1"/>
  <c r="BI102" i="1"/>
  <c r="BH102" i="1"/>
  <c r="BG102" i="1"/>
  <c r="BF102" i="1"/>
  <c r="BE102" i="1"/>
  <c r="BD102" i="1"/>
  <c r="BC102" i="1"/>
  <c r="BB102" i="1"/>
  <c r="BA102" i="1"/>
  <c r="AZ102" i="1"/>
  <c r="AY102" i="1"/>
  <c r="AX102" i="1"/>
  <c r="AW102" i="1"/>
  <c r="AV102" i="1"/>
  <c r="AU102" i="1"/>
  <c r="AT102" i="1"/>
  <c r="AS102" i="1"/>
  <c r="AR102" i="1"/>
  <c r="AQ102" i="1"/>
  <c r="AP102" i="1"/>
  <c r="AO102" i="1"/>
  <c r="AN102" i="1"/>
  <c r="AM102" i="1"/>
  <c r="AK102" i="1"/>
  <c r="AH102" i="1"/>
  <c r="AG102" i="1"/>
  <c r="AF102" i="1"/>
  <c r="AE102" i="1"/>
  <c r="AD102" i="1"/>
  <c r="AB102" i="1"/>
  <c r="X102" i="1"/>
  <c r="W102" i="1"/>
  <c r="V102" i="1"/>
  <c r="U102" i="1"/>
  <c r="T102" i="1"/>
  <c r="S102" i="1"/>
  <c r="R102" i="1"/>
  <c r="Q102" i="1"/>
  <c r="P102" i="1"/>
  <c r="O102" i="1"/>
  <c r="N102" i="1"/>
  <c r="M102" i="1"/>
  <c r="L102" i="1"/>
  <c r="K102" i="1"/>
  <c r="J102" i="1"/>
  <c r="I102" i="1"/>
  <c r="D102" i="1"/>
  <c r="BJ101"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AK101" i="1"/>
  <c r="AH101" i="1"/>
  <c r="AG101" i="1"/>
  <c r="AF101" i="1"/>
  <c r="AE101" i="1"/>
  <c r="AD101" i="1"/>
  <c r="AB101" i="1"/>
  <c r="X101" i="1"/>
  <c r="W101" i="1"/>
  <c r="V101" i="1"/>
  <c r="U101" i="1"/>
  <c r="T101" i="1"/>
  <c r="S101" i="1"/>
  <c r="R101" i="1"/>
  <c r="Q101" i="1"/>
  <c r="P101" i="1"/>
  <c r="O101" i="1"/>
  <c r="N101" i="1"/>
  <c r="M101" i="1"/>
  <c r="L101" i="1"/>
  <c r="K101" i="1"/>
  <c r="J101" i="1"/>
  <c r="I101" i="1"/>
  <c r="D101"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K100" i="1"/>
  <c r="AH100" i="1"/>
  <c r="AG100" i="1"/>
  <c r="AF100" i="1"/>
  <c r="AE100" i="1"/>
  <c r="AD100" i="1"/>
  <c r="AB100" i="1"/>
  <c r="X100" i="1"/>
  <c r="W100" i="1"/>
  <c r="V100" i="1"/>
  <c r="U100" i="1"/>
  <c r="T100" i="1"/>
  <c r="S100" i="1"/>
  <c r="R100" i="1"/>
  <c r="Q100" i="1"/>
  <c r="P100" i="1"/>
  <c r="O100" i="1"/>
  <c r="N100" i="1"/>
  <c r="M100" i="1"/>
  <c r="L100" i="1"/>
  <c r="K100" i="1"/>
  <c r="J100" i="1"/>
  <c r="I100" i="1"/>
  <c r="D100" i="1"/>
  <c r="BJ99" i="1"/>
  <c r="BI99" i="1"/>
  <c r="BH99" i="1"/>
  <c r="BG99" i="1"/>
  <c r="BF99" i="1"/>
  <c r="BE99" i="1"/>
  <c r="BD99" i="1"/>
  <c r="BC99" i="1"/>
  <c r="BB99" i="1"/>
  <c r="BA99" i="1"/>
  <c r="AZ99" i="1"/>
  <c r="AY99" i="1"/>
  <c r="AX99" i="1"/>
  <c r="AW99" i="1"/>
  <c r="AV99" i="1"/>
  <c r="AU99" i="1"/>
  <c r="AT99" i="1"/>
  <c r="AS99" i="1"/>
  <c r="AR99" i="1"/>
  <c r="AQ99" i="1"/>
  <c r="AP99" i="1"/>
  <c r="AO99" i="1"/>
  <c r="AN99" i="1"/>
  <c r="AM99" i="1"/>
  <c r="AK99" i="1"/>
  <c r="AH99" i="1"/>
  <c r="AG99" i="1"/>
  <c r="AF99" i="1"/>
  <c r="AE99" i="1"/>
  <c r="AD99" i="1"/>
  <c r="AB99" i="1"/>
  <c r="X99" i="1"/>
  <c r="W99" i="1"/>
  <c r="V99" i="1"/>
  <c r="U99" i="1"/>
  <c r="T99" i="1"/>
  <c r="S99" i="1"/>
  <c r="R99" i="1"/>
  <c r="Q99" i="1"/>
  <c r="P99" i="1"/>
  <c r="O99" i="1"/>
  <c r="N99" i="1"/>
  <c r="M99" i="1"/>
  <c r="L99" i="1"/>
  <c r="K99" i="1"/>
  <c r="J99" i="1"/>
  <c r="I99" i="1"/>
  <c r="D99" i="1"/>
  <c r="BJ98" i="1"/>
  <c r="BI98" i="1"/>
  <c r="BH98" i="1"/>
  <c r="BG98" i="1"/>
  <c r="BF98" i="1"/>
  <c r="BE98" i="1"/>
  <c r="BD98" i="1"/>
  <c r="BC98" i="1"/>
  <c r="BB98" i="1"/>
  <c r="BA98" i="1"/>
  <c r="AZ98" i="1"/>
  <c r="AY98" i="1"/>
  <c r="AX98" i="1"/>
  <c r="AW98" i="1"/>
  <c r="AV98" i="1"/>
  <c r="AU98" i="1"/>
  <c r="AT98" i="1"/>
  <c r="AS98" i="1"/>
  <c r="AR98" i="1"/>
  <c r="AQ98" i="1"/>
  <c r="AP98" i="1"/>
  <c r="AO98" i="1"/>
  <c r="AN98" i="1"/>
  <c r="AM98" i="1"/>
  <c r="AK98" i="1"/>
  <c r="AH98" i="1"/>
  <c r="AG98" i="1"/>
  <c r="AF98" i="1"/>
  <c r="AE98" i="1"/>
  <c r="AD98" i="1"/>
  <c r="AB98" i="1"/>
  <c r="X98" i="1"/>
  <c r="W98" i="1"/>
  <c r="V98" i="1"/>
  <c r="U98" i="1"/>
  <c r="T98" i="1"/>
  <c r="S98" i="1"/>
  <c r="R98" i="1"/>
  <c r="Q98" i="1"/>
  <c r="P98" i="1"/>
  <c r="O98" i="1"/>
  <c r="N98" i="1"/>
  <c r="M98" i="1"/>
  <c r="L98" i="1"/>
  <c r="K98" i="1"/>
  <c r="J98" i="1"/>
  <c r="I98" i="1"/>
  <c r="D98" i="1"/>
  <c r="BJ97" i="1"/>
  <c r="BI97" i="1"/>
  <c r="BH97" i="1"/>
  <c r="BG97" i="1"/>
  <c r="BF97" i="1"/>
  <c r="BE97" i="1"/>
  <c r="BD97" i="1"/>
  <c r="BC97" i="1"/>
  <c r="BB97" i="1"/>
  <c r="BA97" i="1"/>
  <c r="AZ97" i="1"/>
  <c r="AY97" i="1"/>
  <c r="AX97" i="1"/>
  <c r="AW97" i="1"/>
  <c r="AV97" i="1"/>
  <c r="AU97" i="1"/>
  <c r="AT97" i="1"/>
  <c r="AS97" i="1"/>
  <c r="AR97" i="1"/>
  <c r="AQ97" i="1"/>
  <c r="AP97" i="1"/>
  <c r="AO97" i="1"/>
  <c r="AN97" i="1"/>
  <c r="AM97" i="1"/>
  <c r="AK97" i="1"/>
  <c r="AH97" i="1"/>
  <c r="AG97" i="1"/>
  <c r="AF97" i="1"/>
  <c r="AE97" i="1"/>
  <c r="AD97" i="1"/>
  <c r="AB97" i="1"/>
  <c r="X97" i="1"/>
  <c r="W97" i="1"/>
  <c r="V97" i="1"/>
  <c r="U97" i="1"/>
  <c r="T97" i="1"/>
  <c r="S97" i="1"/>
  <c r="R97" i="1"/>
  <c r="Q97" i="1"/>
  <c r="P97" i="1"/>
  <c r="O97" i="1"/>
  <c r="N97" i="1"/>
  <c r="M97" i="1"/>
  <c r="L97" i="1"/>
  <c r="K97" i="1"/>
  <c r="J97" i="1"/>
  <c r="I97" i="1"/>
  <c r="D97" i="1"/>
  <c r="BJ96" i="1"/>
  <c r="BI96" i="1"/>
  <c r="BH96" i="1"/>
  <c r="BG96" i="1"/>
  <c r="BF96" i="1"/>
  <c r="BE96" i="1"/>
  <c r="BD96" i="1"/>
  <c r="BC96" i="1"/>
  <c r="BB96" i="1"/>
  <c r="BA96" i="1"/>
  <c r="AZ96" i="1"/>
  <c r="AY96" i="1"/>
  <c r="AX96" i="1"/>
  <c r="AW96" i="1"/>
  <c r="AV96" i="1"/>
  <c r="AU96" i="1"/>
  <c r="AT96" i="1"/>
  <c r="AS96" i="1"/>
  <c r="AR96" i="1"/>
  <c r="AQ96" i="1"/>
  <c r="AP96" i="1"/>
  <c r="AO96" i="1"/>
  <c r="AN96" i="1"/>
  <c r="AM96" i="1"/>
  <c r="AK96" i="1"/>
  <c r="AH96" i="1"/>
  <c r="AG96" i="1"/>
  <c r="AF96" i="1"/>
  <c r="AE96" i="1"/>
  <c r="AD96" i="1"/>
  <c r="AB96" i="1"/>
  <c r="X96" i="1"/>
  <c r="W96" i="1"/>
  <c r="V96" i="1"/>
  <c r="U96" i="1"/>
  <c r="T96" i="1"/>
  <c r="S96" i="1"/>
  <c r="R96" i="1"/>
  <c r="Q96" i="1"/>
  <c r="P96" i="1"/>
  <c r="O96" i="1"/>
  <c r="N96" i="1"/>
  <c r="M96" i="1"/>
  <c r="L96" i="1"/>
  <c r="K96" i="1"/>
  <c r="J96" i="1"/>
  <c r="I96" i="1"/>
  <c r="D96" i="1"/>
  <c r="BJ95" i="1"/>
  <c r="BI95" i="1"/>
  <c r="BH95" i="1"/>
  <c r="BG95" i="1"/>
  <c r="BF95" i="1"/>
  <c r="BE95" i="1"/>
  <c r="BD95" i="1"/>
  <c r="BC95" i="1"/>
  <c r="BB95" i="1"/>
  <c r="BA95" i="1"/>
  <c r="AZ95" i="1"/>
  <c r="AY95" i="1"/>
  <c r="AX95" i="1"/>
  <c r="AW95" i="1"/>
  <c r="AV95" i="1"/>
  <c r="AU95" i="1"/>
  <c r="AT95" i="1"/>
  <c r="AS95" i="1"/>
  <c r="AR95" i="1"/>
  <c r="AQ95" i="1"/>
  <c r="AP95" i="1"/>
  <c r="AO95" i="1"/>
  <c r="AN95" i="1"/>
  <c r="AM95" i="1"/>
  <c r="AK95" i="1"/>
  <c r="AH95" i="1"/>
  <c r="AG95" i="1"/>
  <c r="AF95" i="1"/>
  <c r="AE95" i="1"/>
  <c r="AD95" i="1"/>
  <c r="AB95" i="1"/>
  <c r="X95" i="1"/>
  <c r="W95" i="1"/>
  <c r="V95" i="1"/>
  <c r="U95" i="1"/>
  <c r="T95" i="1"/>
  <c r="S95" i="1"/>
  <c r="R95" i="1"/>
  <c r="Q95" i="1"/>
  <c r="P95" i="1"/>
  <c r="O95" i="1"/>
  <c r="N95" i="1"/>
  <c r="M95" i="1"/>
  <c r="L95" i="1"/>
  <c r="K95" i="1"/>
  <c r="J95" i="1"/>
  <c r="I95" i="1"/>
  <c r="D95" i="1"/>
  <c r="BJ94" i="1"/>
  <c r="BI94" i="1"/>
  <c r="BH94" i="1"/>
  <c r="BG94" i="1"/>
  <c r="BF94" i="1"/>
  <c r="BE94" i="1"/>
  <c r="BD94" i="1"/>
  <c r="BC94" i="1"/>
  <c r="BB94" i="1"/>
  <c r="BA94" i="1"/>
  <c r="AZ94" i="1"/>
  <c r="AY94" i="1"/>
  <c r="AX94" i="1"/>
  <c r="AW94" i="1"/>
  <c r="AV94" i="1"/>
  <c r="AU94" i="1"/>
  <c r="AT94" i="1"/>
  <c r="AS94" i="1"/>
  <c r="AR94" i="1"/>
  <c r="AQ94" i="1"/>
  <c r="AP94" i="1"/>
  <c r="AO94" i="1"/>
  <c r="AN94" i="1"/>
  <c r="AM94" i="1"/>
  <c r="AK94" i="1"/>
  <c r="AH94" i="1"/>
  <c r="AG94" i="1"/>
  <c r="AF94" i="1"/>
  <c r="AE94" i="1"/>
  <c r="AD94" i="1"/>
  <c r="AB94" i="1"/>
  <c r="X94" i="1"/>
  <c r="W94" i="1"/>
  <c r="V94" i="1"/>
  <c r="U94" i="1"/>
  <c r="T94" i="1"/>
  <c r="S94" i="1"/>
  <c r="R94" i="1"/>
  <c r="Q94" i="1"/>
  <c r="P94" i="1"/>
  <c r="O94" i="1"/>
  <c r="N94" i="1"/>
  <c r="M94" i="1"/>
  <c r="L94" i="1"/>
  <c r="K94" i="1"/>
  <c r="J94" i="1"/>
  <c r="I94" i="1"/>
  <c r="D94" i="1"/>
  <c r="BJ93" i="1"/>
  <c r="BI93" i="1"/>
  <c r="BH93" i="1"/>
  <c r="BG93" i="1"/>
  <c r="BF93" i="1"/>
  <c r="BE93" i="1"/>
  <c r="BD93" i="1"/>
  <c r="BC93" i="1"/>
  <c r="BB93" i="1"/>
  <c r="BA93" i="1"/>
  <c r="AZ93" i="1"/>
  <c r="AY93" i="1"/>
  <c r="AX93" i="1"/>
  <c r="AW93" i="1"/>
  <c r="AV93" i="1"/>
  <c r="AU93" i="1"/>
  <c r="AT93" i="1"/>
  <c r="AS93" i="1"/>
  <c r="AR93" i="1"/>
  <c r="AQ93" i="1"/>
  <c r="AP93" i="1"/>
  <c r="AO93" i="1"/>
  <c r="AN93" i="1"/>
  <c r="AM93" i="1"/>
  <c r="AK93" i="1"/>
  <c r="AH93" i="1"/>
  <c r="AG93" i="1"/>
  <c r="AF93" i="1"/>
  <c r="AE93" i="1"/>
  <c r="AD93" i="1"/>
  <c r="AB93" i="1"/>
  <c r="X93" i="1"/>
  <c r="W93" i="1"/>
  <c r="V93" i="1"/>
  <c r="U93" i="1"/>
  <c r="T93" i="1"/>
  <c r="S93" i="1"/>
  <c r="R93" i="1"/>
  <c r="Q93" i="1"/>
  <c r="P93" i="1"/>
  <c r="O93" i="1"/>
  <c r="N93" i="1"/>
  <c r="M93" i="1"/>
  <c r="L93" i="1"/>
  <c r="K93" i="1"/>
  <c r="J93" i="1"/>
  <c r="I93" i="1"/>
  <c r="D93" i="1"/>
  <c r="BJ92" i="1"/>
  <c r="BI92" i="1"/>
  <c r="BH92" i="1"/>
  <c r="BG92" i="1"/>
  <c r="BF92" i="1"/>
  <c r="BE92" i="1"/>
  <c r="BD92" i="1"/>
  <c r="BC92" i="1"/>
  <c r="BB92" i="1"/>
  <c r="BA92" i="1"/>
  <c r="AZ92" i="1"/>
  <c r="AY92" i="1"/>
  <c r="AX92" i="1"/>
  <c r="AW92" i="1"/>
  <c r="AV92" i="1"/>
  <c r="AU92" i="1"/>
  <c r="AT92" i="1"/>
  <c r="AS92" i="1"/>
  <c r="AR92" i="1"/>
  <c r="AQ92" i="1"/>
  <c r="AP92" i="1"/>
  <c r="AO92" i="1"/>
  <c r="AN92" i="1"/>
  <c r="AM92" i="1"/>
  <c r="AK92" i="1"/>
  <c r="AH92" i="1"/>
  <c r="AG92" i="1"/>
  <c r="AF92" i="1"/>
  <c r="AE92" i="1"/>
  <c r="AD92" i="1"/>
  <c r="AB92" i="1"/>
  <c r="X92" i="1"/>
  <c r="W92" i="1"/>
  <c r="V92" i="1"/>
  <c r="U92" i="1"/>
  <c r="T92" i="1"/>
  <c r="S92" i="1"/>
  <c r="R92" i="1"/>
  <c r="Q92" i="1"/>
  <c r="P92" i="1"/>
  <c r="O92" i="1"/>
  <c r="N92" i="1"/>
  <c r="M92" i="1"/>
  <c r="L92" i="1"/>
  <c r="K92" i="1"/>
  <c r="J92" i="1"/>
  <c r="I92" i="1"/>
  <c r="D92" i="1"/>
  <c r="BJ91" i="1"/>
  <c r="BI91" i="1"/>
  <c r="BH91" i="1"/>
  <c r="BG91" i="1"/>
  <c r="BF91" i="1"/>
  <c r="BE91" i="1"/>
  <c r="BD91" i="1"/>
  <c r="BC91" i="1"/>
  <c r="BB91" i="1"/>
  <c r="BA91" i="1"/>
  <c r="AZ91" i="1"/>
  <c r="AY91" i="1"/>
  <c r="AX91" i="1"/>
  <c r="AW91" i="1"/>
  <c r="AV91" i="1"/>
  <c r="AU91" i="1"/>
  <c r="AT91" i="1"/>
  <c r="AS91" i="1"/>
  <c r="AR91" i="1"/>
  <c r="AQ91" i="1"/>
  <c r="AP91" i="1"/>
  <c r="AO91" i="1"/>
  <c r="AN91" i="1"/>
  <c r="AM91" i="1"/>
  <c r="AK91" i="1"/>
  <c r="AH91" i="1"/>
  <c r="AG91" i="1"/>
  <c r="AF91" i="1"/>
  <c r="AE91" i="1"/>
  <c r="AD91" i="1"/>
  <c r="AB91" i="1"/>
  <c r="X91" i="1"/>
  <c r="W91" i="1"/>
  <c r="V91" i="1"/>
  <c r="U91" i="1"/>
  <c r="T91" i="1"/>
  <c r="S91" i="1"/>
  <c r="R91" i="1"/>
  <c r="Q91" i="1"/>
  <c r="P91" i="1"/>
  <c r="O91" i="1"/>
  <c r="N91" i="1"/>
  <c r="M91" i="1"/>
  <c r="L91" i="1"/>
  <c r="K91" i="1"/>
  <c r="J91" i="1"/>
  <c r="I91" i="1"/>
  <c r="D91" i="1"/>
  <c r="BJ90" i="1"/>
  <c r="BI90" i="1"/>
  <c r="BH90" i="1"/>
  <c r="BG90" i="1"/>
  <c r="BF90" i="1"/>
  <c r="BE90" i="1"/>
  <c r="BD90" i="1"/>
  <c r="BC90" i="1"/>
  <c r="BB90" i="1"/>
  <c r="BA90" i="1"/>
  <c r="AZ90" i="1"/>
  <c r="AY90" i="1"/>
  <c r="AX90" i="1"/>
  <c r="AW90" i="1"/>
  <c r="AV90" i="1"/>
  <c r="AU90" i="1"/>
  <c r="AT90" i="1"/>
  <c r="AS90" i="1"/>
  <c r="AR90" i="1"/>
  <c r="AQ90" i="1"/>
  <c r="AP90" i="1"/>
  <c r="AO90" i="1"/>
  <c r="AN90" i="1"/>
  <c r="AM90" i="1"/>
  <c r="AK90" i="1"/>
  <c r="AH90" i="1"/>
  <c r="AG90" i="1"/>
  <c r="AF90" i="1"/>
  <c r="AE90" i="1"/>
  <c r="AD90" i="1"/>
  <c r="AB90" i="1"/>
  <c r="X90" i="1"/>
  <c r="W90" i="1"/>
  <c r="V90" i="1"/>
  <c r="U90" i="1"/>
  <c r="T90" i="1"/>
  <c r="S90" i="1"/>
  <c r="R90" i="1"/>
  <c r="Q90" i="1"/>
  <c r="P90" i="1"/>
  <c r="O90" i="1"/>
  <c r="N90" i="1"/>
  <c r="M90" i="1"/>
  <c r="L90" i="1"/>
  <c r="K90" i="1"/>
  <c r="J90" i="1"/>
  <c r="I90" i="1"/>
  <c r="D90" i="1"/>
  <c r="BJ89" i="1"/>
  <c r="BI89" i="1"/>
  <c r="BH89" i="1"/>
  <c r="BG89" i="1"/>
  <c r="BF89" i="1"/>
  <c r="BE89" i="1"/>
  <c r="BD89" i="1"/>
  <c r="BC89" i="1"/>
  <c r="BB89" i="1"/>
  <c r="BA89" i="1"/>
  <c r="AZ89" i="1"/>
  <c r="AY89" i="1"/>
  <c r="AX89" i="1"/>
  <c r="AW89" i="1"/>
  <c r="AV89" i="1"/>
  <c r="AU89" i="1"/>
  <c r="AT89" i="1"/>
  <c r="AS89" i="1"/>
  <c r="AR89" i="1"/>
  <c r="AQ89" i="1"/>
  <c r="AP89" i="1"/>
  <c r="AO89" i="1"/>
  <c r="AN89" i="1"/>
  <c r="AM89" i="1"/>
  <c r="AK89" i="1"/>
  <c r="AH89" i="1"/>
  <c r="AG89" i="1"/>
  <c r="AF89" i="1"/>
  <c r="AE89" i="1"/>
  <c r="AD89" i="1"/>
  <c r="AB89" i="1"/>
  <c r="X89" i="1"/>
  <c r="W89" i="1"/>
  <c r="V89" i="1"/>
  <c r="U89" i="1"/>
  <c r="T89" i="1"/>
  <c r="S89" i="1"/>
  <c r="R89" i="1"/>
  <c r="Q89" i="1"/>
  <c r="P89" i="1"/>
  <c r="O89" i="1"/>
  <c r="N89" i="1"/>
  <c r="M89" i="1"/>
  <c r="L89" i="1"/>
  <c r="K89" i="1"/>
  <c r="J89" i="1"/>
  <c r="I89" i="1"/>
  <c r="D89" i="1"/>
  <c r="BJ88" i="1"/>
  <c r="BI88" i="1"/>
  <c r="BH88" i="1"/>
  <c r="BG88" i="1"/>
  <c r="BF88" i="1"/>
  <c r="BE88" i="1"/>
  <c r="BD88" i="1"/>
  <c r="BC88" i="1"/>
  <c r="BB88" i="1"/>
  <c r="BA88" i="1"/>
  <c r="AZ88" i="1"/>
  <c r="AY88" i="1"/>
  <c r="AX88" i="1"/>
  <c r="AW88" i="1"/>
  <c r="AV88" i="1"/>
  <c r="AU88" i="1"/>
  <c r="AT88" i="1"/>
  <c r="AS88" i="1"/>
  <c r="AR88" i="1"/>
  <c r="AQ88" i="1"/>
  <c r="AP88" i="1"/>
  <c r="AO88" i="1"/>
  <c r="AN88" i="1"/>
  <c r="AM88" i="1"/>
  <c r="AK88" i="1"/>
  <c r="AH88" i="1"/>
  <c r="AG88" i="1"/>
  <c r="AF88" i="1"/>
  <c r="AE88" i="1"/>
  <c r="AD88" i="1"/>
  <c r="AB88" i="1"/>
  <c r="X88" i="1"/>
  <c r="W88" i="1"/>
  <c r="V88" i="1"/>
  <c r="U88" i="1"/>
  <c r="T88" i="1"/>
  <c r="S88" i="1"/>
  <c r="R88" i="1"/>
  <c r="Q88" i="1"/>
  <c r="P88" i="1"/>
  <c r="O88" i="1"/>
  <c r="N88" i="1"/>
  <c r="M88" i="1"/>
  <c r="L88" i="1"/>
  <c r="K88" i="1"/>
  <c r="J88" i="1"/>
  <c r="I88" i="1"/>
  <c r="D88" i="1"/>
  <c r="BJ87" i="1"/>
  <c r="BI87" i="1"/>
  <c r="BH87" i="1"/>
  <c r="BG87" i="1"/>
  <c r="BF87" i="1"/>
  <c r="BE87" i="1"/>
  <c r="BD87" i="1"/>
  <c r="BC87" i="1"/>
  <c r="BB87" i="1"/>
  <c r="BA87" i="1"/>
  <c r="AZ87" i="1"/>
  <c r="AY87" i="1"/>
  <c r="AX87" i="1"/>
  <c r="AW87" i="1"/>
  <c r="AV87" i="1"/>
  <c r="AU87" i="1"/>
  <c r="AT87" i="1"/>
  <c r="AS87" i="1"/>
  <c r="AR87" i="1"/>
  <c r="AQ87" i="1"/>
  <c r="AP87" i="1"/>
  <c r="AO87" i="1"/>
  <c r="AN87" i="1"/>
  <c r="AM87" i="1"/>
  <c r="AK87" i="1"/>
  <c r="AH87" i="1"/>
  <c r="AG87" i="1"/>
  <c r="AF87" i="1"/>
  <c r="AE87" i="1"/>
  <c r="AD87" i="1"/>
  <c r="AB87" i="1"/>
  <c r="X87" i="1"/>
  <c r="W87" i="1"/>
  <c r="V87" i="1"/>
  <c r="U87" i="1"/>
  <c r="T87" i="1"/>
  <c r="S87" i="1"/>
  <c r="R87" i="1"/>
  <c r="Q87" i="1"/>
  <c r="P87" i="1"/>
  <c r="O87" i="1"/>
  <c r="N87" i="1"/>
  <c r="M87" i="1"/>
  <c r="L87" i="1"/>
  <c r="K87" i="1"/>
  <c r="J87" i="1"/>
  <c r="I87" i="1"/>
  <c r="D87" i="1"/>
  <c r="BJ86" i="1"/>
  <c r="BI86" i="1"/>
  <c r="BH86" i="1"/>
  <c r="BG86" i="1"/>
  <c r="BF86" i="1"/>
  <c r="BE86" i="1"/>
  <c r="BD86" i="1"/>
  <c r="BC86" i="1"/>
  <c r="BB86" i="1"/>
  <c r="BA86" i="1"/>
  <c r="AZ86" i="1"/>
  <c r="AY86" i="1"/>
  <c r="AX86" i="1"/>
  <c r="AW86" i="1"/>
  <c r="AV86" i="1"/>
  <c r="AU86" i="1"/>
  <c r="AT86" i="1"/>
  <c r="AS86" i="1"/>
  <c r="AR86" i="1"/>
  <c r="AQ86" i="1"/>
  <c r="AP86" i="1"/>
  <c r="AO86" i="1"/>
  <c r="AN86" i="1"/>
  <c r="AM86" i="1"/>
  <c r="AK86" i="1"/>
  <c r="AH86" i="1"/>
  <c r="AG86" i="1"/>
  <c r="AF86" i="1"/>
  <c r="AE86" i="1"/>
  <c r="AD86" i="1"/>
  <c r="AB86" i="1"/>
  <c r="X86" i="1"/>
  <c r="W86" i="1"/>
  <c r="V86" i="1"/>
  <c r="U86" i="1"/>
  <c r="T86" i="1"/>
  <c r="S86" i="1"/>
  <c r="R86" i="1"/>
  <c r="Q86" i="1"/>
  <c r="P86" i="1"/>
  <c r="O86" i="1"/>
  <c r="N86" i="1"/>
  <c r="M86" i="1"/>
  <c r="L86" i="1"/>
  <c r="K86" i="1"/>
  <c r="J86" i="1"/>
  <c r="I86" i="1"/>
  <c r="D86" i="1"/>
  <c r="BJ85" i="1"/>
  <c r="BI85" i="1"/>
  <c r="BH85" i="1"/>
  <c r="BG85" i="1"/>
  <c r="BF85" i="1"/>
  <c r="BE85" i="1"/>
  <c r="BD85" i="1"/>
  <c r="BC85" i="1"/>
  <c r="BB85" i="1"/>
  <c r="BA85" i="1"/>
  <c r="AZ85" i="1"/>
  <c r="AY85" i="1"/>
  <c r="AX85" i="1"/>
  <c r="AW85" i="1"/>
  <c r="AV85" i="1"/>
  <c r="AU85" i="1"/>
  <c r="AT85" i="1"/>
  <c r="AS85" i="1"/>
  <c r="AR85" i="1"/>
  <c r="AQ85" i="1"/>
  <c r="AP85" i="1"/>
  <c r="AO85" i="1"/>
  <c r="AN85" i="1"/>
  <c r="AM85" i="1"/>
  <c r="AK85" i="1"/>
  <c r="AH85" i="1"/>
  <c r="AG85" i="1"/>
  <c r="AF85" i="1"/>
  <c r="AE85" i="1"/>
  <c r="AD85" i="1"/>
  <c r="AB85" i="1"/>
  <c r="X85" i="1"/>
  <c r="W85" i="1"/>
  <c r="V85" i="1"/>
  <c r="U85" i="1"/>
  <c r="T85" i="1"/>
  <c r="S85" i="1"/>
  <c r="R85" i="1"/>
  <c r="Q85" i="1"/>
  <c r="P85" i="1"/>
  <c r="O85" i="1"/>
  <c r="N85" i="1"/>
  <c r="M85" i="1"/>
  <c r="L85" i="1"/>
  <c r="K85" i="1"/>
  <c r="J85" i="1"/>
  <c r="I85" i="1"/>
  <c r="D85" i="1"/>
  <c r="BJ84" i="1"/>
  <c r="BI84" i="1"/>
  <c r="BH84" i="1"/>
  <c r="BG84" i="1"/>
  <c r="BF84" i="1"/>
  <c r="BE84" i="1"/>
  <c r="BD84" i="1"/>
  <c r="BC84" i="1"/>
  <c r="BB84" i="1"/>
  <c r="BA84" i="1"/>
  <c r="AZ84" i="1"/>
  <c r="AY84" i="1"/>
  <c r="AX84" i="1"/>
  <c r="AW84" i="1"/>
  <c r="AV84" i="1"/>
  <c r="AU84" i="1"/>
  <c r="AT84" i="1"/>
  <c r="AS84" i="1"/>
  <c r="AR84" i="1"/>
  <c r="AQ84" i="1"/>
  <c r="AP84" i="1"/>
  <c r="AO84" i="1"/>
  <c r="AN84" i="1"/>
  <c r="AM84" i="1"/>
  <c r="AK84" i="1"/>
  <c r="AH84" i="1"/>
  <c r="AG84" i="1"/>
  <c r="AF84" i="1"/>
  <c r="AE84" i="1"/>
  <c r="AD84" i="1"/>
  <c r="AB84" i="1"/>
  <c r="X84" i="1"/>
  <c r="W84" i="1"/>
  <c r="V84" i="1"/>
  <c r="U84" i="1"/>
  <c r="T84" i="1"/>
  <c r="S84" i="1"/>
  <c r="R84" i="1"/>
  <c r="Q84" i="1"/>
  <c r="P84" i="1"/>
  <c r="O84" i="1"/>
  <c r="N84" i="1"/>
  <c r="M84" i="1"/>
  <c r="L84" i="1"/>
  <c r="K84" i="1"/>
  <c r="J84" i="1"/>
  <c r="I84" i="1"/>
  <c r="D84" i="1"/>
  <c r="BJ83" i="1"/>
  <c r="BI83" i="1"/>
  <c r="BH83" i="1"/>
  <c r="BG83" i="1"/>
  <c r="BF83" i="1"/>
  <c r="BE83" i="1"/>
  <c r="BD83" i="1"/>
  <c r="BC83" i="1"/>
  <c r="BB83" i="1"/>
  <c r="BA83" i="1"/>
  <c r="AZ83" i="1"/>
  <c r="AY83" i="1"/>
  <c r="AX83" i="1"/>
  <c r="AW83" i="1"/>
  <c r="AV83" i="1"/>
  <c r="AU83" i="1"/>
  <c r="AT83" i="1"/>
  <c r="AS83" i="1"/>
  <c r="AR83" i="1"/>
  <c r="AQ83" i="1"/>
  <c r="AP83" i="1"/>
  <c r="AO83" i="1"/>
  <c r="AN83" i="1"/>
  <c r="AM83" i="1"/>
  <c r="AK83" i="1"/>
  <c r="AH83" i="1"/>
  <c r="AG83" i="1"/>
  <c r="AF83" i="1"/>
  <c r="AE83" i="1"/>
  <c r="AD83" i="1"/>
  <c r="AB83" i="1"/>
  <c r="X83" i="1"/>
  <c r="W83" i="1"/>
  <c r="V83" i="1"/>
  <c r="U83" i="1"/>
  <c r="T83" i="1"/>
  <c r="S83" i="1"/>
  <c r="R83" i="1"/>
  <c r="Q83" i="1"/>
  <c r="P83" i="1"/>
  <c r="O83" i="1"/>
  <c r="N83" i="1"/>
  <c r="M83" i="1"/>
  <c r="L83" i="1"/>
  <c r="K83" i="1"/>
  <c r="J83" i="1"/>
  <c r="I83" i="1"/>
  <c r="D83" i="1"/>
  <c r="BJ82" i="1"/>
  <c r="BI82" i="1"/>
  <c r="BH82" i="1"/>
  <c r="BG82" i="1"/>
  <c r="BF82" i="1"/>
  <c r="BE82" i="1"/>
  <c r="BD82" i="1"/>
  <c r="BC82" i="1"/>
  <c r="BB82" i="1"/>
  <c r="BA82" i="1"/>
  <c r="AZ82" i="1"/>
  <c r="AY82" i="1"/>
  <c r="AX82" i="1"/>
  <c r="AW82" i="1"/>
  <c r="AV82" i="1"/>
  <c r="AU82" i="1"/>
  <c r="AT82" i="1"/>
  <c r="AS82" i="1"/>
  <c r="AR82" i="1"/>
  <c r="AQ82" i="1"/>
  <c r="AP82" i="1"/>
  <c r="AO82" i="1"/>
  <c r="AN82" i="1"/>
  <c r="AM82" i="1"/>
  <c r="AK82" i="1"/>
  <c r="AH82" i="1"/>
  <c r="AG82" i="1"/>
  <c r="AF82" i="1"/>
  <c r="AE82" i="1"/>
  <c r="AD82" i="1"/>
  <c r="AB82" i="1"/>
  <c r="X82" i="1"/>
  <c r="W82" i="1"/>
  <c r="V82" i="1"/>
  <c r="U82" i="1"/>
  <c r="T82" i="1"/>
  <c r="S82" i="1"/>
  <c r="R82" i="1"/>
  <c r="Q82" i="1"/>
  <c r="P82" i="1"/>
  <c r="O82" i="1"/>
  <c r="N82" i="1"/>
  <c r="M82" i="1"/>
  <c r="L82" i="1"/>
  <c r="K82" i="1"/>
  <c r="J82" i="1"/>
  <c r="I82" i="1"/>
  <c r="D82" i="1"/>
  <c r="BJ81" i="1"/>
  <c r="BI81" i="1"/>
  <c r="BH81" i="1"/>
  <c r="BG81" i="1"/>
  <c r="BF81" i="1"/>
  <c r="BE81" i="1"/>
  <c r="BD81" i="1"/>
  <c r="BC81" i="1"/>
  <c r="BB81" i="1"/>
  <c r="BA81" i="1"/>
  <c r="AZ81" i="1"/>
  <c r="AY81" i="1"/>
  <c r="AX81" i="1"/>
  <c r="AW81" i="1"/>
  <c r="AV81" i="1"/>
  <c r="AU81" i="1"/>
  <c r="AT81" i="1"/>
  <c r="AS81" i="1"/>
  <c r="AR81" i="1"/>
  <c r="AQ81" i="1"/>
  <c r="AP81" i="1"/>
  <c r="AO81" i="1"/>
  <c r="AN81" i="1"/>
  <c r="AM81" i="1"/>
  <c r="AK81" i="1"/>
  <c r="AH81" i="1"/>
  <c r="AG81" i="1"/>
  <c r="AF81" i="1"/>
  <c r="AE81" i="1"/>
  <c r="AD81" i="1"/>
  <c r="AB81" i="1"/>
  <c r="X81" i="1"/>
  <c r="W81" i="1"/>
  <c r="V81" i="1"/>
  <c r="U81" i="1"/>
  <c r="T81" i="1"/>
  <c r="S81" i="1"/>
  <c r="R81" i="1"/>
  <c r="Q81" i="1"/>
  <c r="P81" i="1"/>
  <c r="O81" i="1"/>
  <c r="N81" i="1"/>
  <c r="M81" i="1"/>
  <c r="L81" i="1"/>
  <c r="K81" i="1"/>
  <c r="J81" i="1"/>
  <c r="I81" i="1"/>
  <c r="D81" i="1"/>
  <c r="V96" i="4"/>
  <c r="F116" i="1" s="1"/>
  <c r="S96" i="4"/>
  <c r="D116" i="1" s="1"/>
  <c r="U95" i="4"/>
  <c r="W95" i="4" s="1"/>
  <c r="X199" i="1" s="1"/>
  <c r="R95" i="4"/>
  <c r="T199" i="1" s="1"/>
  <c r="Q95" i="4"/>
  <c r="S199" i="1" s="1"/>
  <c r="O95" i="4"/>
  <c r="Q199" i="1" s="1"/>
  <c r="M95" i="4"/>
  <c r="O199" i="1" s="1"/>
  <c r="K95" i="4"/>
  <c r="M199" i="1" s="1"/>
  <c r="I95" i="4"/>
  <c r="K199" i="1" s="1"/>
  <c r="G95" i="4"/>
  <c r="I199" i="1" s="1"/>
  <c r="E95" i="4"/>
  <c r="G199" i="1" s="1"/>
  <c r="U94" i="4"/>
  <c r="W94" i="4" s="1"/>
  <c r="X198" i="1" s="1"/>
  <c r="R94" i="4"/>
  <c r="T198" i="1" s="1"/>
  <c r="Q94" i="4"/>
  <c r="S198" i="1" s="1"/>
  <c r="O94" i="4"/>
  <c r="Q198" i="1" s="1"/>
  <c r="M94" i="4"/>
  <c r="O198" i="1" s="1"/>
  <c r="K94" i="4"/>
  <c r="M198" i="1" s="1"/>
  <c r="I94" i="4"/>
  <c r="K198" i="1" s="1"/>
  <c r="G94" i="4"/>
  <c r="I198" i="1" s="1"/>
  <c r="E94" i="4"/>
  <c r="G198" i="1" s="1"/>
  <c r="U93" i="4"/>
  <c r="W93" i="4" s="1"/>
  <c r="X197" i="1" s="1"/>
  <c r="R93" i="4"/>
  <c r="T197" i="1" s="1"/>
  <c r="Q93" i="4"/>
  <c r="S197" i="1" s="1"/>
  <c r="O93" i="4"/>
  <c r="Q197" i="1" s="1"/>
  <c r="M93" i="4"/>
  <c r="O197" i="1" s="1"/>
  <c r="K93" i="4"/>
  <c r="M197" i="1" s="1"/>
  <c r="I93" i="4"/>
  <c r="K197" i="1" s="1"/>
  <c r="G93" i="4"/>
  <c r="I197" i="1" s="1"/>
  <c r="E93" i="4"/>
  <c r="G197" i="1" s="1"/>
  <c r="U92" i="4"/>
  <c r="W92" i="4" s="1"/>
  <c r="X196" i="1" s="1"/>
  <c r="R92" i="4"/>
  <c r="T196" i="1" s="1"/>
  <c r="Q92" i="4"/>
  <c r="S196" i="1" s="1"/>
  <c r="O92" i="4"/>
  <c r="Q196" i="1" s="1"/>
  <c r="M92" i="4"/>
  <c r="O196" i="1" s="1"/>
  <c r="K92" i="4"/>
  <c r="M196" i="1" s="1"/>
  <c r="I92" i="4"/>
  <c r="K196" i="1" s="1"/>
  <c r="G92" i="4"/>
  <c r="I196" i="1" s="1"/>
  <c r="E92" i="4"/>
  <c r="G196" i="1" s="1"/>
  <c r="U91" i="4"/>
  <c r="W91" i="4" s="1"/>
  <c r="X195" i="1" s="1"/>
  <c r="R91" i="4"/>
  <c r="T195" i="1" s="1"/>
  <c r="Q91" i="4"/>
  <c r="S195" i="1" s="1"/>
  <c r="O91" i="4"/>
  <c r="Q195" i="1" s="1"/>
  <c r="M91" i="4"/>
  <c r="O195" i="1" s="1"/>
  <c r="K91" i="4"/>
  <c r="M195" i="1" s="1"/>
  <c r="I91" i="4"/>
  <c r="K195" i="1" s="1"/>
  <c r="G91" i="4"/>
  <c r="I195" i="1" s="1"/>
  <c r="E91" i="4"/>
  <c r="G195" i="1" s="1"/>
  <c r="U90" i="4"/>
  <c r="V194" i="1" s="1"/>
  <c r="R90" i="4"/>
  <c r="Q90" i="4"/>
  <c r="S194" i="1" s="1"/>
  <c r="O90" i="4"/>
  <c r="Q194" i="1" s="1"/>
  <c r="M90" i="4"/>
  <c r="O194" i="1" s="1"/>
  <c r="K90" i="4"/>
  <c r="M194" i="1" s="1"/>
  <c r="I90" i="4"/>
  <c r="K194" i="1" s="1"/>
  <c r="G90" i="4"/>
  <c r="I194" i="1" s="1"/>
  <c r="E90" i="4"/>
  <c r="G194" i="1" s="1"/>
  <c r="V87" i="4"/>
  <c r="F115" i="1" s="1"/>
  <c r="S87" i="4"/>
  <c r="D115" i="1" s="1"/>
  <c r="U86" i="4"/>
  <c r="W86" i="4" s="1"/>
  <c r="X193" i="1" s="1"/>
  <c r="R86" i="4"/>
  <c r="T193" i="1" s="1"/>
  <c r="Q86" i="4"/>
  <c r="S193" i="1" s="1"/>
  <c r="O86" i="4"/>
  <c r="Q193" i="1" s="1"/>
  <c r="M86" i="4"/>
  <c r="O193" i="1" s="1"/>
  <c r="K86" i="4"/>
  <c r="M193" i="1" s="1"/>
  <c r="I86" i="4"/>
  <c r="K193" i="1" s="1"/>
  <c r="G86" i="4"/>
  <c r="I193" i="1" s="1"/>
  <c r="E86" i="4"/>
  <c r="G193" i="1" s="1"/>
  <c r="U85" i="4"/>
  <c r="W85" i="4" s="1"/>
  <c r="X192" i="1" s="1"/>
  <c r="R85" i="4"/>
  <c r="T192" i="1" s="1"/>
  <c r="Q85" i="4"/>
  <c r="S192" i="1" s="1"/>
  <c r="O85" i="4"/>
  <c r="Q192" i="1" s="1"/>
  <c r="M85" i="4"/>
  <c r="O192" i="1" s="1"/>
  <c r="K85" i="4"/>
  <c r="M192" i="1" s="1"/>
  <c r="I85" i="4"/>
  <c r="K192" i="1" s="1"/>
  <c r="G85" i="4"/>
  <c r="I192" i="1" s="1"/>
  <c r="E85" i="4"/>
  <c r="G192" i="1" s="1"/>
  <c r="U84" i="4"/>
  <c r="W84" i="4" s="1"/>
  <c r="X191" i="1" s="1"/>
  <c r="R84" i="4"/>
  <c r="T191" i="1" s="1"/>
  <c r="Q84" i="4"/>
  <c r="S191" i="1" s="1"/>
  <c r="O84" i="4"/>
  <c r="Q191" i="1" s="1"/>
  <c r="M84" i="4"/>
  <c r="O191" i="1" s="1"/>
  <c r="K84" i="4"/>
  <c r="M191" i="1" s="1"/>
  <c r="I84" i="4"/>
  <c r="K191" i="1" s="1"/>
  <c r="G84" i="4"/>
  <c r="I191" i="1" s="1"/>
  <c r="E84" i="4"/>
  <c r="G191" i="1" s="1"/>
  <c r="U83" i="4"/>
  <c r="W83" i="4" s="1"/>
  <c r="X190" i="1" s="1"/>
  <c r="R83" i="4"/>
  <c r="T190" i="1" s="1"/>
  <c r="Q83" i="4"/>
  <c r="S190" i="1" s="1"/>
  <c r="O83" i="4"/>
  <c r="Q190" i="1" s="1"/>
  <c r="M83" i="4"/>
  <c r="O190" i="1" s="1"/>
  <c r="K83" i="4"/>
  <c r="M190" i="1" s="1"/>
  <c r="I83" i="4"/>
  <c r="K190" i="1" s="1"/>
  <c r="G83" i="4"/>
  <c r="I190" i="1" s="1"/>
  <c r="E83" i="4"/>
  <c r="G190" i="1" s="1"/>
  <c r="U82" i="4"/>
  <c r="W82" i="4" s="1"/>
  <c r="X189" i="1" s="1"/>
  <c r="R82" i="4"/>
  <c r="T189" i="1" s="1"/>
  <c r="Q82" i="4"/>
  <c r="S189" i="1" s="1"/>
  <c r="O82" i="4"/>
  <c r="Q189" i="1" s="1"/>
  <c r="M82" i="4"/>
  <c r="O189" i="1" s="1"/>
  <c r="K82" i="4"/>
  <c r="M189" i="1" s="1"/>
  <c r="I82" i="4"/>
  <c r="K189" i="1" s="1"/>
  <c r="G82" i="4"/>
  <c r="I189" i="1" s="1"/>
  <c r="E82" i="4"/>
  <c r="G189" i="1" s="1"/>
  <c r="U81" i="4"/>
  <c r="V188" i="1" s="1"/>
  <c r="R81" i="4"/>
  <c r="Q81" i="4"/>
  <c r="S188" i="1" s="1"/>
  <c r="O81" i="4"/>
  <c r="Q188" i="1" s="1"/>
  <c r="M81" i="4"/>
  <c r="O188" i="1" s="1"/>
  <c r="K81" i="4"/>
  <c r="M188" i="1" s="1"/>
  <c r="I81" i="4"/>
  <c r="K188" i="1" s="1"/>
  <c r="G81" i="4"/>
  <c r="I188" i="1" s="1"/>
  <c r="E81" i="4"/>
  <c r="G188" i="1" s="1"/>
  <c r="I36" i="4"/>
  <c r="AL81" i="1" s="1"/>
  <c r="I33" i="4"/>
  <c r="AJ81" i="1" s="1"/>
  <c r="AA30" i="4"/>
  <c r="AA29" i="4"/>
  <c r="I29" i="4"/>
  <c r="AI81" i="1" s="1"/>
  <c r="I22" i="4"/>
  <c r="AC81" i="1" s="1"/>
  <c r="I18" i="4"/>
  <c r="AA81" i="1" s="1"/>
  <c r="Z81" i="1"/>
  <c r="I16" i="4"/>
  <c r="Y81" i="1" s="1"/>
  <c r="K8" i="4"/>
  <c r="T2" i="4"/>
  <c r="E81" i="1" s="1"/>
  <c r="V96" i="5"/>
  <c r="F118" i="1" s="1"/>
  <c r="S96" i="5"/>
  <c r="D118" i="1" s="1"/>
  <c r="U95" i="5"/>
  <c r="W95" i="5" s="1"/>
  <c r="X211" i="1" s="1"/>
  <c r="R95" i="5"/>
  <c r="T211" i="1" s="1"/>
  <c r="Q95" i="5"/>
  <c r="S211" i="1" s="1"/>
  <c r="O95" i="5"/>
  <c r="Q211" i="1" s="1"/>
  <c r="M95" i="5"/>
  <c r="O211" i="1" s="1"/>
  <c r="K95" i="5"/>
  <c r="M211" i="1" s="1"/>
  <c r="I95" i="5"/>
  <c r="K211" i="1" s="1"/>
  <c r="G95" i="5"/>
  <c r="I211" i="1" s="1"/>
  <c r="E95" i="5"/>
  <c r="G211" i="1" s="1"/>
  <c r="U94" i="5"/>
  <c r="W94" i="5" s="1"/>
  <c r="X210" i="1" s="1"/>
  <c r="R94" i="5"/>
  <c r="T210" i="1" s="1"/>
  <c r="Q94" i="5"/>
  <c r="S210" i="1" s="1"/>
  <c r="O94" i="5"/>
  <c r="Q210" i="1" s="1"/>
  <c r="M94" i="5"/>
  <c r="O210" i="1" s="1"/>
  <c r="K94" i="5"/>
  <c r="M210" i="1" s="1"/>
  <c r="I94" i="5"/>
  <c r="K210" i="1" s="1"/>
  <c r="G94" i="5"/>
  <c r="I210" i="1" s="1"/>
  <c r="E94" i="5"/>
  <c r="G210" i="1" s="1"/>
  <c r="U93" i="5"/>
  <c r="W93" i="5" s="1"/>
  <c r="X209" i="1" s="1"/>
  <c r="R93" i="5"/>
  <c r="T209" i="1" s="1"/>
  <c r="Q93" i="5"/>
  <c r="S209" i="1" s="1"/>
  <c r="O93" i="5"/>
  <c r="Q209" i="1" s="1"/>
  <c r="M93" i="5"/>
  <c r="O209" i="1" s="1"/>
  <c r="K93" i="5"/>
  <c r="M209" i="1" s="1"/>
  <c r="I93" i="5"/>
  <c r="K209" i="1" s="1"/>
  <c r="G93" i="5"/>
  <c r="I209" i="1" s="1"/>
  <c r="E93" i="5"/>
  <c r="G209" i="1" s="1"/>
  <c r="U92" i="5"/>
  <c r="W92" i="5" s="1"/>
  <c r="X208" i="1" s="1"/>
  <c r="R92" i="5"/>
  <c r="T208" i="1" s="1"/>
  <c r="Q92" i="5"/>
  <c r="S208" i="1" s="1"/>
  <c r="O92" i="5"/>
  <c r="Q208" i="1" s="1"/>
  <c r="M92" i="5"/>
  <c r="O208" i="1" s="1"/>
  <c r="K92" i="5"/>
  <c r="M208" i="1" s="1"/>
  <c r="I92" i="5"/>
  <c r="K208" i="1" s="1"/>
  <c r="G92" i="5"/>
  <c r="I208" i="1" s="1"/>
  <c r="E92" i="5"/>
  <c r="G208" i="1" s="1"/>
  <c r="U91" i="5"/>
  <c r="W91" i="5" s="1"/>
  <c r="X207" i="1" s="1"/>
  <c r="R91" i="5"/>
  <c r="T207" i="1" s="1"/>
  <c r="Q91" i="5"/>
  <c r="S207" i="1" s="1"/>
  <c r="O91" i="5"/>
  <c r="Q207" i="1" s="1"/>
  <c r="M91" i="5"/>
  <c r="O207" i="1" s="1"/>
  <c r="K91" i="5"/>
  <c r="M207" i="1" s="1"/>
  <c r="I91" i="5"/>
  <c r="K207" i="1" s="1"/>
  <c r="G91" i="5"/>
  <c r="I207" i="1" s="1"/>
  <c r="E91" i="5"/>
  <c r="G207" i="1" s="1"/>
  <c r="U90" i="5"/>
  <c r="R90" i="5"/>
  <c r="Q90" i="5"/>
  <c r="S206" i="1" s="1"/>
  <c r="O90" i="5"/>
  <c r="Q206" i="1" s="1"/>
  <c r="M90" i="5"/>
  <c r="O206" i="1" s="1"/>
  <c r="K90" i="5"/>
  <c r="M206" i="1" s="1"/>
  <c r="I90" i="5"/>
  <c r="K206" i="1" s="1"/>
  <c r="G90" i="5"/>
  <c r="I206" i="1" s="1"/>
  <c r="E90" i="5"/>
  <c r="G206" i="1" s="1"/>
  <c r="V87" i="5"/>
  <c r="F117" i="1" s="1"/>
  <c r="S87" i="5"/>
  <c r="D117" i="1" s="1"/>
  <c r="U86" i="5"/>
  <c r="W86" i="5" s="1"/>
  <c r="X205" i="1" s="1"/>
  <c r="R86" i="5"/>
  <c r="T205" i="1" s="1"/>
  <c r="Q86" i="5"/>
  <c r="S205" i="1" s="1"/>
  <c r="O86" i="5"/>
  <c r="Q205" i="1" s="1"/>
  <c r="M86" i="5"/>
  <c r="O205" i="1" s="1"/>
  <c r="K86" i="5"/>
  <c r="M205" i="1" s="1"/>
  <c r="I86" i="5"/>
  <c r="K205" i="1" s="1"/>
  <c r="G86" i="5"/>
  <c r="I205" i="1" s="1"/>
  <c r="E86" i="5"/>
  <c r="G205" i="1" s="1"/>
  <c r="U85" i="5"/>
  <c r="W85" i="5" s="1"/>
  <c r="X204" i="1" s="1"/>
  <c r="R85" i="5"/>
  <c r="T204" i="1" s="1"/>
  <c r="Q85" i="5"/>
  <c r="S204" i="1" s="1"/>
  <c r="O85" i="5"/>
  <c r="Q204" i="1" s="1"/>
  <c r="M85" i="5"/>
  <c r="O204" i="1" s="1"/>
  <c r="K85" i="5"/>
  <c r="M204" i="1" s="1"/>
  <c r="I85" i="5"/>
  <c r="K204" i="1" s="1"/>
  <c r="G85" i="5"/>
  <c r="I204" i="1" s="1"/>
  <c r="E85" i="5"/>
  <c r="G204" i="1" s="1"/>
  <c r="U84" i="5"/>
  <c r="W84" i="5" s="1"/>
  <c r="X203" i="1" s="1"/>
  <c r="R84" i="5"/>
  <c r="T203" i="1" s="1"/>
  <c r="Q84" i="5"/>
  <c r="S203" i="1" s="1"/>
  <c r="O84" i="5"/>
  <c r="Q203" i="1" s="1"/>
  <c r="M84" i="5"/>
  <c r="O203" i="1" s="1"/>
  <c r="K84" i="5"/>
  <c r="M203" i="1" s="1"/>
  <c r="I84" i="5"/>
  <c r="K203" i="1" s="1"/>
  <c r="G84" i="5"/>
  <c r="I203" i="1" s="1"/>
  <c r="E84" i="5"/>
  <c r="G203" i="1" s="1"/>
  <c r="U83" i="5"/>
  <c r="W83" i="5" s="1"/>
  <c r="X202" i="1" s="1"/>
  <c r="R83" i="5"/>
  <c r="T202" i="1" s="1"/>
  <c r="Q83" i="5"/>
  <c r="S202" i="1" s="1"/>
  <c r="O83" i="5"/>
  <c r="Q202" i="1" s="1"/>
  <c r="M83" i="5"/>
  <c r="O202" i="1" s="1"/>
  <c r="K83" i="5"/>
  <c r="M202" i="1" s="1"/>
  <c r="I83" i="5"/>
  <c r="K202" i="1" s="1"/>
  <c r="G83" i="5"/>
  <c r="I202" i="1" s="1"/>
  <c r="E83" i="5"/>
  <c r="G202" i="1" s="1"/>
  <c r="U82" i="5"/>
  <c r="W82" i="5" s="1"/>
  <c r="X201" i="1" s="1"/>
  <c r="R82" i="5"/>
  <c r="T201" i="1" s="1"/>
  <c r="Q82" i="5"/>
  <c r="S201" i="1" s="1"/>
  <c r="O82" i="5"/>
  <c r="Q201" i="1" s="1"/>
  <c r="M82" i="5"/>
  <c r="O201" i="1" s="1"/>
  <c r="K82" i="5"/>
  <c r="M201" i="1" s="1"/>
  <c r="I82" i="5"/>
  <c r="K201" i="1" s="1"/>
  <c r="G82" i="5"/>
  <c r="I201" i="1" s="1"/>
  <c r="E82" i="5"/>
  <c r="G201" i="1" s="1"/>
  <c r="U81" i="5"/>
  <c r="R81" i="5"/>
  <c r="Q81" i="5"/>
  <c r="S200" i="1" s="1"/>
  <c r="O81" i="5"/>
  <c r="Q200" i="1" s="1"/>
  <c r="M81" i="5"/>
  <c r="O200" i="1" s="1"/>
  <c r="K81" i="5"/>
  <c r="M200" i="1" s="1"/>
  <c r="I81" i="5"/>
  <c r="K200" i="1" s="1"/>
  <c r="G81" i="5"/>
  <c r="I200" i="1" s="1"/>
  <c r="E81" i="5"/>
  <c r="G200" i="1" s="1"/>
  <c r="I36" i="5"/>
  <c r="AL82" i="1" s="1"/>
  <c r="I33" i="5"/>
  <c r="AJ82" i="1" s="1"/>
  <c r="AA30" i="5"/>
  <c r="AA29" i="5"/>
  <c r="I29" i="5"/>
  <c r="AI82" i="1" s="1"/>
  <c r="I22" i="5"/>
  <c r="AC82" i="1" s="1"/>
  <c r="I18" i="5"/>
  <c r="AA82" i="1" s="1"/>
  <c r="Z82" i="1"/>
  <c r="I16" i="5"/>
  <c r="Y82" i="1" s="1"/>
  <c r="K8" i="5"/>
  <c r="T2" i="5"/>
  <c r="E82" i="1" s="1"/>
  <c r="V96" i="6"/>
  <c r="F120" i="1" s="1"/>
  <c r="S96" i="6"/>
  <c r="D120" i="1" s="1"/>
  <c r="U95" i="6"/>
  <c r="W95" i="6" s="1"/>
  <c r="X223" i="1" s="1"/>
  <c r="R95" i="6"/>
  <c r="T223" i="1" s="1"/>
  <c r="Q95" i="6"/>
  <c r="S223" i="1" s="1"/>
  <c r="O95" i="6"/>
  <c r="Q223" i="1" s="1"/>
  <c r="M95" i="6"/>
  <c r="O223" i="1" s="1"/>
  <c r="K95" i="6"/>
  <c r="M223" i="1" s="1"/>
  <c r="I95" i="6"/>
  <c r="K223" i="1" s="1"/>
  <c r="G95" i="6"/>
  <c r="I223" i="1" s="1"/>
  <c r="E95" i="6"/>
  <c r="G223" i="1" s="1"/>
  <c r="U94" i="6"/>
  <c r="W94" i="6" s="1"/>
  <c r="X222" i="1" s="1"/>
  <c r="R94" i="6"/>
  <c r="T222" i="1" s="1"/>
  <c r="Q94" i="6"/>
  <c r="S222" i="1" s="1"/>
  <c r="O94" i="6"/>
  <c r="Q222" i="1" s="1"/>
  <c r="M94" i="6"/>
  <c r="O222" i="1" s="1"/>
  <c r="K94" i="6"/>
  <c r="M222" i="1" s="1"/>
  <c r="I94" i="6"/>
  <c r="K222" i="1" s="1"/>
  <c r="G94" i="6"/>
  <c r="I222" i="1" s="1"/>
  <c r="E94" i="6"/>
  <c r="G222" i="1" s="1"/>
  <c r="U93" i="6"/>
  <c r="W93" i="6" s="1"/>
  <c r="X221" i="1" s="1"/>
  <c r="R93" i="6"/>
  <c r="T221" i="1" s="1"/>
  <c r="Q93" i="6"/>
  <c r="S221" i="1" s="1"/>
  <c r="O93" i="6"/>
  <c r="Q221" i="1" s="1"/>
  <c r="M93" i="6"/>
  <c r="O221" i="1" s="1"/>
  <c r="K93" i="6"/>
  <c r="M221" i="1" s="1"/>
  <c r="I93" i="6"/>
  <c r="K221" i="1" s="1"/>
  <c r="G93" i="6"/>
  <c r="I221" i="1" s="1"/>
  <c r="E93" i="6"/>
  <c r="G221" i="1" s="1"/>
  <c r="U92" i="6"/>
  <c r="W92" i="6" s="1"/>
  <c r="X220" i="1" s="1"/>
  <c r="R92" i="6"/>
  <c r="T220" i="1" s="1"/>
  <c r="Q92" i="6"/>
  <c r="S220" i="1" s="1"/>
  <c r="O92" i="6"/>
  <c r="Q220" i="1" s="1"/>
  <c r="M92" i="6"/>
  <c r="O220" i="1" s="1"/>
  <c r="K92" i="6"/>
  <c r="M220" i="1" s="1"/>
  <c r="I92" i="6"/>
  <c r="K220" i="1" s="1"/>
  <c r="G92" i="6"/>
  <c r="I220" i="1" s="1"/>
  <c r="E92" i="6"/>
  <c r="G220" i="1" s="1"/>
  <c r="U91" i="6"/>
  <c r="W91" i="6" s="1"/>
  <c r="X219" i="1" s="1"/>
  <c r="R91" i="6"/>
  <c r="T219" i="1" s="1"/>
  <c r="Q91" i="6"/>
  <c r="S219" i="1" s="1"/>
  <c r="O91" i="6"/>
  <c r="Q219" i="1" s="1"/>
  <c r="M91" i="6"/>
  <c r="O219" i="1" s="1"/>
  <c r="K91" i="6"/>
  <c r="M219" i="1" s="1"/>
  <c r="I91" i="6"/>
  <c r="K219" i="1" s="1"/>
  <c r="G91" i="6"/>
  <c r="I219" i="1" s="1"/>
  <c r="E91" i="6"/>
  <c r="G219" i="1" s="1"/>
  <c r="U90" i="6"/>
  <c r="R90" i="6"/>
  <c r="Q90" i="6"/>
  <c r="S218" i="1" s="1"/>
  <c r="O90" i="6"/>
  <c r="Q218" i="1" s="1"/>
  <c r="M90" i="6"/>
  <c r="O218" i="1" s="1"/>
  <c r="K90" i="6"/>
  <c r="M218" i="1" s="1"/>
  <c r="I90" i="6"/>
  <c r="K218" i="1" s="1"/>
  <c r="G90" i="6"/>
  <c r="I218" i="1" s="1"/>
  <c r="E90" i="6"/>
  <c r="G218" i="1" s="1"/>
  <c r="V87" i="6"/>
  <c r="F119" i="1" s="1"/>
  <c r="S87" i="6"/>
  <c r="D119" i="1" s="1"/>
  <c r="U86" i="6"/>
  <c r="W86" i="6" s="1"/>
  <c r="X217" i="1" s="1"/>
  <c r="R86" i="6"/>
  <c r="T217" i="1" s="1"/>
  <c r="Q86" i="6"/>
  <c r="S217" i="1" s="1"/>
  <c r="O86" i="6"/>
  <c r="Q217" i="1" s="1"/>
  <c r="M86" i="6"/>
  <c r="O217" i="1" s="1"/>
  <c r="K86" i="6"/>
  <c r="M217" i="1" s="1"/>
  <c r="I86" i="6"/>
  <c r="K217" i="1" s="1"/>
  <c r="G86" i="6"/>
  <c r="I217" i="1" s="1"/>
  <c r="E86" i="6"/>
  <c r="G217" i="1" s="1"/>
  <c r="U85" i="6"/>
  <c r="W85" i="6" s="1"/>
  <c r="X216" i="1" s="1"/>
  <c r="R85" i="6"/>
  <c r="T216" i="1" s="1"/>
  <c r="Q85" i="6"/>
  <c r="S216" i="1" s="1"/>
  <c r="O85" i="6"/>
  <c r="Q216" i="1" s="1"/>
  <c r="M85" i="6"/>
  <c r="O216" i="1" s="1"/>
  <c r="K85" i="6"/>
  <c r="M216" i="1" s="1"/>
  <c r="I85" i="6"/>
  <c r="K216" i="1" s="1"/>
  <c r="G85" i="6"/>
  <c r="I216" i="1" s="1"/>
  <c r="E85" i="6"/>
  <c r="G216" i="1" s="1"/>
  <c r="U84" i="6"/>
  <c r="W84" i="6" s="1"/>
  <c r="X215" i="1" s="1"/>
  <c r="R84" i="6"/>
  <c r="T215" i="1" s="1"/>
  <c r="Q84" i="6"/>
  <c r="S215" i="1" s="1"/>
  <c r="O84" i="6"/>
  <c r="Q215" i="1" s="1"/>
  <c r="M84" i="6"/>
  <c r="O215" i="1" s="1"/>
  <c r="K84" i="6"/>
  <c r="M215" i="1" s="1"/>
  <c r="I84" i="6"/>
  <c r="K215" i="1" s="1"/>
  <c r="G84" i="6"/>
  <c r="I215" i="1" s="1"/>
  <c r="E84" i="6"/>
  <c r="G215" i="1" s="1"/>
  <c r="U83" i="6"/>
  <c r="W83" i="6" s="1"/>
  <c r="X214" i="1" s="1"/>
  <c r="R83" i="6"/>
  <c r="T214" i="1" s="1"/>
  <c r="Q83" i="6"/>
  <c r="S214" i="1" s="1"/>
  <c r="O83" i="6"/>
  <c r="Q214" i="1" s="1"/>
  <c r="M83" i="6"/>
  <c r="O214" i="1" s="1"/>
  <c r="K83" i="6"/>
  <c r="M214" i="1" s="1"/>
  <c r="I83" i="6"/>
  <c r="K214" i="1" s="1"/>
  <c r="G83" i="6"/>
  <c r="I214" i="1" s="1"/>
  <c r="E83" i="6"/>
  <c r="G214" i="1" s="1"/>
  <c r="U82" i="6"/>
  <c r="W82" i="6" s="1"/>
  <c r="X213" i="1" s="1"/>
  <c r="R82" i="6"/>
  <c r="T213" i="1" s="1"/>
  <c r="Q82" i="6"/>
  <c r="S213" i="1" s="1"/>
  <c r="O82" i="6"/>
  <c r="Q213" i="1" s="1"/>
  <c r="M82" i="6"/>
  <c r="O213" i="1" s="1"/>
  <c r="K82" i="6"/>
  <c r="M213" i="1" s="1"/>
  <c r="I82" i="6"/>
  <c r="K213" i="1" s="1"/>
  <c r="G82" i="6"/>
  <c r="I213" i="1" s="1"/>
  <c r="E82" i="6"/>
  <c r="G213" i="1" s="1"/>
  <c r="U81" i="6"/>
  <c r="R81" i="6"/>
  <c r="Q81" i="6"/>
  <c r="S212" i="1" s="1"/>
  <c r="O81" i="6"/>
  <c r="Q212" i="1" s="1"/>
  <c r="M81" i="6"/>
  <c r="O212" i="1" s="1"/>
  <c r="K81" i="6"/>
  <c r="M212" i="1" s="1"/>
  <c r="I81" i="6"/>
  <c r="K212" i="1" s="1"/>
  <c r="G81" i="6"/>
  <c r="I212" i="1" s="1"/>
  <c r="E81" i="6"/>
  <c r="G212" i="1" s="1"/>
  <c r="I36" i="6"/>
  <c r="AL83" i="1" s="1"/>
  <c r="I33" i="6"/>
  <c r="AJ83" i="1" s="1"/>
  <c r="AA30" i="6"/>
  <c r="AA29" i="6"/>
  <c r="I29" i="6"/>
  <c r="AI83" i="1" s="1"/>
  <c r="I22" i="6"/>
  <c r="AC83" i="1" s="1"/>
  <c r="I18" i="6"/>
  <c r="AA83" i="1" s="1"/>
  <c r="Z83" i="1"/>
  <c r="I16" i="6"/>
  <c r="Y83" i="1" s="1"/>
  <c r="K8" i="6"/>
  <c r="T2" i="6"/>
  <c r="E83" i="1" s="1"/>
  <c r="V96" i="7"/>
  <c r="F122" i="1" s="1"/>
  <c r="S96" i="7"/>
  <c r="D122" i="1" s="1"/>
  <c r="U95" i="7"/>
  <c r="R95" i="7"/>
  <c r="T235" i="1" s="1"/>
  <c r="Q95" i="7"/>
  <c r="S235" i="1" s="1"/>
  <c r="O95" i="7"/>
  <c r="Q235" i="1" s="1"/>
  <c r="M95" i="7"/>
  <c r="O235" i="1" s="1"/>
  <c r="K95" i="7"/>
  <c r="M235" i="1" s="1"/>
  <c r="I95" i="7"/>
  <c r="K235" i="1" s="1"/>
  <c r="G95" i="7"/>
  <c r="I235" i="1" s="1"/>
  <c r="E95" i="7"/>
  <c r="G235" i="1" s="1"/>
  <c r="U94" i="7"/>
  <c r="W94" i="7" s="1"/>
  <c r="X234" i="1" s="1"/>
  <c r="R94" i="7"/>
  <c r="T234" i="1" s="1"/>
  <c r="Q94" i="7"/>
  <c r="S234" i="1" s="1"/>
  <c r="O94" i="7"/>
  <c r="Q234" i="1" s="1"/>
  <c r="M94" i="7"/>
  <c r="O234" i="1" s="1"/>
  <c r="K94" i="7"/>
  <c r="M234" i="1" s="1"/>
  <c r="I94" i="7"/>
  <c r="K234" i="1" s="1"/>
  <c r="G94" i="7"/>
  <c r="I234" i="1" s="1"/>
  <c r="E94" i="7"/>
  <c r="G234" i="1" s="1"/>
  <c r="U93" i="7"/>
  <c r="W93" i="7" s="1"/>
  <c r="X233" i="1" s="1"/>
  <c r="R93" i="7"/>
  <c r="T233" i="1" s="1"/>
  <c r="Q93" i="7"/>
  <c r="S233" i="1" s="1"/>
  <c r="O93" i="7"/>
  <c r="Q233" i="1" s="1"/>
  <c r="M93" i="7"/>
  <c r="O233" i="1" s="1"/>
  <c r="K93" i="7"/>
  <c r="M233" i="1" s="1"/>
  <c r="I93" i="7"/>
  <c r="K233" i="1" s="1"/>
  <c r="G93" i="7"/>
  <c r="I233" i="1" s="1"/>
  <c r="E93" i="7"/>
  <c r="G233" i="1" s="1"/>
  <c r="U92" i="7"/>
  <c r="W92" i="7" s="1"/>
  <c r="X232" i="1" s="1"/>
  <c r="R92" i="7"/>
  <c r="T232" i="1" s="1"/>
  <c r="Q92" i="7"/>
  <c r="S232" i="1" s="1"/>
  <c r="O92" i="7"/>
  <c r="Q232" i="1" s="1"/>
  <c r="M92" i="7"/>
  <c r="O232" i="1" s="1"/>
  <c r="K92" i="7"/>
  <c r="M232" i="1" s="1"/>
  <c r="I92" i="7"/>
  <c r="K232" i="1" s="1"/>
  <c r="G92" i="7"/>
  <c r="I232" i="1" s="1"/>
  <c r="E92" i="7"/>
  <c r="G232" i="1" s="1"/>
  <c r="U91" i="7"/>
  <c r="W91" i="7" s="1"/>
  <c r="X231" i="1" s="1"/>
  <c r="R91" i="7"/>
  <c r="T231" i="1" s="1"/>
  <c r="Q91" i="7"/>
  <c r="S231" i="1" s="1"/>
  <c r="O91" i="7"/>
  <c r="Q231" i="1" s="1"/>
  <c r="M91" i="7"/>
  <c r="O231" i="1" s="1"/>
  <c r="K91" i="7"/>
  <c r="M231" i="1" s="1"/>
  <c r="I91" i="7"/>
  <c r="K231" i="1" s="1"/>
  <c r="G91" i="7"/>
  <c r="I231" i="1" s="1"/>
  <c r="E91" i="7"/>
  <c r="G231" i="1" s="1"/>
  <c r="U90" i="7"/>
  <c r="R90" i="7"/>
  <c r="Q90" i="7"/>
  <c r="S230" i="1" s="1"/>
  <c r="O90" i="7"/>
  <c r="Q230" i="1" s="1"/>
  <c r="M90" i="7"/>
  <c r="O230" i="1" s="1"/>
  <c r="K90" i="7"/>
  <c r="M230" i="1" s="1"/>
  <c r="I90" i="7"/>
  <c r="K230" i="1" s="1"/>
  <c r="G90" i="7"/>
  <c r="I230" i="1" s="1"/>
  <c r="E90" i="7"/>
  <c r="G230" i="1" s="1"/>
  <c r="V87" i="7"/>
  <c r="F121" i="1" s="1"/>
  <c r="S87" i="7"/>
  <c r="D121" i="1" s="1"/>
  <c r="U86" i="7"/>
  <c r="W86" i="7" s="1"/>
  <c r="X229" i="1" s="1"/>
  <c r="R86" i="7"/>
  <c r="T229" i="1" s="1"/>
  <c r="Q86" i="7"/>
  <c r="S229" i="1" s="1"/>
  <c r="O86" i="7"/>
  <c r="Q229" i="1" s="1"/>
  <c r="M86" i="7"/>
  <c r="O229" i="1" s="1"/>
  <c r="K86" i="7"/>
  <c r="M229" i="1" s="1"/>
  <c r="I86" i="7"/>
  <c r="K229" i="1" s="1"/>
  <c r="G86" i="7"/>
  <c r="I229" i="1" s="1"/>
  <c r="E86" i="7"/>
  <c r="G229" i="1" s="1"/>
  <c r="U85" i="7"/>
  <c r="W85" i="7" s="1"/>
  <c r="X228" i="1" s="1"/>
  <c r="R85" i="7"/>
  <c r="T228" i="1" s="1"/>
  <c r="Q85" i="7"/>
  <c r="S228" i="1" s="1"/>
  <c r="O85" i="7"/>
  <c r="Q228" i="1" s="1"/>
  <c r="M85" i="7"/>
  <c r="O228" i="1" s="1"/>
  <c r="K85" i="7"/>
  <c r="M228" i="1" s="1"/>
  <c r="I85" i="7"/>
  <c r="K228" i="1" s="1"/>
  <c r="G85" i="7"/>
  <c r="I228" i="1" s="1"/>
  <c r="E85" i="7"/>
  <c r="G228" i="1" s="1"/>
  <c r="U84" i="7"/>
  <c r="W84" i="7" s="1"/>
  <c r="X227" i="1" s="1"/>
  <c r="R84" i="7"/>
  <c r="T227" i="1" s="1"/>
  <c r="Q84" i="7"/>
  <c r="S227" i="1" s="1"/>
  <c r="O84" i="7"/>
  <c r="Q227" i="1" s="1"/>
  <c r="M84" i="7"/>
  <c r="O227" i="1" s="1"/>
  <c r="K84" i="7"/>
  <c r="M227" i="1" s="1"/>
  <c r="I84" i="7"/>
  <c r="K227" i="1" s="1"/>
  <c r="G84" i="7"/>
  <c r="I227" i="1" s="1"/>
  <c r="E84" i="7"/>
  <c r="G227" i="1" s="1"/>
  <c r="U83" i="7"/>
  <c r="W83" i="7" s="1"/>
  <c r="X226" i="1" s="1"/>
  <c r="R83" i="7"/>
  <c r="T226" i="1" s="1"/>
  <c r="Q83" i="7"/>
  <c r="S226" i="1" s="1"/>
  <c r="O83" i="7"/>
  <c r="Q226" i="1" s="1"/>
  <c r="M83" i="7"/>
  <c r="O226" i="1" s="1"/>
  <c r="K83" i="7"/>
  <c r="M226" i="1" s="1"/>
  <c r="I83" i="7"/>
  <c r="K226" i="1" s="1"/>
  <c r="G83" i="7"/>
  <c r="I226" i="1" s="1"/>
  <c r="E83" i="7"/>
  <c r="G226" i="1" s="1"/>
  <c r="U82" i="7"/>
  <c r="W82" i="7" s="1"/>
  <c r="X225" i="1" s="1"/>
  <c r="R82" i="7"/>
  <c r="T225" i="1" s="1"/>
  <c r="Q82" i="7"/>
  <c r="S225" i="1" s="1"/>
  <c r="O82" i="7"/>
  <c r="Q225" i="1" s="1"/>
  <c r="M82" i="7"/>
  <c r="O225" i="1" s="1"/>
  <c r="K82" i="7"/>
  <c r="M225" i="1" s="1"/>
  <c r="I82" i="7"/>
  <c r="K225" i="1" s="1"/>
  <c r="G82" i="7"/>
  <c r="I225" i="1" s="1"/>
  <c r="E82" i="7"/>
  <c r="G225" i="1" s="1"/>
  <c r="U81" i="7"/>
  <c r="V224" i="1" s="1"/>
  <c r="R81" i="7"/>
  <c r="Q81" i="7"/>
  <c r="S224" i="1" s="1"/>
  <c r="O81" i="7"/>
  <c r="Q224" i="1" s="1"/>
  <c r="M81" i="7"/>
  <c r="O224" i="1" s="1"/>
  <c r="K81" i="7"/>
  <c r="M224" i="1" s="1"/>
  <c r="I81" i="7"/>
  <c r="K224" i="1" s="1"/>
  <c r="G81" i="7"/>
  <c r="I224" i="1" s="1"/>
  <c r="E81" i="7"/>
  <c r="G224" i="1" s="1"/>
  <c r="I36" i="7"/>
  <c r="AL84" i="1" s="1"/>
  <c r="I33" i="7"/>
  <c r="AJ84" i="1" s="1"/>
  <c r="AA30" i="7"/>
  <c r="AA29" i="7"/>
  <c r="I29" i="7"/>
  <c r="AI84" i="1" s="1"/>
  <c r="I22" i="7"/>
  <c r="AC84" i="1" s="1"/>
  <c r="I18" i="7"/>
  <c r="AA84" i="1" s="1"/>
  <c r="Z84" i="1"/>
  <c r="I16" i="7"/>
  <c r="Y84" i="1" s="1"/>
  <c r="K8" i="7"/>
  <c r="T2" i="7"/>
  <c r="E84" i="1" s="1"/>
  <c r="V96" i="8"/>
  <c r="F124" i="1" s="1"/>
  <c r="S96" i="8"/>
  <c r="D124" i="1" s="1"/>
  <c r="U95" i="8"/>
  <c r="R95" i="8"/>
  <c r="T247" i="1" s="1"/>
  <c r="Q95" i="8"/>
  <c r="S247" i="1" s="1"/>
  <c r="O95" i="8"/>
  <c r="Q247" i="1" s="1"/>
  <c r="M95" i="8"/>
  <c r="O247" i="1" s="1"/>
  <c r="K95" i="8"/>
  <c r="M247" i="1" s="1"/>
  <c r="I95" i="8"/>
  <c r="K247" i="1" s="1"/>
  <c r="G95" i="8"/>
  <c r="I247" i="1" s="1"/>
  <c r="E95" i="8"/>
  <c r="G247" i="1" s="1"/>
  <c r="U94" i="8"/>
  <c r="R94" i="8"/>
  <c r="T246" i="1" s="1"/>
  <c r="Q94" i="8"/>
  <c r="S246" i="1" s="1"/>
  <c r="O94" i="8"/>
  <c r="Q246" i="1" s="1"/>
  <c r="M94" i="8"/>
  <c r="O246" i="1" s="1"/>
  <c r="K94" i="8"/>
  <c r="M246" i="1" s="1"/>
  <c r="I94" i="8"/>
  <c r="K246" i="1" s="1"/>
  <c r="G94" i="8"/>
  <c r="I246" i="1" s="1"/>
  <c r="E94" i="8"/>
  <c r="G246" i="1" s="1"/>
  <c r="U93" i="8"/>
  <c r="R93" i="8"/>
  <c r="T245" i="1" s="1"/>
  <c r="Q93" i="8"/>
  <c r="S245" i="1" s="1"/>
  <c r="O93" i="8"/>
  <c r="Q245" i="1" s="1"/>
  <c r="M93" i="8"/>
  <c r="O245" i="1" s="1"/>
  <c r="K93" i="8"/>
  <c r="M245" i="1" s="1"/>
  <c r="I93" i="8"/>
  <c r="K245" i="1" s="1"/>
  <c r="G93" i="8"/>
  <c r="I245" i="1" s="1"/>
  <c r="E93" i="8"/>
  <c r="G245" i="1" s="1"/>
  <c r="U92" i="8"/>
  <c r="R92" i="8"/>
  <c r="T244" i="1" s="1"/>
  <c r="Q92" i="8"/>
  <c r="S244" i="1" s="1"/>
  <c r="O92" i="8"/>
  <c r="Q244" i="1" s="1"/>
  <c r="M92" i="8"/>
  <c r="O244" i="1" s="1"/>
  <c r="K92" i="8"/>
  <c r="M244" i="1" s="1"/>
  <c r="I92" i="8"/>
  <c r="K244" i="1" s="1"/>
  <c r="G92" i="8"/>
  <c r="I244" i="1" s="1"/>
  <c r="E92" i="8"/>
  <c r="G244" i="1" s="1"/>
  <c r="U91" i="8"/>
  <c r="R91" i="8"/>
  <c r="T243" i="1" s="1"/>
  <c r="Q91" i="8"/>
  <c r="S243" i="1" s="1"/>
  <c r="O91" i="8"/>
  <c r="Q243" i="1" s="1"/>
  <c r="M91" i="8"/>
  <c r="O243" i="1" s="1"/>
  <c r="K91" i="8"/>
  <c r="M243" i="1" s="1"/>
  <c r="I91" i="8"/>
  <c r="K243" i="1" s="1"/>
  <c r="G91" i="8"/>
  <c r="I243" i="1" s="1"/>
  <c r="E91" i="8"/>
  <c r="G243" i="1" s="1"/>
  <c r="U90" i="8"/>
  <c r="R90" i="8"/>
  <c r="Q90" i="8"/>
  <c r="S242" i="1" s="1"/>
  <c r="O90" i="8"/>
  <c r="Q242" i="1" s="1"/>
  <c r="M90" i="8"/>
  <c r="O242" i="1" s="1"/>
  <c r="K90" i="8"/>
  <c r="M242" i="1" s="1"/>
  <c r="I90" i="8"/>
  <c r="K242" i="1" s="1"/>
  <c r="G90" i="8"/>
  <c r="I242" i="1" s="1"/>
  <c r="E90" i="8"/>
  <c r="G242" i="1" s="1"/>
  <c r="V87" i="8"/>
  <c r="F123" i="1" s="1"/>
  <c r="S87" i="8"/>
  <c r="D123" i="1" s="1"/>
  <c r="U86" i="8"/>
  <c r="R86" i="8"/>
  <c r="T241" i="1" s="1"/>
  <c r="Q86" i="8"/>
  <c r="S241" i="1" s="1"/>
  <c r="O86" i="8"/>
  <c r="Q241" i="1" s="1"/>
  <c r="M86" i="8"/>
  <c r="O241" i="1" s="1"/>
  <c r="K86" i="8"/>
  <c r="M241" i="1" s="1"/>
  <c r="I86" i="8"/>
  <c r="K241" i="1" s="1"/>
  <c r="G86" i="8"/>
  <c r="I241" i="1" s="1"/>
  <c r="E86" i="8"/>
  <c r="G241" i="1" s="1"/>
  <c r="U85" i="8"/>
  <c r="R85" i="8"/>
  <c r="T240" i="1" s="1"/>
  <c r="Q85" i="8"/>
  <c r="S240" i="1" s="1"/>
  <c r="O85" i="8"/>
  <c r="Q240" i="1" s="1"/>
  <c r="M85" i="8"/>
  <c r="O240" i="1" s="1"/>
  <c r="K85" i="8"/>
  <c r="M240" i="1" s="1"/>
  <c r="I85" i="8"/>
  <c r="K240" i="1" s="1"/>
  <c r="G85" i="8"/>
  <c r="I240" i="1" s="1"/>
  <c r="E85" i="8"/>
  <c r="G240" i="1" s="1"/>
  <c r="U84" i="8"/>
  <c r="R84" i="8"/>
  <c r="T239" i="1" s="1"/>
  <c r="Q84" i="8"/>
  <c r="S239" i="1" s="1"/>
  <c r="O84" i="8"/>
  <c r="Q239" i="1" s="1"/>
  <c r="M84" i="8"/>
  <c r="O239" i="1" s="1"/>
  <c r="K84" i="8"/>
  <c r="M239" i="1" s="1"/>
  <c r="I84" i="8"/>
  <c r="K239" i="1" s="1"/>
  <c r="G84" i="8"/>
  <c r="I239" i="1" s="1"/>
  <c r="E84" i="8"/>
  <c r="G239" i="1" s="1"/>
  <c r="U83" i="8"/>
  <c r="R83" i="8"/>
  <c r="T238" i="1" s="1"/>
  <c r="Q83" i="8"/>
  <c r="S238" i="1" s="1"/>
  <c r="O83" i="8"/>
  <c r="Q238" i="1" s="1"/>
  <c r="M83" i="8"/>
  <c r="O238" i="1" s="1"/>
  <c r="K83" i="8"/>
  <c r="M238" i="1" s="1"/>
  <c r="I83" i="8"/>
  <c r="K238" i="1" s="1"/>
  <c r="G83" i="8"/>
  <c r="I238" i="1" s="1"/>
  <c r="E83" i="8"/>
  <c r="G238" i="1" s="1"/>
  <c r="U82" i="8"/>
  <c r="R82" i="8"/>
  <c r="T237" i="1" s="1"/>
  <c r="Q82" i="8"/>
  <c r="S237" i="1" s="1"/>
  <c r="O82" i="8"/>
  <c r="Q237" i="1" s="1"/>
  <c r="M82" i="8"/>
  <c r="O237" i="1" s="1"/>
  <c r="K82" i="8"/>
  <c r="M237" i="1" s="1"/>
  <c r="I82" i="8"/>
  <c r="K237" i="1" s="1"/>
  <c r="G82" i="8"/>
  <c r="I237" i="1" s="1"/>
  <c r="E82" i="8"/>
  <c r="G237" i="1" s="1"/>
  <c r="U81" i="8"/>
  <c r="R81" i="8"/>
  <c r="Q81" i="8"/>
  <c r="S236" i="1" s="1"/>
  <c r="O81" i="8"/>
  <c r="Q236" i="1" s="1"/>
  <c r="M81" i="8"/>
  <c r="O236" i="1" s="1"/>
  <c r="K81" i="8"/>
  <c r="M236" i="1" s="1"/>
  <c r="I81" i="8"/>
  <c r="K236" i="1" s="1"/>
  <c r="G81" i="8"/>
  <c r="I236" i="1" s="1"/>
  <c r="E81" i="8"/>
  <c r="G236" i="1" s="1"/>
  <c r="I36" i="8"/>
  <c r="AL85" i="1" s="1"/>
  <c r="I33" i="8"/>
  <c r="AJ85" i="1" s="1"/>
  <c r="AA30" i="8"/>
  <c r="AA29" i="8"/>
  <c r="I29" i="8"/>
  <c r="AI85" i="1" s="1"/>
  <c r="I22" i="8"/>
  <c r="AC85" i="1" s="1"/>
  <c r="I18" i="8"/>
  <c r="AA85" i="1" s="1"/>
  <c r="Z85" i="1"/>
  <c r="I16" i="8"/>
  <c r="Y85" i="1" s="1"/>
  <c r="K8" i="8"/>
  <c r="T2" i="8"/>
  <c r="E85" i="1" s="1"/>
  <c r="V96" i="9"/>
  <c r="F126" i="1" s="1"/>
  <c r="S96" i="9"/>
  <c r="D126" i="1" s="1"/>
  <c r="U95" i="9"/>
  <c r="R95" i="9"/>
  <c r="T259" i="1" s="1"/>
  <c r="Q95" i="9"/>
  <c r="S259" i="1" s="1"/>
  <c r="O95" i="9"/>
  <c r="Q259" i="1" s="1"/>
  <c r="M95" i="9"/>
  <c r="O259" i="1" s="1"/>
  <c r="K95" i="9"/>
  <c r="M259" i="1" s="1"/>
  <c r="I95" i="9"/>
  <c r="K259" i="1" s="1"/>
  <c r="G95" i="9"/>
  <c r="I259" i="1" s="1"/>
  <c r="E95" i="9"/>
  <c r="G259" i="1" s="1"/>
  <c r="U94" i="9"/>
  <c r="R94" i="9"/>
  <c r="T258" i="1" s="1"/>
  <c r="Q94" i="9"/>
  <c r="S258" i="1" s="1"/>
  <c r="O94" i="9"/>
  <c r="Q258" i="1" s="1"/>
  <c r="M94" i="9"/>
  <c r="O258" i="1" s="1"/>
  <c r="K94" i="9"/>
  <c r="M258" i="1" s="1"/>
  <c r="I94" i="9"/>
  <c r="K258" i="1" s="1"/>
  <c r="G94" i="9"/>
  <c r="I258" i="1" s="1"/>
  <c r="E94" i="9"/>
  <c r="G258" i="1" s="1"/>
  <c r="U93" i="9"/>
  <c r="R93" i="9"/>
  <c r="T257" i="1" s="1"/>
  <c r="Q93" i="9"/>
  <c r="S257" i="1" s="1"/>
  <c r="O93" i="9"/>
  <c r="Q257" i="1" s="1"/>
  <c r="M93" i="9"/>
  <c r="O257" i="1" s="1"/>
  <c r="K93" i="9"/>
  <c r="M257" i="1" s="1"/>
  <c r="I93" i="9"/>
  <c r="K257" i="1" s="1"/>
  <c r="G93" i="9"/>
  <c r="I257" i="1" s="1"/>
  <c r="E93" i="9"/>
  <c r="G257" i="1" s="1"/>
  <c r="U92" i="9"/>
  <c r="R92" i="9"/>
  <c r="T256" i="1" s="1"/>
  <c r="Q92" i="9"/>
  <c r="S256" i="1" s="1"/>
  <c r="O92" i="9"/>
  <c r="Q256" i="1" s="1"/>
  <c r="M92" i="9"/>
  <c r="O256" i="1" s="1"/>
  <c r="K92" i="9"/>
  <c r="M256" i="1" s="1"/>
  <c r="I92" i="9"/>
  <c r="K256" i="1" s="1"/>
  <c r="G92" i="9"/>
  <c r="I256" i="1" s="1"/>
  <c r="E92" i="9"/>
  <c r="G256" i="1" s="1"/>
  <c r="U91" i="9"/>
  <c r="R91" i="9"/>
  <c r="T255" i="1" s="1"/>
  <c r="Q91" i="9"/>
  <c r="S255" i="1" s="1"/>
  <c r="O91" i="9"/>
  <c r="Q255" i="1" s="1"/>
  <c r="M91" i="9"/>
  <c r="O255" i="1" s="1"/>
  <c r="K91" i="9"/>
  <c r="M255" i="1" s="1"/>
  <c r="I91" i="9"/>
  <c r="K255" i="1" s="1"/>
  <c r="G91" i="9"/>
  <c r="I255" i="1" s="1"/>
  <c r="E91" i="9"/>
  <c r="G255" i="1" s="1"/>
  <c r="U90" i="9"/>
  <c r="R90" i="9"/>
  <c r="Q90" i="9"/>
  <c r="S254" i="1" s="1"/>
  <c r="O90" i="9"/>
  <c r="Q254" i="1" s="1"/>
  <c r="M90" i="9"/>
  <c r="O254" i="1" s="1"/>
  <c r="K90" i="9"/>
  <c r="M254" i="1" s="1"/>
  <c r="I90" i="9"/>
  <c r="K254" i="1" s="1"/>
  <c r="G90" i="9"/>
  <c r="I254" i="1" s="1"/>
  <c r="E90" i="9"/>
  <c r="G254" i="1" s="1"/>
  <c r="V87" i="9"/>
  <c r="F125" i="1" s="1"/>
  <c r="S87" i="9"/>
  <c r="D125" i="1" s="1"/>
  <c r="U86" i="9"/>
  <c r="R86" i="9"/>
  <c r="T253" i="1" s="1"/>
  <c r="Q86" i="9"/>
  <c r="S253" i="1" s="1"/>
  <c r="O86" i="9"/>
  <c r="Q253" i="1" s="1"/>
  <c r="M86" i="9"/>
  <c r="O253" i="1" s="1"/>
  <c r="K86" i="9"/>
  <c r="M253" i="1" s="1"/>
  <c r="I86" i="9"/>
  <c r="K253" i="1" s="1"/>
  <c r="G86" i="9"/>
  <c r="I253" i="1" s="1"/>
  <c r="E86" i="9"/>
  <c r="G253" i="1" s="1"/>
  <c r="U85" i="9"/>
  <c r="R85" i="9"/>
  <c r="T252" i="1" s="1"/>
  <c r="Q85" i="9"/>
  <c r="S252" i="1" s="1"/>
  <c r="O85" i="9"/>
  <c r="Q252" i="1" s="1"/>
  <c r="M85" i="9"/>
  <c r="O252" i="1" s="1"/>
  <c r="K85" i="9"/>
  <c r="M252" i="1" s="1"/>
  <c r="I85" i="9"/>
  <c r="K252" i="1" s="1"/>
  <c r="G85" i="9"/>
  <c r="I252" i="1" s="1"/>
  <c r="E85" i="9"/>
  <c r="G252" i="1" s="1"/>
  <c r="U84" i="9"/>
  <c r="R84" i="9"/>
  <c r="T251" i="1" s="1"/>
  <c r="Q84" i="9"/>
  <c r="S251" i="1" s="1"/>
  <c r="O84" i="9"/>
  <c r="Q251" i="1" s="1"/>
  <c r="M84" i="9"/>
  <c r="O251" i="1" s="1"/>
  <c r="K84" i="9"/>
  <c r="M251" i="1" s="1"/>
  <c r="I84" i="9"/>
  <c r="K251" i="1" s="1"/>
  <c r="G84" i="9"/>
  <c r="I251" i="1" s="1"/>
  <c r="E84" i="9"/>
  <c r="G251" i="1" s="1"/>
  <c r="U83" i="9"/>
  <c r="R83" i="9"/>
  <c r="T250" i="1" s="1"/>
  <c r="Q83" i="9"/>
  <c r="S250" i="1" s="1"/>
  <c r="O83" i="9"/>
  <c r="Q250" i="1" s="1"/>
  <c r="M83" i="9"/>
  <c r="O250" i="1" s="1"/>
  <c r="K83" i="9"/>
  <c r="M250" i="1" s="1"/>
  <c r="I83" i="9"/>
  <c r="K250" i="1" s="1"/>
  <c r="G83" i="9"/>
  <c r="I250" i="1" s="1"/>
  <c r="E83" i="9"/>
  <c r="G250" i="1" s="1"/>
  <c r="U82" i="9"/>
  <c r="R82" i="9"/>
  <c r="T249" i="1" s="1"/>
  <c r="Q82" i="9"/>
  <c r="S249" i="1" s="1"/>
  <c r="O82" i="9"/>
  <c r="Q249" i="1" s="1"/>
  <c r="M82" i="9"/>
  <c r="O249" i="1" s="1"/>
  <c r="K82" i="9"/>
  <c r="M249" i="1" s="1"/>
  <c r="I82" i="9"/>
  <c r="K249" i="1" s="1"/>
  <c r="G82" i="9"/>
  <c r="I249" i="1" s="1"/>
  <c r="E82" i="9"/>
  <c r="G249" i="1" s="1"/>
  <c r="U81" i="9"/>
  <c r="R81" i="9"/>
  <c r="Q81" i="9"/>
  <c r="S248" i="1" s="1"/>
  <c r="O81" i="9"/>
  <c r="Q248" i="1" s="1"/>
  <c r="M81" i="9"/>
  <c r="O248" i="1" s="1"/>
  <c r="K81" i="9"/>
  <c r="M248" i="1" s="1"/>
  <c r="I81" i="9"/>
  <c r="K248" i="1" s="1"/>
  <c r="G81" i="9"/>
  <c r="I248" i="1" s="1"/>
  <c r="E81" i="9"/>
  <c r="G248" i="1" s="1"/>
  <c r="I36" i="9"/>
  <c r="AL86" i="1" s="1"/>
  <c r="I33" i="9"/>
  <c r="AJ86" i="1" s="1"/>
  <c r="AA30" i="9"/>
  <c r="AA29" i="9"/>
  <c r="I29" i="9"/>
  <c r="AI86" i="1" s="1"/>
  <c r="I22" i="9"/>
  <c r="AC86" i="1" s="1"/>
  <c r="I18" i="9"/>
  <c r="AA86" i="1" s="1"/>
  <c r="Z86" i="1"/>
  <c r="I16" i="9"/>
  <c r="Y86" i="1" s="1"/>
  <c r="K8" i="9"/>
  <c r="T2" i="9"/>
  <c r="E86" i="1" s="1"/>
  <c r="V96" i="10"/>
  <c r="F128" i="1" s="1"/>
  <c r="S96" i="10"/>
  <c r="D128" i="1" s="1"/>
  <c r="U95" i="10"/>
  <c r="R95" i="10"/>
  <c r="T271" i="1" s="1"/>
  <c r="Q95" i="10"/>
  <c r="S271" i="1" s="1"/>
  <c r="O95" i="10"/>
  <c r="Q271" i="1" s="1"/>
  <c r="M95" i="10"/>
  <c r="O271" i="1" s="1"/>
  <c r="K95" i="10"/>
  <c r="M271" i="1" s="1"/>
  <c r="I95" i="10"/>
  <c r="K271" i="1" s="1"/>
  <c r="G95" i="10"/>
  <c r="I271" i="1" s="1"/>
  <c r="E95" i="10"/>
  <c r="G271" i="1" s="1"/>
  <c r="U94" i="10"/>
  <c r="R94" i="10"/>
  <c r="T270" i="1" s="1"/>
  <c r="Q94" i="10"/>
  <c r="S270" i="1" s="1"/>
  <c r="O94" i="10"/>
  <c r="Q270" i="1" s="1"/>
  <c r="M94" i="10"/>
  <c r="O270" i="1" s="1"/>
  <c r="K94" i="10"/>
  <c r="M270" i="1" s="1"/>
  <c r="I94" i="10"/>
  <c r="K270" i="1" s="1"/>
  <c r="G94" i="10"/>
  <c r="I270" i="1" s="1"/>
  <c r="E94" i="10"/>
  <c r="G270" i="1" s="1"/>
  <c r="U93" i="10"/>
  <c r="R93" i="10"/>
  <c r="T269" i="1" s="1"/>
  <c r="Q93" i="10"/>
  <c r="S269" i="1" s="1"/>
  <c r="O93" i="10"/>
  <c r="Q269" i="1" s="1"/>
  <c r="M93" i="10"/>
  <c r="O269" i="1" s="1"/>
  <c r="K93" i="10"/>
  <c r="M269" i="1" s="1"/>
  <c r="I93" i="10"/>
  <c r="K269" i="1" s="1"/>
  <c r="G93" i="10"/>
  <c r="I269" i="1" s="1"/>
  <c r="E93" i="10"/>
  <c r="G269" i="1" s="1"/>
  <c r="U92" i="10"/>
  <c r="R92" i="10"/>
  <c r="T268" i="1" s="1"/>
  <c r="Q92" i="10"/>
  <c r="S268" i="1" s="1"/>
  <c r="O92" i="10"/>
  <c r="Q268" i="1" s="1"/>
  <c r="M92" i="10"/>
  <c r="O268" i="1" s="1"/>
  <c r="K92" i="10"/>
  <c r="M268" i="1" s="1"/>
  <c r="I92" i="10"/>
  <c r="K268" i="1" s="1"/>
  <c r="G92" i="10"/>
  <c r="I268" i="1" s="1"/>
  <c r="E92" i="10"/>
  <c r="G268" i="1" s="1"/>
  <c r="U91" i="10"/>
  <c r="R91" i="10"/>
  <c r="T267" i="1" s="1"/>
  <c r="Q91" i="10"/>
  <c r="S267" i="1" s="1"/>
  <c r="O91" i="10"/>
  <c r="Q267" i="1" s="1"/>
  <c r="M91" i="10"/>
  <c r="O267" i="1" s="1"/>
  <c r="K91" i="10"/>
  <c r="M267" i="1" s="1"/>
  <c r="I91" i="10"/>
  <c r="K267" i="1" s="1"/>
  <c r="G91" i="10"/>
  <c r="I267" i="1" s="1"/>
  <c r="E91" i="10"/>
  <c r="G267" i="1" s="1"/>
  <c r="U90" i="10"/>
  <c r="R90" i="10"/>
  <c r="Q90" i="10"/>
  <c r="S266" i="1" s="1"/>
  <c r="O90" i="10"/>
  <c r="Q266" i="1" s="1"/>
  <c r="M90" i="10"/>
  <c r="O266" i="1" s="1"/>
  <c r="K90" i="10"/>
  <c r="M266" i="1" s="1"/>
  <c r="I90" i="10"/>
  <c r="K266" i="1" s="1"/>
  <c r="G90" i="10"/>
  <c r="I266" i="1" s="1"/>
  <c r="E90" i="10"/>
  <c r="G266" i="1" s="1"/>
  <c r="V87" i="10"/>
  <c r="F127" i="1" s="1"/>
  <c r="S87" i="10"/>
  <c r="D127" i="1" s="1"/>
  <c r="U86" i="10"/>
  <c r="R86" i="10"/>
  <c r="T265" i="1" s="1"/>
  <c r="Q86" i="10"/>
  <c r="S265" i="1" s="1"/>
  <c r="O86" i="10"/>
  <c r="Q265" i="1" s="1"/>
  <c r="M86" i="10"/>
  <c r="O265" i="1" s="1"/>
  <c r="K86" i="10"/>
  <c r="M265" i="1" s="1"/>
  <c r="I86" i="10"/>
  <c r="K265" i="1" s="1"/>
  <c r="G86" i="10"/>
  <c r="I265" i="1" s="1"/>
  <c r="E86" i="10"/>
  <c r="G265" i="1" s="1"/>
  <c r="U85" i="10"/>
  <c r="R85" i="10"/>
  <c r="T264" i="1" s="1"/>
  <c r="Q85" i="10"/>
  <c r="S264" i="1" s="1"/>
  <c r="O85" i="10"/>
  <c r="Q264" i="1" s="1"/>
  <c r="M85" i="10"/>
  <c r="O264" i="1" s="1"/>
  <c r="K85" i="10"/>
  <c r="M264" i="1" s="1"/>
  <c r="I85" i="10"/>
  <c r="K264" i="1" s="1"/>
  <c r="G85" i="10"/>
  <c r="I264" i="1" s="1"/>
  <c r="E85" i="10"/>
  <c r="G264" i="1" s="1"/>
  <c r="U84" i="10"/>
  <c r="R84" i="10"/>
  <c r="T263" i="1" s="1"/>
  <c r="Q84" i="10"/>
  <c r="S263" i="1" s="1"/>
  <c r="O84" i="10"/>
  <c r="Q263" i="1" s="1"/>
  <c r="M84" i="10"/>
  <c r="O263" i="1" s="1"/>
  <c r="K84" i="10"/>
  <c r="M263" i="1" s="1"/>
  <c r="I84" i="10"/>
  <c r="K263" i="1" s="1"/>
  <c r="G84" i="10"/>
  <c r="I263" i="1" s="1"/>
  <c r="E84" i="10"/>
  <c r="G263" i="1" s="1"/>
  <c r="U83" i="10"/>
  <c r="R83" i="10"/>
  <c r="T262" i="1" s="1"/>
  <c r="Q83" i="10"/>
  <c r="S262" i="1" s="1"/>
  <c r="O83" i="10"/>
  <c r="Q262" i="1" s="1"/>
  <c r="M83" i="10"/>
  <c r="O262" i="1" s="1"/>
  <c r="K83" i="10"/>
  <c r="M262" i="1" s="1"/>
  <c r="I83" i="10"/>
  <c r="K262" i="1" s="1"/>
  <c r="G83" i="10"/>
  <c r="I262" i="1" s="1"/>
  <c r="E83" i="10"/>
  <c r="G262" i="1" s="1"/>
  <c r="U82" i="10"/>
  <c r="R82" i="10"/>
  <c r="T261" i="1" s="1"/>
  <c r="Q82" i="10"/>
  <c r="S261" i="1" s="1"/>
  <c r="O82" i="10"/>
  <c r="Q261" i="1" s="1"/>
  <c r="M82" i="10"/>
  <c r="O261" i="1" s="1"/>
  <c r="K82" i="10"/>
  <c r="M261" i="1" s="1"/>
  <c r="I82" i="10"/>
  <c r="K261" i="1" s="1"/>
  <c r="G82" i="10"/>
  <c r="I261" i="1" s="1"/>
  <c r="E82" i="10"/>
  <c r="G261" i="1" s="1"/>
  <c r="U81" i="10"/>
  <c r="R81" i="10"/>
  <c r="Q81" i="10"/>
  <c r="S260" i="1" s="1"/>
  <c r="O81" i="10"/>
  <c r="Q260" i="1" s="1"/>
  <c r="M81" i="10"/>
  <c r="O260" i="1" s="1"/>
  <c r="K81" i="10"/>
  <c r="M260" i="1" s="1"/>
  <c r="I81" i="10"/>
  <c r="K260" i="1" s="1"/>
  <c r="G81" i="10"/>
  <c r="I260" i="1" s="1"/>
  <c r="E81" i="10"/>
  <c r="G260" i="1" s="1"/>
  <c r="I36" i="10"/>
  <c r="AL87" i="1" s="1"/>
  <c r="I33" i="10"/>
  <c r="AJ87" i="1" s="1"/>
  <c r="AA30" i="10"/>
  <c r="AA29" i="10"/>
  <c r="I29" i="10"/>
  <c r="AI87" i="1" s="1"/>
  <c r="I22" i="10"/>
  <c r="AC87" i="1" s="1"/>
  <c r="I18" i="10"/>
  <c r="AA87" i="1" s="1"/>
  <c r="Z87" i="1"/>
  <c r="I16" i="10"/>
  <c r="Y87" i="1" s="1"/>
  <c r="K8" i="10"/>
  <c r="T2" i="10"/>
  <c r="E87" i="1" s="1"/>
  <c r="V96" i="11"/>
  <c r="F130" i="1" s="1"/>
  <c r="S96" i="11"/>
  <c r="D130" i="1" s="1"/>
  <c r="U95" i="11"/>
  <c r="R95" i="11"/>
  <c r="T283" i="1" s="1"/>
  <c r="Q95" i="11"/>
  <c r="S283" i="1" s="1"/>
  <c r="O95" i="11"/>
  <c r="Q283" i="1" s="1"/>
  <c r="M95" i="11"/>
  <c r="O283" i="1" s="1"/>
  <c r="K95" i="11"/>
  <c r="M283" i="1" s="1"/>
  <c r="I95" i="11"/>
  <c r="K283" i="1" s="1"/>
  <c r="G95" i="11"/>
  <c r="I283" i="1" s="1"/>
  <c r="E95" i="11"/>
  <c r="G283" i="1" s="1"/>
  <c r="U94" i="11"/>
  <c r="R94" i="11"/>
  <c r="T282" i="1" s="1"/>
  <c r="Q94" i="11"/>
  <c r="S282" i="1" s="1"/>
  <c r="O94" i="11"/>
  <c r="Q282" i="1" s="1"/>
  <c r="M94" i="11"/>
  <c r="O282" i="1" s="1"/>
  <c r="K94" i="11"/>
  <c r="M282" i="1" s="1"/>
  <c r="I94" i="11"/>
  <c r="K282" i="1" s="1"/>
  <c r="G94" i="11"/>
  <c r="I282" i="1" s="1"/>
  <c r="E94" i="11"/>
  <c r="G282" i="1" s="1"/>
  <c r="U93" i="11"/>
  <c r="R93" i="11"/>
  <c r="T281" i="1" s="1"/>
  <c r="Q93" i="11"/>
  <c r="S281" i="1" s="1"/>
  <c r="O93" i="11"/>
  <c r="Q281" i="1" s="1"/>
  <c r="M93" i="11"/>
  <c r="O281" i="1" s="1"/>
  <c r="K93" i="11"/>
  <c r="M281" i="1" s="1"/>
  <c r="I93" i="11"/>
  <c r="K281" i="1" s="1"/>
  <c r="G93" i="11"/>
  <c r="I281" i="1" s="1"/>
  <c r="E93" i="11"/>
  <c r="G281" i="1" s="1"/>
  <c r="U92" i="11"/>
  <c r="R92" i="11"/>
  <c r="T280" i="1" s="1"/>
  <c r="Q92" i="11"/>
  <c r="S280" i="1" s="1"/>
  <c r="O92" i="11"/>
  <c r="Q280" i="1" s="1"/>
  <c r="M92" i="11"/>
  <c r="O280" i="1" s="1"/>
  <c r="K92" i="11"/>
  <c r="M280" i="1" s="1"/>
  <c r="I92" i="11"/>
  <c r="K280" i="1" s="1"/>
  <c r="G92" i="11"/>
  <c r="I280" i="1" s="1"/>
  <c r="E92" i="11"/>
  <c r="G280" i="1" s="1"/>
  <c r="U91" i="11"/>
  <c r="R91" i="11"/>
  <c r="T279" i="1" s="1"/>
  <c r="Q91" i="11"/>
  <c r="S279" i="1" s="1"/>
  <c r="O91" i="11"/>
  <c r="Q279" i="1" s="1"/>
  <c r="M91" i="11"/>
  <c r="O279" i="1" s="1"/>
  <c r="K91" i="11"/>
  <c r="M279" i="1" s="1"/>
  <c r="I91" i="11"/>
  <c r="K279" i="1" s="1"/>
  <c r="G91" i="11"/>
  <c r="I279" i="1" s="1"/>
  <c r="E91" i="11"/>
  <c r="G279" i="1" s="1"/>
  <c r="U90" i="11"/>
  <c r="R90" i="11"/>
  <c r="Q90" i="11"/>
  <c r="S278" i="1" s="1"/>
  <c r="O90" i="11"/>
  <c r="Q278" i="1" s="1"/>
  <c r="M90" i="11"/>
  <c r="O278" i="1" s="1"/>
  <c r="K90" i="11"/>
  <c r="M278" i="1" s="1"/>
  <c r="I90" i="11"/>
  <c r="K278" i="1" s="1"/>
  <c r="G90" i="11"/>
  <c r="I278" i="1" s="1"/>
  <c r="E90" i="11"/>
  <c r="G278" i="1" s="1"/>
  <c r="V87" i="11"/>
  <c r="F129" i="1" s="1"/>
  <c r="S87" i="11"/>
  <c r="D129" i="1" s="1"/>
  <c r="U86" i="11"/>
  <c r="R86" i="11"/>
  <c r="T277" i="1" s="1"/>
  <c r="Q86" i="11"/>
  <c r="S277" i="1" s="1"/>
  <c r="O86" i="11"/>
  <c r="Q277" i="1" s="1"/>
  <c r="M86" i="11"/>
  <c r="O277" i="1" s="1"/>
  <c r="K86" i="11"/>
  <c r="M277" i="1" s="1"/>
  <c r="I86" i="11"/>
  <c r="K277" i="1" s="1"/>
  <c r="G86" i="11"/>
  <c r="I277" i="1" s="1"/>
  <c r="E86" i="11"/>
  <c r="G277" i="1" s="1"/>
  <c r="U85" i="11"/>
  <c r="R85" i="11"/>
  <c r="T276" i="1" s="1"/>
  <c r="Q85" i="11"/>
  <c r="S276" i="1" s="1"/>
  <c r="O85" i="11"/>
  <c r="Q276" i="1" s="1"/>
  <c r="M85" i="11"/>
  <c r="O276" i="1" s="1"/>
  <c r="K85" i="11"/>
  <c r="M276" i="1" s="1"/>
  <c r="I85" i="11"/>
  <c r="K276" i="1" s="1"/>
  <c r="G85" i="11"/>
  <c r="I276" i="1" s="1"/>
  <c r="E85" i="11"/>
  <c r="G276" i="1" s="1"/>
  <c r="U84" i="11"/>
  <c r="R84" i="11"/>
  <c r="T275" i="1" s="1"/>
  <c r="Q84" i="11"/>
  <c r="S275" i="1" s="1"/>
  <c r="O84" i="11"/>
  <c r="Q275" i="1" s="1"/>
  <c r="M84" i="11"/>
  <c r="O275" i="1" s="1"/>
  <c r="K84" i="11"/>
  <c r="M275" i="1" s="1"/>
  <c r="I84" i="11"/>
  <c r="K275" i="1" s="1"/>
  <c r="G84" i="11"/>
  <c r="I275" i="1" s="1"/>
  <c r="E84" i="11"/>
  <c r="G275" i="1" s="1"/>
  <c r="U83" i="11"/>
  <c r="R83" i="11"/>
  <c r="T274" i="1" s="1"/>
  <c r="Q83" i="11"/>
  <c r="S274" i="1" s="1"/>
  <c r="O83" i="11"/>
  <c r="Q274" i="1" s="1"/>
  <c r="M83" i="11"/>
  <c r="O274" i="1" s="1"/>
  <c r="K83" i="11"/>
  <c r="M274" i="1" s="1"/>
  <c r="I83" i="11"/>
  <c r="K274" i="1" s="1"/>
  <c r="G83" i="11"/>
  <c r="I274" i="1" s="1"/>
  <c r="E83" i="11"/>
  <c r="G274" i="1" s="1"/>
  <c r="U82" i="11"/>
  <c r="R82" i="11"/>
  <c r="T273" i="1" s="1"/>
  <c r="Q82" i="11"/>
  <c r="S273" i="1" s="1"/>
  <c r="O82" i="11"/>
  <c r="Q273" i="1" s="1"/>
  <c r="M82" i="11"/>
  <c r="O273" i="1" s="1"/>
  <c r="K82" i="11"/>
  <c r="M273" i="1" s="1"/>
  <c r="I82" i="11"/>
  <c r="K273" i="1" s="1"/>
  <c r="G82" i="11"/>
  <c r="I273" i="1" s="1"/>
  <c r="E82" i="11"/>
  <c r="G273" i="1" s="1"/>
  <c r="U81" i="11"/>
  <c r="R81" i="11"/>
  <c r="Q81" i="11"/>
  <c r="S272" i="1" s="1"/>
  <c r="O81" i="11"/>
  <c r="Q272" i="1" s="1"/>
  <c r="M81" i="11"/>
  <c r="O272" i="1" s="1"/>
  <c r="K81" i="11"/>
  <c r="M272" i="1" s="1"/>
  <c r="I81" i="11"/>
  <c r="K272" i="1" s="1"/>
  <c r="G81" i="11"/>
  <c r="I272" i="1" s="1"/>
  <c r="E81" i="11"/>
  <c r="G272" i="1" s="1"/>
  <c r="I36" i="11"/>
  <c r="AL88" i="1" s="1"/>
  <c r="I33" i="11"/>
  <c r="AJ88" i="1" s="1"/>
  <c r="AA30" i="11"/>
  <c r="AA29" i="11"/>
  <c r="I29" i="11"/>
  <c r="AI88" i="1" s="1"/>
  <c r="I22" i="11"/>
  <c r="AC88" i="1" s="1"/>
  <c r="I18" i="11"/>
  <c r="AA88" i="1" s="1"/>
  <c r="Z88" i="1"/>
  <c r="I16" i="11"/>
  <c r="Y88" i="1" s="1"/>
  <c r="K8" i="11"/>
  <c r="T2" i="11"/>
  <c r="E88" i="1" s="1"/>
  <c r="V96" i="12"/>
  <c r="F132" i="1" s="1"/>
  <c r="S96" i="12"/>
  <c r="D132" i="1" s="1"/>
  <c r="U95" i="12"/>
  <c r="R95" i="12"/>
  <c r="T295" i="1" s="1"/>
  <c r="Q95" i="12"/>
  <c r="S295" i="1" s="1"/>
  <c r="O95" i="12"/>
  <c r="Q295" i="1" s="1"/>
  <c r="M95" i="12"/>
  <c r="O295" i="1" s="1"/>
  <c r="K95" i="12"/>
  <c r="M295" i="1" s="1"/>
  <c r="I95" i="12"/>
  <c r="K295" i="1" s="1"/>
  <c r="G95" i="12"/>
  <c r="I295" i="1" s="1"/>
  <c r="E95" i="12"/>
  <c r="G295" i="1" s="1"/>
  <c r="U94" i="12"/>
  <c r="R94" i="12"/>
  <c r="T294" i="1" s="1"/>
  <c r="Q94" i="12"/>
  <c r="S294" i="1" s="1"/>
  <c r="O94" i="12"/>
  <c r="Q294" i="1" s="1"/>
  <c r="M94" i="12"/>
  <c r="O294" i="1" s="1"/>
  <c r="K94" i="12"/>
  <c r="M294" i="1" s="1"/>
  <c r="I94" i="12"/>
  <c r="K294" i="1" s="1"/>
  <c r="G94" i="12"/>
  <c r="I294" i="1" s="1"/>
  <c r="E94" i="12"/>
  <c r="G294" i="1" s="1"/>
  <c r="U93" i="12"/>
  <c r="R93" i="12"/>
  <c r="T293" i="1" s="1"/>
  <c r="Q93" i="12"/>
  <c r="S293" i="1" s="1"/>
  <c r="O93" i="12"/>
  <c r="Q293" i="1" s="1"/>
  <c r="M93" i="12"/>
  <c r="O293" i="1" s="1"/>
  <c r="K93" i="12"/>
  <c r="M293" i="1" s="1"/>
  <c r="I93" i="12"/>
  <c r="K293" i="1" s="1"/>
  <c r="G93" i="12"/>
  <c r="I293" i="1" s="1"/>
  <c r="E93" i="12"/>
  <c r="G293" i="1" s="1"/>
  <c r="U92" i="12"/>
  <c r="R92" i="12"/>
  <c r="T292" i="1" s="1"/>
  <c r="Q92" i="12"/>
  <c r="S292" i="1" s="1"/>
  <c r="O92" i="12"/>
  <c r="Q292" i="1" s="1"/>
  <c r="M92" i="12"/>
  <c r="O292" i="1" s="1"/>
  <c r="K92" i="12"/>
  <c r="M292" i="1" s="1"/>
  <c r="I92" i="12"/>
  <c r="K292" i="1" s="1"/>
  <c r="G92" i="12"/>
  <c r="I292" i="1" s="1"/>
  <c r="E92" i="12"/>
  <c r="G292" i="1" s="1"/>
  <c r="U91" i="12"/>
  <c r="R91" i="12"/>
  <c r="T291" i="1" s="1"/>
  <c r="Q91" i="12"/>
  <c r="S291" i="1" s="1"/>
  <c r="O91" i="12"/>
  <c r="Q291" i="1" s="1"/>
  <c r="M91" i="12"/>
  <c r="O291" i="1" s="1"/>
  <c r="K91" i="12"/>
  <c r="M291" i="1" s="1"/>
  <c r="I91" i="12"/>
  <c r="K291" i="1" s="1"/>
  <c r="G91" i="12"/>
  <c r="I291" i="1" s="1"/>
  <c r="E91" i="12"/>
  <c r="G291" i="1" s="1"/>
  <c r="U90" i="12"/>
  <c r="R90" i="12"/>
  <c r="Q90" i="12"/>
  <c r="S290" i="1" s="1"/>
  <c r="O90" i="12"/>
  <c r="Q290" i="1" s="1"/>
  <c r="M90" i="12"/>
  <c r="O290" i="1" s="1"/>
  <c r="K90" i="12"/>
  <c r="M290" i="1" s="1"/>
  <c r="I90" i="12"/>
  <c r="K290" i="1" s="1"/>
  <c r="G90" i="12"/>
  <c r="I290" i="1" s="1"/>
  <c r="E90" i="12"/>
  <c r="G290" i="1" s="1"/>
  <c r="V87" i="12"/>
  <c r="F131" i="1" s="1"/>
  <c r="S87" i="12"/>
  <c r="D131" i="1" s="1"/>
  <c r="U86" i="12"/>
  <c r="R86" i="12"/>
  <c r="T289" i="1" s="1"/>
  <c r="Q86" i="12"/>
  <c r="S289" i="1" s="1"/>
  <c r="O86" i="12"/>
  <c r="Q289" i="1" s="1"/>
  <c r="M86" i="12"/>
  <c r="O289" i="1" s="1"/>
  <c r="K86" i="12"/>
  <c r="M289" i="1" s="1"/>
  <c r="I86" i="12"/>
  <c r="K289" i="1" s="1"/>
  <c r="G86" i="12"/>
  <c r="I289" i="1" s="1"/>
  <c r="E86" i="12"/>
  <c r="G289" i="1" s="1"/>
  <c r="U85" i="12"/>
  <c r="R85" i="12"/>
  <c r="T288" i="1" s="1"/>
  <c r="Q85" i="12"/>
  <c r="S288" i="1" s="1"/>
  <c r="O85" i="12"/>
  <c r="Q288" i="1" s="1"/>
  <c r="M85" i="12"/>
  <c r="O288" i="1" s="1"/>
  <c r="K85" i="12"/>
  <c r="M288" i="1" s="1"/>
  <c r="I85" i="12"/>
  <c r="K288" i="1" s="1"/>
  <c r="G85" i="12"/>
  <c r="I288" i="1" s="1"/>
  <c r="E85" i="12"/>
  <c r="G288" i="1" s="1"/>
  <c r="U84" i="12"/>
  <c r="R84" i="12"/>
  <c r="T287" i="1" s="1"/>
  <c r="Q84" i="12"/>
  <c r="S287" i="1" s="1"/>
  <c r="O84" i="12"/>
  <c r="Q287" i="1" s="1"/>
  <c r="M84" i="12"/>
  <c r="O287" i="1" s="1"/>
  <c r="K84" i="12"/>
  <c r="M287" i="1" s="1"/>
  <c r="I84" i="12"/>
  <c r="K287" i="1" s="1"/>
  <c r="G84" i="12"/>
  <c r="I287" i="1" s="1"/>
  <c r="E84" i="12"/>
  <c r="G287" i="1" s="1"/>
  <c r="U83" i="12"/>
  <c r="R83" i="12"/>
  <c r="T286" i="1" s="1"/>
  <c r="Q83" i="12"/>
  <c r="S286" i="1" s="1"/>
  <c r="O83" i="12"/>
  <c r="Q286" i="1" s="1"/>
  <c r="M83" i="12"/>
  <c r="O286" i="1" s="1"/>
  <c r="K83" i="12"/>
  <c r="M286" i="1" s="1"/>
  <c r="I83" i="12"/>
  <c r="K286" i="1" s="1"/>
  <c r="G83" i="12"/>
  <c r="I286" i="1" s="1"/>
  <c r="E83" i="12"/>
  <c r="G286" i="1" s="1"/>
  <c r="U82" i="12"/>
  <c r="R82" i="12"/>
  <c r="T285" i="1" s="1"/>
  <c r="Q82" i="12"/>
  <c r="S285" i="1" s="1"/>
  <c r="O82" i="12"/>
  <c r="Q285" i="1" s="1"/>
  <c r="M82" i="12"/>
  <c r="O285" i="1" s="1"/>
  <c r="K82" i="12"/>
  <c r="M285" i="1" s="1"/>
  <c r="I82" i="12"/>
  <c r="K285" i="1" s="1"/>
  <c r="G82" i="12"/>
  <c r="I285" i="1" s="1"/>
  <c r="E82" i="12"/>
  <c r="G285" i="1" s="1"/>
  <c r="U81" i="12"/>
  <c r="R81" i="12"/>
  <c r="Q81" i="12"/>
  <c r="S284" i="1" s="1"/>
  <c r="O81" i="12"/>
  <c r="Q284" i="1" s="1"/>
  <c r="M81" i="12"/>
  <c r="O284" i="1" s="1"/>
  <c r="K81" i="12"/>
  <c r="M284" i="1" s="1"/>
  <c r="I81" i="12"/>
  <c r="K284" i="1" s="1"/>
  <c r="G81" i="12"/>
  <c r="I284" i="1" s="1"/>
  <c r="E81" i="12"/>
  <c r="G284" i="1" s="1"/>
  <c r="I36" i="12"/>
  <c r="AL89" i="1" s="1"/>
  <c r="I33" i="12"/>
  <c r="AJ89" i="1" s="1"/>
  <c r="AA30" i="12"/>
  <c r="AA29" i="12"/>
  <c r="I29" i="12"/>
  <c r="AI89" i="1" s="1"/>
  <c r="I22" i="12"/>
  <c r="AC89" i="1" s="1"/>
  <c r="I18" i="12"/>
  <c r="AA89" i="1" s="1"/>
  <c r="Z89" i="1"/>
  <c r="I16" i="12"/>
  <c r="Y89" i="1" s="1"/>
  <c r="K8" i="12"/>
  <c r="T2" i="12"/>
  <c r="E89" i="1" s="1"/>
  <c r="V96" i="13"/>
  <c r="F134" i="1" s="1"/>
  <c r="S96" i="13"/>
  <c r="D134" i="1" s="1"/>
  <c r="U95" i="13"/>
  <c r="R95" i="13"/>
  <c r="T307" i="1" s="1"/>
  <c r="Q95" i="13"/>
  <c r="S307" i="1" s="1"/>
  <c r="O95" i="13"/>
  <c r="Q307" i="1" s="1"/>
  <c r="M95" i="13"/>
  <c r="O307" i="1" s="1"/>
  <c r="K95" i="13"/>
  <c r="M307" i="1" s="1"/>
  <c r="I95" i="13"/>
  <c r="K307" i="1" s="1"/>
  <c r="G95" i="13"/>
  <c r="I307" i="1" s="1"/>
  <c r="E95" i="13"/>
  <c r="G307" i="1" s="1"/>
  <c r="U94" i="13"/>
  <c r="R94" i="13"/>
  <c r="T306" i="1" s="1"/>
  <c r="Q94" i="13"/>
  <c r="S306" i="1" s="1"/>
  <c r="O94" i="13"/>
  <c r="Q306" i="1" s="1"/>
  <c r="M94" i="13"/>
  <c r="O306" i="1" s="1"/>
  <c r="K94" i="13"/>
  <c r="M306" i="1" s="1"/>
  <c r="I94" i="13"/>
  <c r="K306" i="1" s="1"/>
  <c r="G94" i="13"/>
  <c r="I306" i="1" s="1"/>
  <c r="E94" i="13"/>
  <c r="G306" i="1" s="1"/>
  <c r="U93" i="13"/>
  <c r="R93" i="13"/>
  <c r="T305" i="1" s="1"/>
  <c r="Q93" i="13"/>
  <c r="S305" i="1" s="1"/>
  <c r="O93" i="13"/>
  <c r="Q305" i="1" s="1"/>
  <c r="M93" i="13"/>
  <c r="O305" i="1" s="1"/>
  <c r="K93" i="13"/>
  <c r="M305" i="1" s="1"/>
  <c r="I93" i="13"/>
  <c r="K305" i="1" s="1"/>
  <c r="G93" i="13"/>
  <c r="I305" i="1" s="1"/>
  <c r="E93" i="13"/>
  <c r="G305" i="1" s="1"/>
  <c r="U92" i="13"/>
  <c r="R92" i="13"/>
  <c r="T304" i="1" s="1"/>
  <c r="Q92" i="13"/>
  <c r="S304" i="1" s="1"/>
  <c r="O92" i="13"/>
  <c r="Q304" i="1" s="1"/>
  <c r="M92" i="13"/>
  <c r="O304" i="1" s="1"/>
  <c r="K92" i="13"/>
  <c r="M304" i="1" s="1"/>
  <c r="I92" i="13"/>
  <c r="K304" i="1" s="1"/>
  <c r="G92" i="13"/>
  <c r="I304" i="1" s="1"/>
  <c r="E92" i="13"/>
  <c r="G304" i="1" s="1"/>
  <c r="U91" i="13"/>
  <c r="R91" i="13"/>
  <c r="T303" i="1" s="1"/>
  <c r="Q91" i="13"/>
  <c r="S303" i="1" s="1"/>
  <c r="O91" i="13"/>
  <c r="Q303" i="1" s="1"/>
  <c r="M91" i="13"/>
  <c r="O303" i="1" s="1"/>
  <c r="K91" i="13"/>
  <c r="M303" i="1" s="1"/>
  <c r="I91" i="13"/>
  <c r="K303" i="1" s="1"/>
  <c r="G91" i="13"/>
  <c r="I303" i="1" s="1"/>
  <c r="E91" i="13"/>
  <c r="G303" i="1" s="1"/>
  <c r="U90" i="13"/>
  <c r="R90" i="13"/>
  <c r="Q90" i="13"/>
  <c r="S302" i="1" s="1"/>
  <c r="O90" i="13"/>
  <c r="Q302" i="1" s="1"/>
  <c r="M90" i="13"/>
  <c r="O302" i="1" s="1"/>
  <c r="K90" i="13"/>
  <c r="M302" i="1" s="1"/>
  <c r="I90" i="13"/>
  <c r="K302" i="1" s="1"/>
  <c r="G90" i="13"/>
  <c r="I302" i="1" s="1"/>
  <c r="E90" i="13"/>
  <c r="G302" i="1" s="1"/>
  <c r="V87" i="13"/>
  <c r="F133" i="1" s="1"/>
  <c r="S87" i="13"/>
  <c r="D133" i="1" s="1"/>
  <c r="U86" i="13"/>
  <c r="R86" i="13"/>
  <c r="T301" i="1" s="1"/>
  <c r="Q86" i="13"/>
  <c r="S301" i="1" s="1"/>
  <c r="O86" i="13"/>
  <c r="Q301" i="1" s="1"/>
  <c r="M86" i="13"/>
  <c r="O301" i="1" s="1"/>
  <c r="K86" i="13"/>
  <c r="M301" i="1" s="1"/>
  <c r="I86" i="13"/>
  <c r="K301" i="1" s="1"/>
  <c r="G86" i="13"/>
  <c r="I301" i="1" s="1"/>
  <c r="E86" i="13"/>
  <c r="G301" i="1" s="1"/>
  <c r="U85" i="13"/>
  <c r="R85" i="13"/>
  <c r="T300" i="1" s="1"/>
  <c r="Q85" i="13"/>
  <c r="S300" i="1" s="1"/>
  <c r="O85" i="13"/>
  <c r="Q300" i="1" s="1"/>
  <c r="M85" i="13"/>
  <c r="O300" i="1" s="1"/>
  <c r="K85" i="13"/>
  <c r="M300" i="1" s="1"/>
  <c r="I85" i="13"/>
  <c r="K300" i="1" s="1"/>
  <c r="G85" i="13"/>
  <c r="I300" i="1" s="1"/>
  <c r="E85" i="13"/>
  <c r="G300" i="1" s="1"/>
  <c r="U84" i="13"/>
  <c r="R84" i="13"/>
  <c r="T299" i="1" s="1"/>
  <c r="Q84" i="13"/>
  <c r="S299" i="1" s="1"/>
  <c r="O84" i="13"/>
  <c r="Q299" i="1" s="1"/>
  <c r="M84" i="13"/>
  <c r="O299" i="1" s="1"/>
  <c r="K84" i="13"/>
  <c r="M299" i="1" s="1"/>
  <c r="I84" i="13"/>
  <c r="K299" i="1" s="1"/>
  <c r="G84" i="13"/>
  <c r="I299" i="1" s="1"/>
  <c r="E84" i="13"/>
  <c r="G299" i="1" s="1"/>
  <c r="U83" i="13"/>
  <c r="R83" i="13"/>
  <c r="T298" i="1" s="1"/>
  <c r="Q83" i="13"/>
  <c r="S298" i="1" s="1"/>
  <c r="O83" i="13"/>
  <c r="Q298" i="1" s="1"/>
  <c r="M83" i="13"/>
  <c r="O298" i="1" s="1"/>
  <c r="K83" i="13"/>
  <c r="M298" i="1" s="1"/>
  <c r="I83" i="13"/>
  <c r="K298" i="1" s="1"/>
  <c r="G83" i="13"/>
  <c r="I298" i="1" s="1"/>
  <c r="E83" i="13"/>
  <c r="G298" i="1" s="1"/>
  <c r="U82" i="13"/>
  <c r="R82" i="13"/>
  <c r="T297" i="1" s="1"/>
  <c r="Q82" i="13"/>
  <c r="S297" i="1" s="1"/>
  <c r="O82" i="13"/>
  <c r="Q297" i="1" s="1"/>
  <c r="M82" i="13"/>
  <c r="O297" i="1" s="1"/>
  <c r="K82" i="13"/>
  <c r="M297" i="1" s="1"/>
  <c r="I82" i="13"/>
  <c r="K297" i="1" s="1"/>
  <c r="G82" i="13"/>
  <c r="I297" i="1" s="1"/>
  <c r="E82" i="13"/>
  <c r="G297" i="1" s="1"/>
  <c r="U81" i="13"/>
  <c r="R81" i="13"/>
  <c r="Q81" i="13"/>
  <c r="S296" i="1" s="1"/>
  <c r="O81" i="13"/>
  <c r="Q296" i="1" s="1"/>
  <c r="M81" i="13"/>
  <c r="O296" i="1" s="1"/>
  <c r="K81" i="13"/>
  <c r="M296" i="1" s="1"/>
  <c r="I81" i="13"/>
  <c r="K296" i="1" s="1"/>
  <c r="G81" i="13"/>
  <c r="I296" i="1" s="1"/>
  <c r="E81" i="13"/>
  <c r="G296" i="1" s="1"/>
  <c r="I36" i="13"/>
  <c r="AL90" i="1" s="1"/>
  <c r="I33" i="13"/>
  <c r="AJ90" i="1" s="1"/>
  <c r="AA30" i="13"/>
  <c r="AA29" i="13"/>
  <c r="I29" i="13"/>
  <c r="AI90" i="1" s="1"/>
  <c r="I22" i="13"/>
  <c r="AC90" i="1" s="1"/>
  <c r="I18" i="13"/>
  <c r="AA90" i="1" s="1"/>
  <c r="Z90" i="1"/>
  <c r="I16" i="13"/>
  <c r="Y90" i="1" s="1"/>
  <c r="K8" i="13"/>
  <c r="T2" i="13"/>
  <c r="E90" i="1" s="1"/>
  <c r="V96" i="14"/>
  <c r="F136" i="1" s="1"/>
  <c r="S96" i="14"/>
  <c r="D136" i="1" s="1"/>
  <c r="U95" i="14"/>
  <c r="R95" i="14"/>
  <c r="T319" i="1" s="1"/>
  <c r="Q95" i="14"/>
  <c r="S319" i="1" s="1"/>
  <c r="O95" i="14"/>
  <c r="Q319" i="1" s="1"/>
  <c r="M95" i="14"/>
  <c r="O319" i="1" s="1"/>
  <c r="K95" i="14"/>
  <c r="M319" i="1" s="1"/>
  <c r="I95" i="14"/>
  <c r="K319" i="1" s="1"/>
  <c r="G95" i="14"/>
  <c r="I319" i="1" s="1"/>
  <c r="E95" i="14"/>
  <c r="G319" i="1" s="1"/>
  <c r="U94" i="14"/>
  <c r="R94" i="14"/>
  <c r="T318" i="1" s="1"/>
  <c r="Q94" i="14"/>
  <c r="S318" i="1" s="1"/>
  <c r="O94" i="14"/>
  <c r="Q318" i="1" s="1"/>
  <c r="M94" i="14"/>
  <c r="O318" i="1" s="1"/>
  <c r="K94" i="14"/>
  <c r="M318" i="1" s="1"/>
  <c r="I94" i="14"/>
  <c r="K318" i="1" s="1"/>
  <c r="G94" i="14"/>
  <c r="I318" i="1" s="1"/>
  <c r="E94" i="14"/>
  <c r="G318" i="1" s="1"/>
  <c r="U93" i="14"/>
  <c r="R93" i="14"/>
  <c r="T317" i="1" s="1"/>
  <c r="Q93" i="14"/>
  <c r="S317" i="1" s="1"/>
  <c r="O93" i="14"/>
  <c r="Q317" i="1" s="1"/>
  <c r="M93" i="14"/>
  <c r="O317" i="1" s="1"/>
  <c r="K93" i="14"/>
  <c r="M317" i="1" s="1"/>
  <c r="I93" i="14"/>
  <c r="K317" i="1" s="1"/>
  <c r="G93" i="14"/>
  <c r="I317" i="1" s="1"/>
  <c r="E93" i="14"/>
  <c r="G317" i="1" s="1"/>
  <c r="U92" i="14"/>
  <c r="R92" i="14"/>
  <c r="T316" i="1" s="1"/>
  <c r="Q92" i="14"/>
  <c r="S316" i="1" s="1"/>
  <c r="O92" i="14"/>
  <c r="Q316" i="1" s="1"/>
  <c r="M92" i="14"/>
  <c r="O316" i="1" s="1"/>
  <c r="K92" i="14"/>
  <c r="M316" i="1" s="1"/>
  <c r="I92" i="14"/>
  <c r="K316" i="1" s="1"/>
  <c r="G92" i="14"/>
  <c r="I316" i="1" s="1"/>
  <c r="E92" i="14"/>
  <c r="G316" i="1" s="1"/>
  <c r="U91" i="14"/>
  <c r="R91" i="14"/>
  <c r="T315" i="1" s="1"/>
  <c r="Q91" i="14"/>
  <c r="S315" i="1" s="1"/>
  <c r="O91" i="14"/>
  <c r="Q315" i="1" s="1"/>
  <c r="M91" i="14"/>
  <c r="O315" i="1" s="1"/>
  <c r="K91" i="14"/>
  <c r="M315" i="1" s="1"/>
  <c r="I91" i="14"/>
  <c r="K315" i="1" s="1"/>
  <c r="G91" i="14"/>
  <c r="I315" i="1" s="1"/>
  <c r="E91" i="14"/>
  <c r="G315" i="1" s="1"/>
  <c r="U90" i="14"/>
  <c r="R90" i="14"/>
  <c r="Q90" i="14"/>
  <c r="S314" i="1" s="1"/>
  <c r="O90" i="14"/>
  <c r="Q314" i="1" s="1"/>
  <c r="M90" i="14"/>
  <c r="O314" i="1" s="1"/>
  <c r="K90" i="14"/>
  <c r="M314" i="1" s="1"/>
  <c r="I90" i="14"/>
  <c r="K314" i="1" s="1"/>
  <c r="G90" i="14"/>
  <c r="I314" i="1" s="1"/>
  <c r="E90" i="14"/>
  <c r="G314" i="1" s="1"/>
  <c r="V87" i="14"/>
  <c r="F135" i="1" s="1"/>
  <c r="S87" i="14"/>
  <c r="D135" i="1" s="1"/>
  <c r="U86" i="14"/>
  <c r="R86" i="14"/>
  <c r="T313" i="1" s="1"/>
  <c r="Q86" i="14"/>
  <c r="S313" i="1" s="1"/>
  <c r="O86" i="14"/>
  <c r="Q313" i="1" s="1"/>
  <c r="M86" i="14"/>
  <c r="O313" i="1" s="1"/>
  <c r="K86" i="14"/>
  <c r="M313" i="1" s="1"/>
  <c r="I86" i="14"/>
  <c r="K313" i="1" s="1"/>
  <c r="G86" i="14"/>
  <c r="I313" i="1" s="1"/>
  <c r="E86" i="14"/>
  <c r="G313" i="1" s="1"/>
  <c r="U85" i="14"/>
  <c r="R85" i="14"/>
  <c r="T312" i="1" s="1"/>
  <c r="Q85" i="14"/>
  <c r="S312" i="1" s="1"/>
  <c r="O85" i="14"/>
  <c r="Q312" i="1" s="1"/>
  <c r="M85" i="14"/>
  <c r="O312" i="1" s="1"/>
  <c r="K85" i="14"/>
  <c r="M312" i="1" s="1"/>
  <c r="I85" i="14"/>
  <c r="K312" i="1" s="1"/>
  <c r="G85" i="14"/>
  <c r="I312" i="1" s="1"/>
  <c r="E85" i="14"/>
  <c r="G312" i="1" s="1"/>
  <c r="U84" i="14"/>
  <c r="R84" i="14"/>
  <c r="T311" i="1" s="1"/>
  <c r="Q84" i="14"/>
  <c r="S311" i="1" s="1"/>
  <c r="O84" i="14"/>
  <c r="Q311" i="1" s="1"/>
  <c r="M84" i="14"/>
  <c r="O311" i="1" s="1"/>
  <c r="K84" i="14"/>
  <c r="M311" i="1" s="1"/>
  <c r="I84" i="14"/>
  <c r="K311" i="1" s="1"/>
  <c r="G84" i="14"/>
  <c r="I311" i="1" s="1"/>
  <c r="E84" i="14"/>
  <c r="G311" i="1" s="1"/>
  <c r="U83" i="14"/>
  <c r="R83" i="14"/>
  <c r="T310" i="1" s="1"/>
  <c r="Q83" i="14"/>
  <c r="S310" i="1" s="1"/>
  <c r="O83" i="14"/>
  <c r="Q310" i="1" s="1"/>
  <c r="M83" i="14"/>
  <c r="O310" i="1" s="1"/>
  <c r="K83" i="14"/>
  <c r="M310" i="1" s="1"/>
  <c r="I83" i="14"/>
  <c r="K310" i="1" s="1"/>
  <c r="G83" i="14"/>
  <c r="I310" i="1" s="1"/>
  <c r="E83" i="14"/>
  <c r="G310" i="1" s="1"/>
  <c r="U82" i="14"/>
  <c r="R82" i="14"/>
  <c r="T309" i="1" s="1"/>
  <c r="Q82" i="14"/>
  <c r="S309" i="1" s="1"/>
  <c r="O82" i="14"/>
  <c r="Q309" i="1" s="1"/>
  <c r="M82" i="14"/>
  <c r="O309" i="1" s="1"/>
  <c r="K82" i="14"/>
  <c r="M309" i="1" s="1"/>
  <c r="I82" i="14"/>
  <c r="K309" i="1" s="1"/>
  <c r="G82" i="14"/>
  <c r="I309" i="1" s="1"/>
  <c r="E82" i="14"/>
  <c r="G309" i="1" s="1"/>
  <c r="U81" i="14"/>
  <c r="R81" i="14"/>
  <c r="Q81" i="14"/>
  <c r="S308" i="1" s="1"/>
  <c r="O81" i="14"/>
  <c r="Q308" i="1" s="1"/>
  <c r="M81" i="14"/>
  <c r="O308" i="1" s="1"/>
  <c r="K81" i="14"/>
  <c r="M308" i="1" s="1"/>
  <c r="I81" i="14"/>
  <c r="K308" i="1" s="1"/>
  <c r="G81" i="14"/>
  <c r="I308" i="1" s="1"/>
  <c r="E81" i="14"/>
  <c r="G308" i="1" s="1"/>
  <c r="I36" i="14"/>
  <c r="AL91" i="1" s="1"/>
  <c r="I33" i="14"/>
  <c r="AJ91" i="1" s="1"/>
  <c r="AA30" i="14"/>
  <c r="AA29" i="14"/>
  <c r="I29" i="14"/>
  <c r="AI91" i="1" s="1"/>
  <c r="I22" i="14"/>
  <c r="AC91" i="1" s="1"/>
  <c r="I18" i="14"/>
  <c r="AA91" i="1" s="1"/>
  <c r="Z91" i="1"/>
  <c r="I16" i="14"/>
  <c r="Y91" i="1" s="1"/>
  <c r="K8" i="14"/>
  <c r="T2" i="14"/>
  <c r="E91" i="1" s="1"/>
  <c r="V96" i="15"/>
  <c r="F138" i="1" s="1"/>
  <c r="S96" i="15"/>
  <c r="D138" i="1" s="1"/>
  <c r="U95" i="15"/>
  <c r="R95" i="15"/>
  <c r="T331" i="1" s="1"/>
  <c r="Q95" i="15"/>
  <c r="S331" i="1" s="1"/>
  <c r="O95" i="15"/>
  <c r="Q331" i="1" s="1"/>
  <c r="M95" i="15"/>
  <c r="O331" i="1" s="1"/>
  <c r="K95" i="15"/>
  <c r="M331" i="1" s="1"/>
  <c r="I95" i="15"/>
  <c r="K331" i="1" s="1"/>
  <c r="G95" i="15"/>
  <c r="I331" i="1" s="1"/>
  <c r="E95" i="15"/>
  <c r="G331" i="1" s="1"/>
  <c r="U94" i="15"/>
  <c r="R94" i="15"/>
  <c r="T330" i="1" s="1"/>
  <c r="Q94" i="15"/>
  <c r="S330" i="1" s="1"/>
  <c r="O94" i="15"/>
  <c r="Q330" i="1" s="1"/>
  <c r="M94" i="15"/>
  <c r="O330" i="1" s="1"/>
  <c r="K94" i="15"/>
  <c r="M330" i="1" s="1"/>
  <c r="I94" i="15"/>
  <c r="K330" i="1" s="1"/>
  <c r="G94" i="15"/>
  <c r="I330" i="1" s="1"/>
  <c r="E94" i="15"/>
  <c r="G330" i="1" s="1"/>
  <c r="U93" i="15"/>
  <c r="R93" i="15"/>
  <c r="T329" i="1" s="1"/>
  <c r="Q93" i="15"/>
  <c r="S329" i="1" s="1"/>
  <c r="O93" i="15"/>
  <c r="Q329" i="1" s="1"/>
  <c r="M93" i="15"/>
  <c r="O329" i="1" s="1"/>
  <c r="K93" i="15"/>
  <c r="M329" i="1" s="1"/>
  <c r="I93" i="15"/>
  <c r="K329" i="1" s="1"/>
  <c r="G93" i="15"/>
  <c r="I329" i="1" s="1"/>
  <c r="E93" i="15"/>
  <c r="G329" i="1" s="1"/>
  <c r="U92" i="15"/>
  <c r="R92" i="15"/>
  <c r="T328" i="1" s="1"/>
  <c r="Q92" i="15"/>
  <c r="S328" i="1" s="1"/>
  <c r="O92" i="15"/>
  <c r="Q328" i="1" s="1"/>
  <c r="M92" i="15"/>
  <c r="O328" i="1" s="1"/>
  <c r="K92" i="15"/>
  <c r="M328" i="1" s="1"/>
  <c r="I92" i="15"/>
  <c r="K328" i="1" s="1"/>
  <c r="G92" i="15"/>
  <c r="I328" i="1" s="1"/>
  <c r="E92" i="15"/>
  <c r="G328" i="1" s="1"/>
  <c r="U91" i="15"/>
  <c r="R91" i="15"/>
  <c r="T327" i="1" s="1"/>
  <c r="Q91" i="15"/>
  <c r="S327" i="1" s="1"/>
  <c r="O91" i="15"/>
  <c r="Q327" i="1" s="1"/>
  <c r="M91" i="15"/>
  <c r="O327" i="1" s="1"/>
  <c r="K91" i="15"/>
  <c r="M327" i="1" s="1"/>
  <c r="I91" i="15"/>
  <c r="K327" i="1" s="1"/>
  <c r="G91" i="15"/>
  <c r="I327" i="1" s="1"/>
  <c r="E91" i="15"/>
  <c r="G327" i="1" s="1"/>
  <c r="U90" i="15"/>
  <c r="R90" i="15"/>
  <c r="Q90" i="15"/>
  <c r="S326" i="1" s="1"/>
  <c r="O90" i="15"/>
  <c r="Q326" i="1" s="1"/>
  <c r="M90" i="15"/>
  <c r="O326" i="1" s="1"/>
  <c r="K90" i="15"/>
  <c r="M326" i="1" s="1"/>
  <c r="I90" i="15"/>
  <c r="K326" i="1" s="1"/>
  <c r="G90" i="15"/>
  <c r="I326" i="1" s="1"/>
  <c r="E90" i="15"/>
  <c r="G326" i="1" s="1"/>
  <c r="V87" i="15"/>
  <c r="F137" i="1" s="1"/>
  <c r="S87" i="15"/>
  <c r="D137" i="1" s="1"/>
  <c r="U86" i="15"/>
  <c r="R86" i="15"/>
  <c r="T325" i="1" s="1"/>
  <c r="Q86" i="15"/>
  <c r="S325" i="1" s="1"/>
  <c r="O86" i="15"/>
  <c r="Q325" i="1" s="1"/>
  <c r="M86" i="15"/>
  <c r="O325" i="1" s="1"/>
  <c r="K86" i="15"/>
  <c r="M325" i="1" s="1"/>
  <c r="I86" i="15"/>
  <c r="K325" i="1" s="1"/>
  <c r="G86" i="15"/>
  <c r="I325" i="1" s="1"/>
  <c r="E86" i="15"/>
  <c r="G325" i="1" s="1"/>
  <c r="U85" i="15"/>
  <c r="R85" i="15"/>
  <c r="T324" i="1" s="1"/>
  <c r="Q85" i="15"/>
  <c r="S324" i="1" s="1"/>
  <c r="O85" i="15"/>
  <c r="Q324" i="1" s="1"/>
  <c r="M85" i="15"/>
  <c r="O324" i="1" s="1"/>
  <c r="K85" i="15"/>
  <c r="M324" i="1" s="1"/>
  <c r="I85" i="15"/>
  <c r="K324" i="1" s="1"/>
  <c r="G85" i="15"/>
  <c r="I324" i="1" s="1"/>
  <c r="E85" i="15"/>
  <c r="G324" i="1" s="1"/>
  <c r="U84" i="15"/>
  <c r="R84" i="15"/>
  <c r="T323" i="1" s="1"/>
  <c r="Q84" i="15"/>
  <c r="S323" i="1" s="1"/>
  <c r="O84" i="15"/>
  <c r="Q323" i="1" s="1"/>
  <c r="M84" i="15"/>
  <c r="O323" i="1" s="1"/>
  <c r="K84" i="15"/>
  <c r="M323" i="1" s="1"/>
  <c r="I84" i="15"/>
  <c r="K323" i="1" s="1"/>
  <c r="G84" i="15"/>
  <c r="I323" i="1" s="1"/>
  <c r="E84" i="15"/>
  <c r="G323" i="1" s="1"/>
  <c r="U83" i="15"/>
  <c r="R83" i="15"/>
  <c r="T322" i="1" s="1"/>
  <c r="Q83" i="15"/>
  <c r="S322" i="1" s="1"/>
  <c r="O83" i="15"/>
  <c r="Q322" i="1" s="1"/>
  <c r="M83" i="15"/>
  <c r="O322" i="1" s="1"/>
  <c r="K83" i="15"/>
  <c r="M322" i="1" s="1"/>
  <c r="I83" i="15"/>
  <c r="K322" i="1" s="1"/>
  <c r="G83" i="15"/>
  <c r="I322" i="1" s="1"/>
  <c r="E83" i="15"/>
  <c r="G322" i="1" s="1"/>
  <c r="U82" i="15"/>
  <c r="R82" i="15"/>
  <c r="T321" i="1" s="1"/>
  <c r="Q82" i="15"/>
  <c r="S321" i="1" s="1"/>
  <c r="O82" i="15"/>
  <c r="Q321" i="1" s="1"/>
  <c r="M82" i="15"/>
  <c r="O321" i="1" s="1"/>
  <c r="K82" i="15"/>
  <c r="M321" i="1" s="1"/>
  <c r="I82" i="15"/>
  <c r="K321" i="1" s="1"/>
  <c r="G82" i="15"/>
  <c r="I321" i="1" s="1"/>
  <c r="E82" i="15"/>
  <c r="G321" i="1" s="1"/>
  <c r="U81" i="15"/>
  <c r="R81" i="15"/>
  <c r="Q81" i="15"/>
  <c r="S320" i="1" s="1"/>
  <c r="O81" i="15"/>
  <c r="Q320" i="1" s="1"/>
  <c r="M81" i="15"/>
  <c r="O320" i="1" s="1"/>
  <c r="K81" i="15"/>
  <c r="M320" i="1" s="1"/>
  <c r="I81" i="15"/>
  <c r="K320" i="1" s="1"/>
  <c r="G81" i="15"/>
  <c r="I320" i="1" s="1"/>
  <c r="E81" i="15"/>
  <c r="G320" i="1" s="1"/>
  <c r="I36" i="15"/>
  <c r="AL92" i="1" s="1"/>
  <c r="I33" i="15"/>
  <c r="AJ92" i="1" s="1"/>
  <c r="AA30" i="15"/>
  <c r="AA29" i="15"/>
  <c r="I29" i="15"/>
  <c r="AI92" i="1" s="1"/>
  <c r="I22" i="15"/>
  <c r="AC92" i="1" s="1"/>
  <c r="I18" i="15"/>
  <c r="AA92" i="1" s="1"/>
  <c r="Z92" i="1"/>
  <c r="I16" i="15"/>
  <c r="Y92" i="1" s="1"/>
  <c r="K8" i="15"/>
  <c r="T2" i="15"/>
  <c r="E92" i="1" s="1"/>
  <c r="V96" i="16"/>
  <c r="F140" i="1" s="1"/>
  <c r="S96" i="16"/>
  <c r="D140" i="1" s="1"/>
  <c r="U95" i="16"/>
  <c r="R95" i="16"/>
  <c r="T343" i="1" s="1"/>
  <c r="Q95" i="16"/>
  <c r="S343" i="1" s="1"/>
  <c r="O95" i="16"/>
  <c r="Q343" i="1" s="1"/>
  <c r="M95" i="16"/>
  <c r="O343" i="1" s="1"/>
  <c r="K95" i="16"/>
  <c r="M343" i="1" s="1"/>
  <c r="I95" i="16"/>
  <c r="K343" i="1" s="1"/>
  <c r="G95" i="16"/>
  <c r="I343" i="1" s="1"/>
  <c r="E95" i="16"/>
  <c r="G343" i="1" s="1"/>
  <c r="U94" i="16"/>
  <c r="R94" i="16"/>
  <c r="T342" i="1" s="1"/>
  <c r="Q94" i="16"/>
  <c r="S342" i="1" s="1"/>
  <c r="O94" i="16"/>
  <c r="Q342" i="1" s="1"/>
  <c r="M94" i="16"/>
  <c r="O342" i="1" s="1"/>
  <c r="K94" i="16"/>
  <c r="M342" i="1" s="1"/>
  <c r="I94" i="16"/>
  <c r="K342" i="1" s="1"/>
  <c r="G94" i="16"/>
  <c r="I342" i="1" s="1"/>
  <c r="E94" i="16"/>
  <c r="G342" i="1" s="1"/>
  <c r="U93" i="16"/>
  <c r="R93" i="16"/>
  <c r="T341" i="1" s="1"/>
  <c r="Q93" i="16"/>
  <c r="S341" i="1" s="1"/>
  <c r="O93" i="16"/>
  <c r="Q341" i="1" s="1"/>
  <c r="M93" i="16"/>
  <c r="O341" i="1" s="1"/>
  <c r="K93" i="16"/>
  <c r="M341" i="1" s="1"/>
  <c r="I93" i="16"/>
  <c r="K341" i="1" s="1"/>
  <c r="G93" i="16"/>
  <c r="I341" i="1" s="1"/>
  <c r="E93" i="16"/>
  <c r="G341" i="1" s="1"/>
  <c r="U92" i="16"/>
  <c r="R92" i="16"/>
  <c r="T340" i="1" s="1"/>
  <c r="Q92" i="16"/>
  <c r="S340" i="1" s="1"/>
  <c r="O92" i="16"/>
  <c r="Q340" i="1" s="1"/>
  <c r="M92" i="16"/>
  <c r="O340" i="1" s="1"/>
  <c r="K92" i="16"/>
  <c r="M340" i="1" s="1"/>
  <c r="I92" i="16"/>
  <c r="K340" i="1" s="1"/>
  <c r="G92" i="16"/>
  <c r="I340" i="1" s="1"/>
  <c r="E92" i="16"/>
  <c r="G340" i="1" s="1"/>
  <c r="U91" i="16"/>
  <c r="R91" i="16"/>
  <c r="T339" i="1" s="1"/>
  <c r="Q91" i="16"/>
  <c r="S339" i="1" s="1"/>
  <c r="O91" i="16"/>
  <c r="Q339" i="1" s="1"/>
  <c r="M91" i="16"/>
  <c r="O339" i="1" s="1"/>
  <c r="K91" i="16"/>
  <c r="M339" i="1" s="1"/>
  <c r="I91" i="16"/>
  <c r="K339" i="1" s="1"/>
  <c r="G91" i="16"/>
  <c r="I339" i="1" s="1"/>
  <c r="E91" i="16"/>
  <c r="G339" i="1" s="1"/>
  <c r="U90" i="16"/>
  <c r="R90" i="16"/>
  <c r="Q90" i="16"/>
  <c r="S338" i="1" s="1"/>
  <c r="O90" i="16"/>
  <c r="Q338" i="1" s="1"/>
  <c r="M90" i="16"/>
  <c r="O338" i="1" s="1"/>
  <c r="K90" i="16"/>
  <c r="M338" i="1" s="1"/>
  <c r="I90" i="16"/>
  <c r="K338" i="1" s="1"/>
  <c r="G90" i="16"/>
  <c r="I338" i="1" s="1"/>
  <c r="E90" i="16"/>
  <c r="G338" i="1" s="1"/>
  <c r="V87" i="16"/>
  <c r="F139" i="1" s="1"/>
  <c r="S87" i="16"/>
  <c r="D139" i="1" s="1"/>
  <c r="U86" i="16"/>
  <c r="R86" i="16"/>
  <c r="T337" i="1" s="1"/>
  <c r="Q86" i="16"/>
  <c r="S337" i="1" s="1"/>
  <c r="O86" i="16"/>
  <c r="Q337" i="1" s="1"/>
  <c r="M86" i="16"/>
  <c r="O337" i="1" s="1"/>
  <c r="K86" i="16"/>
  <c r="M337" i="1" s="1"/>
  <c r="I86" i="16"/>
  <c r="K337" i="1" s="1"/>
  <c r="G86" i="16"/>
  <c r="I337" i="1" s="1"/>
  <c r="E86" i="16"/>
  <c r="G337" i="1" s="1"/>
  <c r="U85" i="16"/>
  <c r="R85" i="16"/>
  <c r="T336" i="1" s="1"/>
  <c r="Q85" i="16"/>
  <c r="S336" i="1" s="1"/>
  <c r="O85" i="16"/>
  <c r="Q336" i="1" s="1"/>
  <c r="M85" i="16"/>
  <c r="O336" i="1" s="1"/>
  <c r="K85" i="16"/>
  <c r="M336" i="1" s="1"/>
  <c r="I85" i="16"/>
  <c r="K336" i="1" s="1"/>
  <c r="G85" i="16"/>
  <c r="I336" i="1" s="1"/>
  <c r="E85" i="16"/>
  <c r="G336" i="1" s="1"/>
  <c r="U84" i="16"/>
  <c r="R84" i="16"/>
  <c r="T335" i="1" s="1"/>
  <c r="Q84" i="16"/>
  <c r="S335" i="1" s="1"/>
  <c r="O84" i="16"/>
  <c r="Q335" i="1" s="1"/>
  <c r="M84" i="16"/>
  <c r="O335" i="1" s="1"/>
  <c r="K84" i="16"/>
  <c r="M335" i="1" s="1"/>
  <c r="I84" i="16"/>
  <c r="K335" i="1" s="1"/>
  <c r="G84" i="16"/>
  <c r="I335" i="1" s="1"/>
  <c r="E84" i="16"/>
  <c r="G335" i="1" s="1"/>
  <c r="U83" i="16"/>
  <c r="R83" i="16"/>
  <c r="T334" i="1" s="1"/>
  <c r="Q83" i="16"/>
  <c r="S334" i="1" s="1"/>
  <c r="O83" i="16"/>
  <c r="Q334" i="1" s="1"/>
  <c r="M83" i="16"/>
  <c r="O334" i="1" s="1"/>
  <c r="K83" i="16"/>
  <c r="M334" i="1" s="1"/>
  <c r="I83" i="16"/>
  <c r="K334" i="1" s="1"/>
  <c r="G83" i="16"/>
  <c r="I334" i="1" s="1"/>
  <c r="E83" i="16"/>
  <c r="G334" i="1" s="1"/>
  <c r="U82" i="16"/>
  <c r="R82" i="16"/>
  <c r="T333" i="1" s="1"/>
  <c r="Q82" i="16"/>
  <c r="S333" i="1" s="1"/>
  <c r="O82" i="16"/>
  <c r="Q333" i="1" s="1"/>
  <c r="M82" i="16"/>
  <c r="O333" i="1" s="1"/>
  <c r="K82" i="16"/>
  <c r="M333" i="1" s="1"/>
  <c r="I82" i="16"/>
  <c r="K333" i="1" s="1"/>
  <c r="G82" i="16"/>
  <c r="I333" i="1" s="1"/>
  <c r="E82" i="16"/>
  <c r="G333" i="1" s="1"/>
  <c r="U81" i="16"/>
  <c r="R81" i="16"/>
  <c r="Q81" i="16"/>
  <c r="S332" i="1" s="1"/>
  <c r="O81" i="16"/>
  <c r="Q332" i="1" s="1"/>
  <c r="M81" i="16"/>
  <c r="O332" i="1" s="1"/>
  <c r="K81" i="16"/>
  <c r="M332" i="1" s="1"/>
  <c r="I81" i="16"/>
  <c r="K332" i="1" s="1"/>
  <c r="G81" i="16"/>
  <c r="I332" i="1" s="1"/>
  <c r="E81" i="16"/>
  <c r="G332" i="1" s="1"/>
  <c r="I36" i="16"/>
  <c r="AL93" i="1" s="1"/>
  <c r="I33" i="16"/>
  <c r="AJ93" i="1" s="1"/>
  <c r="AA30" i="16"/>
  <c r="AA29" i="16"/>
  <c r="I29" i="16"/>
  <c r="AI93" i="1" s="1"/>
  <c r="I22" i="16"/>
  <c r="AC93" i="1" s="1"/>
  <c r="I18" i="16"/>
  <c r="AA93" i="1" s="1"/>
  <c r="Z93" i="1"/>
  <c r="I16" i="16"/>
  <c r="Y93" i="1" s="1"/>
  <c r="K8" i="16"/>
  <c r="T2" i="16"/>
  <c r="E93" i="1" s="1"/>
  <c r="V96" i="17"/>
  <c r="F142" i="1" s="1"/>
  <c r="S96" i="17"/>
  <c r="D142" i="1" s="1"/>
  <c r="U95" i="17"/>
  <c r="R95" i="17"/>
  <c r="T355" i="1" s="1"/>
  <c r="Q95" i="17"/>
  <c r="S355" i="1" s="1"/>
  <c r="O95" i="17"/>
  <c r="Q355" i="1" s="1"/>
  <c r="M95" i="17"/>
  <c r="O355" i="1" s="1"/>
  <c r="K95" i="17"/>
  <c r="M355" i="1" s="1"/>
  <c r="I95" i="17"/>
  <c r="K355" i="1" s="1"/>
  <c r="G95" i="17"/>
  <c r="I355" i="1" s="1"/>
  <c r="E95" i="17"/>
  <c r="G355" i="1" s="1"/>
  <c r="U94" i="17"/>
  <c r="R94" i="17"/>
  <c r="T354" i="1" s="1"/>
  <c r="Q94" i="17"/>
  <c r="S354" i="1" s="1"/>
  <c r="O94" i="17"/>
  <c r="Q354" i="1" s="1"/>
  <c r="M94" i="17"/>
  <c r="O354" i="1" s="1"/>
  <c r="K94" i="17"/>
  <c r="M354" i="1" s="1"/>
  <c r="I94" i="17"/>
  <c r="K354" i="1" s="1"/>
  <c r="G94" i="17"/>
  <c r="I354" i="1" s="1"/>
  <c r="E94" i="17"/>
  <c r="G354" i="1" s="1"/>
  <c r="U93" i="17"/>
  <c r="R93" i="17"/>
  <c r="T353" i="1" s="1"/>
  <c r="Q93" i="17"/>
  <c r="S353" i="1" s="1"/>
  <c r="O93" i="17"/>
  <c r="Q353" i="1" s="1"/>
  <c r="M93" i="17"/>
  <c r="O353" i="1" s="1"/>
  <c r="K93" i="17"/>
  <c r="M353" i="1" s="1"/>
  <c r="I93" i="17"/>
  <c r="K353" i="1" s="1"/>
  <c r="G93" i="17"/>
  <c r="I353" i="1" s="1"/>
  <c r="E93" i="17"/>
  <c r="G353" i="1" s="1"/>
  <c r="U92" i="17"/>
  <c r="R92" i="17"/>
  <c r="T352" i="1" s="1"/>
  <c r="Q92" i="17"/>
  <c r="S352" i="1" s="1"/>
  <c r="O92" i="17"/>
  <c r="Q352" i="1" s="1"/>
  <c r="M92" i="17"/>
  <c r="O352" i="1" s="1"/>
  <c r="K92" i="17"/>
  <c r="M352" i="1" s="1"/>
  <c r="I92" i="17"/>
  <c r="K352" i="1" s="1"/>
  <c r="G92" i="17"/>
  <c r="I352" i="1" s="1"/>
  <c r="E92" i="17"/>
  <c r="G352" i="1" s="1"/>
  <c r="U91" i="17"/>
  <c r="R91" i="17"/>
  <c r="T351" i="1" s="1"/>
  <c r="Q91" i="17"/>
  <c r="S351" i="1" s="1"/>
  <c r="O91" i="17"/>
  <c r="Q351" i="1" s="1"/>
  <c r="M91" i="17"/>
  <c r="O351" i="1" s="1"/>
  <c r="K91" i="17"/>
  <c r="M351" i="1" s="1"/>
  <c r="I91" i="17"/>
  <c r="K351" i="1" s="1"/>
  <c r="G91" i="17"/>
  <c r="I351" i="1" s="1"/>
  <c r="E91" i="17"/>
  <c r="G351" i="1" s="1"/>
  <c r="U90" i="17"/>
  <c r="R90" i="17"/>
  <c r="Q90" i="17"/>
  <c r="S350" i="1" s="1"/>
  <c r="O90" i="17"/>
  <c r="Q350" i="1" s="1"/>
  <c r="M90" i="17"/>
  <c r="O350" i="1" s="1"/>
  <c r="K90" i="17"/>
  <c r="M350" i="1" s="1"/>
  <c r="I90" i="17"/>
  <c r="K350" i="1" s="1"/>
  <c r="G90" i="17"/>
  <c r="I350" i="1" s="1"/>
  <c r="E90" i="17"/>
  <c r="G350" i="1" s="1"/>
  <c r="V87" i="17"/>
  <c r="F141" i="1" s="1"/>
  <c r="S87" i="17"/>
  <c r="D141" i="1" s="1"/>
  <c r="U86" i="17"/>
  <c r="R86" i="17"/>
  <c r="T349" i="1" s="1"/>
  <c r="Q86" i="17"/>
  <c r="S349" i="1" s="1"/>
  <c r="O86" i="17"/>
  <c r="Q349" i="1" s="1"/>
  <c r="M86" i="17"/>
  <c r="O349" i="1" s="1"/>
  <c r="K86" i="17"/>
  <c r="M349" i="1" s="1"/>
  <c r="I86" i="17"/>
  <c r="K349" i="1" s="1"/>
  <c r="G86" i="17"/>
  <c r="I349" i="1" s="1"/>
  <c r="E86" i="17"/>
  <c r="G349" i="1" s="1"/>
  <c r="U85" i="17"/>
  <c r="R85" i="17"/>
  <c r="T348" i="1" s="1"/>
  <c r="Q85" i="17"/>
  <c r="S348" i="1" s="1"/>
  <c r="O85" i="17"/>
  <c r="Q348" i="1" s="1"/>
  <c r="M85" i="17"/>
  <c r="O348" i="1" s="1"/>
  <c r="K85" i="17"/>
  <c r="M348" i="1" s="1"/>
  <c r="I85" i="17"/>
  <c r="K348" i="1" s="1"/>
  <c r="G85" i="17"/>
  <c r="I348" i="1" s="1"/>
  <c r="E85" i="17"/>
  <c r="G348" i="1" s="1"/>
  <c r="U84" i="17"/>
  <c r="R84" i="17"/>
  <c r="T347" i="1" s="1"/>
  <c r="Q84" i="17"/>
  <c r="S347" i="1" s="1"/>
  <c r="O84" i="17"/>
  <c r="Q347" i="1" s="1"/>
  <c r="M84" i="17"/>
  <c r="O347" i="1" s="1"/>
  <c r="K84" i="17"/>
  <c r="M347" i="1" s="1"/>
  <c r="I84" i="17"/>
  <c r="K347" i="1" s="1"/>
  <c r="G84" i="17"/>
  <c r="I347" i="1" s="1"/>
  <c r="E84" i="17"/>
  <c r="G347" i="1" s="1"/>
  <c r="U83" i="17"/>
  <c r="R83" i="17"/>
  <c r="T346" i="1" s="1"/>
  <c r="Q83" i="17"/>
  <c r="S346" i="1" s="1"/>
  <c r="O83" i="17"/>
  <c r="Q346" i="1" s="1"/>
  <c r="M83" i="17"/>
  <c r="O346" i="1" s="1"/>
  <c r="K83" i="17"/>
  <c r="M346" i="1" s="1"/>
  <c r="I83" i="17"/>
  <c r="K346" i="1" s="1"/>
  <c r="G83" i="17"/>
  <c r="I346" i="1" s="1"/>
  <c r="E83" i="17"/>
  <c r="G346" i="1" s="1"/>
  <c r="U82" i="17"/>
  <c r="R82" i="17"/>
  <c r="T345" i="1" s="1"/>
  <c r="Q82" i="17"/>
  <c r="S345" i="1" s="1"/>
  <c r="O82" i="17"/>
  <c r="Q345" i="1" s="1"/>
  <c r="M82" i="17"/>
  <c r="O345" i="1" s="1"/>
  <c r="K82" i="17"/>
  <c r="M345" i="1" s="1"/>
  <c r="I82" i="17"/>
  <c r="K345" i="1" s="1"/>
  <c r="G82" i="17"/>
  <c r="I345" i="1" s="1"/>
  <c r="E82" i="17"/>
  <c r="G345" i="1" s="1"/>
  <c r="U81" i="17"/>
  <c r="R81" i="17"/>
  <c r="Q81" i="17"/>
  <c r="S344" i="1" s="1"/>
  <c r="O81" i="17"/>
  <c r="Q344" i="1" s="1"/>
  <c r="M81" i="17"/>
  <c r="O344" i="1" s="1"/>
  <c r="K81" i="17"/>
  <c r="M344" i="1" s="1"/>
  <c r="I81" i="17"/>
  <c r="K344" i="1" s="1"/>
  <c r="G81" i="17"/>
  <c r="I344" i="1" s="1"/>
  <c r="E81" i="17"/>
  <c r="G344" i="1" s="1"/>
  <c r="I36" i="17"/>
  <c r="AL94" i="1" s="1"/>
  <c r="I33" i="17"/>
  <c r="AJ94" i="1" s="1"/>
  <c r="AA30" i="17"/>
  <c r="AA29" i="17"/>
  <c r="I29" i="17"/>
  <c r="AI94" i="1" s="1"/>
  <c r="I22" i="17"/>
  <c r="AC94" i="1" s="1"/>
  <c r="I18" i="17"/>
  <c r="AA94" i="1" s="1"/>
  <c r="Z94" i="1"/>
  <c r="I16" i="17"/>
  <c r="Y94" i="1" s="1"/>
  <c r="K8" i="17"/>
  <c r="T2" i="17"/>
  <c r="E94" i="1" s="1"/>
  <c r="V96" i="18"/>
  <c r="F144" i="1" s="1"/>
  <c r="S96" i="18"/>
  <c r="D144" i="1" s="1"/>
  <c r="U95" i="18"/>
  <c r="R95" i="18"/>
  <c r="T367" i="1" s="1"/>
  <c r="Q95" i="18"/>
  <c r="S367" i="1" s="1"/>
  <c r="O95" i="18"/>
  <c r="Q367" i="1" s="1"/>
  <c r="M95" i="18"/>
  <c r="O367" i="1" s="1"/>
  <c r="K95" i="18"/>
  <c r="M367" i="1" s="1"/>
  <c r="I95" i="18"/>
  <c r="K367" i="1" s="1"/>
  <c r="G95" i="18"/>
  <c r="I367" i="1" s="1"/>
  <c r="E95" i="18"/>
  <c r="G367" i="1" s="1"/>
  <c r="U94" i="18"/>
  <c r="R94" i="18"/>
  <c r="T366" i="1" s="1"/>
  <c r="Q94" i="18"/>
  <c r="S366" i="1" s="1"/>
  <c r="O94" i="18"/>
  <c r="Q366" i="1" s="1"/>
  <c r="M94" i="18"/>
  <c r="O366" i="1" s="1"/>
  <c r="K94" i="18"/>
  <c r="M366" i="1" s="1"/>
  <c r="I94" i="18"/>
  <c r="K366" i="1" s="1"/>
  <c r="G94" i="18"/>
  <c r="I366" i="1" s="1"/>
  <c r="E94" i="18"/>
  <c r="G366" i="1" s="1"/>
  <c r="U93" i="18"/>
  <c r="R93" i="18"/>
  <c r="T365" i="1" s="1"/>
  <c r="Q93" i="18"/>
  <c r="S365" i="1" s="1"/>
  <c r="O93" i="18"/>
  <c r="Q365" i="1" s="1"/>
  <c r="M93" i="18"/>
  <c r="O365" i="1" s="1"/>
  <c r="K93" i="18"/>
  <c r="M365" i="1" s="1"/>
  <c r="I93" i="18"/>
  <c r="K365" i="1" s="1"/>
  <c r="G93" i="18"/>
  <c r="I365" i="1" s="1"/>
  <c r="E93" i="18"/>
  <c r="G365" i="1" s="1"/>
  <c r="U92" i="18"/>
  <c r="R92" i="18"/>
  <c r="T364" i="1" s="1"/>
  <c r="Q92" i="18"/>
  <c r="S364" i="1" s="1"/>
  <c r="O92" i="18"/>
  <c r="Q364" i="1" s="1"/>
  <c r="M92" i="18"/>
  <c r="O364" i="1" s="1"/>
  <c r="K92" i="18"/>
  <c r="M364" i="1" s="1"/>
  <c r="I92" i="18"/>
  <c r="K364" i="1" s="1"/>
  <c r="G92" i="18"/>
  <c r="I364" i="1" s="1"/>
  <c r="E92" i="18"/>
  <c r="G364" i="1" s="1"/>
  <c r="U91" i="18"/>
  <c r="R91" i="18"/>
  <c r="T363" i="1" s="1"/>
  <c r="Q91" i="18"/>
  <c r="S363" i="1" s="1"/>
  <c r="O91" i="18"/>
  <c r="Q363" i="1" s="1"/>
  <c r="M91" i="18"/>
  <c r="O363" i="1" s="1"/>
  <c r="K91" i="18"/>
  <c r="M363" i="1" s="1"/>
  <c r="I91" i="18"/>
  <c r="K363" i="1" s="1"/>
  <c r="G91" i="18"/>
  <c r="I363" i="1" s="1"/>
  <c r="E91" i="18"/>
  <c r="G363" i="1" s="1"/>
  <c r="U90" i="18"/>
  <c r="R90" i="18"/>
  <c r="Q90" i="18"/>
  <c r="S362" i="1" s="1"/>
  <c r="O90" i="18"/>
  <c r="Q362" i="1" s="1"/>
  <c r="M90" i="18"/>
  <c r="O362" i="1" s="1"/>
  <c r="K90" i="18"/>
  <c r="M362" i="1" s="1"/>
  <c r="I90" i="18"/>
  <c r="K362" i="1" s="1"/>
  <c r="G90" i="18"/>
  <c r="I362" i="1" s="1"/>
  <c r="E90" i="18"/>
  <c r="G362" i="1" s="1"/>
  <c r="V87" i="18"/>
  <c r="F143" i="1" s="1"/>
  <c r="S87" i="18"/>
  <c r="D143" i="1" s="1"/>
  <c r="U86" i="18"/>
  <c r="R86" i="18"/>
  <c r="T361" i="1" s="1"/>
  <c r="Q86" i="18"/>
  <c r="S361" i="1" s="1"/>
  <c r="O86" i="18"/>
  <c r="Q361" i="1" s="1"/>
  <c r="M86" i="18"/>
  <c r="O361" i="1" s="1"/>
  <c r="K86" i="18"/>
  <c r="M361" i="1" s="1"/>
  <c r="I86" i="18"/>
  <c r="K361" i="1" s="1"/>
  <c r="G86" i="18"/>
  <c r="I361" i="1" s="1"/>
  <c r="E86" i="18"/>
  <c r="G361" i="1" s="1"/>
  <c r="U85" i="18"/>
  <c r="R85" i="18"/>
  <c r="T360" i="1" s="1"/>
  <c r="Q85" i="18"/>
  <c r="S360" i="1" s="1"/>
  <c r="O85" i="18"/>
  <c r="Q360" i="1" s="1"/>
  <c r="M85" i="18"/>
  <c r="O360" i="1" s="1"/>
  <c r="K85" i="18"/>
  <c r="M360" i="1" s="1"/>
  <c r="I85" i="18"/>
  <c r="K360" i="1" s="1"/>
  <c r="G85" i="18"/>
  <c r="I360" i="1" s="1"/>
  <c r="E85" i="18"/>
  <c r="G360" i="1" s="1"/>
  <c r="U84" i="18"/>
  <c r="R84" i="18"/>
  <c r="T359" i="1" s="1"/>
  <c r="Q84" i="18"/>
  <c r="S359" i="1" s="1"/>
  <c r="O84" i="18"/>
  <c r="Q359" i="1" s="1"/>
  <c r="M84" i="18"/>
  <c r="O359" i="1" s="1"/>
  <c r="K84" i="18"/>
  <c r="M359" i="1" s="1"/>
  <c r="I84" i="18"/>
  <c r="K359" i="1" s="1"/>
  <c r="G84" i="18"/>
  <c r="I359" i="1" s="1"/>
  <c r="E84" i="18"/>
  <c r="G359" i="1" s="1"/>
  <c r="U83" i="18"/>
  <c r="R83" i="18"/>
  <c r="T358" i="1" s="1"/>
  <c r="Q83" i="18"/>
  <c r="S358" i="1" s="1"/>
  <c r="O83" i="18"/>
  <c r="Q358" i="1" s="1"/>
  <c r="M83" i="18"/>
  <c r="O358" i="1" s="1"/>
  <c r="K83" i="18"/>
  <c r="M358" i="1" s="1"/>
  <c r="I83" i="18"/>
  <c r="K358" i="1" s="1"/>
  <c r="G83" i="18"/>
  <c r="I358" i="1" s="1"/>
  <c r="E83" i="18"/>
  <c r="G358" i="1" s="1"/>
  <c r="U82" i="18"/>
  <c r="R82" i="18"/>
  <c r="T357" i="1" s="1"/>
  <c r="Q82" i="18"/>
  <c r="S357" i="1" s="1"/>
  <c r="O82" i="18"/>
  <c r="Q357" i="1" s="1"/>
  <c r="M82" i="18"/>
  <c r="O357" i="1" s="1"/>
  <c r="K82" i="18"/>
  <c r="M357" i="1" s="1"/>
  <c r="I82" i="18"/>
  <c r="K357" i="1" s="1"/>
  <c r="G82" i="18"/>
  <c r="I357" i="1" s="1"/>
  <c r="E82" i="18"/>
  <c r="G357" i="1" s="1"/>
  <c r="U81" i="18"/>
  <c r="R81" i="18"/>
  <c r="Q81" i="18"/>
  <c r="S356" i="1" s="1"/>
  <c r="O81" i="18"/>
  <c r="Q356" i="1" s="1"/>
  <c r="M81" i="18"/>
  <c r="O356" i="1" s="1"/>
  <c r="K81" i="18"/>
  <c r="M356" i="1" s="1"/>
  <c r="I81" i="18"/>
  <c r="K356" i="1" s="1"/>
  <c r="G81" i="18"/>
  <c r="I356" i="1" s="1"/>
  <c r="E81" i="18"/>
  <c r="G356" i="1" s="1"/>
  <c r="I36" i="18"/>
  <c r="AL95" i="1" s="1"/>
  <c r="I33" i="18"/>
  <c r="AJ95" i="1" s="1"/>
  <c r="AA30" i="18"/>
  <c r="AA29" i="18"/>
  <c r="I29" i="18"/>
  <c r="AI95" i="1" s="1"/>
  <c r="I22" i="18"/>
  <c r="AC95" i="1" s="1"/>
  <c r="I18" i="18"/>
  <c r="AA95" i="1" s="1"/>
  <c r="Z95" i="1"/>
  <c r="I16" i="18"/>
  <c r="Y95" i="1" s="1"/>
  <c r="K8" i="18"/>
  <c r="T2" i="18"/>
  <c r="E95" i="1" s="1"/>
  <c r="V96" i="19"/>
  <c r="F146" i="1" s="1"/>
  <c r="S96" i="19"/>
  <c r="D146" i="1" s="1"/>
  <c r="U95" i="19"/>
  <c r="R95" i="19"/>
  <c r="T379" i="1" s="1"/>
  <c r="Q95" i="19"/>
  <c r="S379" i="1" s="1"/>
  <c r="O95" i="19"/>
  <c r="Q379" i="1" s="1"/>
  <c r="M95" i="19"/>
  <c r="O379" i="1" s="1"/>
  <c r="K95" i="19"/>
  <c r="M379" i="1" s="1"/>
  <c r="I95" i="19"/>
  <c r="K379" i="1" s="1"/>
  <c r="G95" i="19"/>
  <c r="I379" i="1" s="1"/>
  <c r="E95" i="19"/>
  <c r="G379" i="1" s="1"/>
  <c r="U94" i="19"/>
  <c r="R94" i="19"/>
  <c r="T378" i="1" s="1"/>
  <c r="Q94" i="19"/>
  <c r="S378" i="1" s="1"/>
  <c r="O94" i="19"/>
  <c r="Q378" i="1" s="1"/>
  <c r="M94" i="19"/>
  <c r="O378" i="1" s="1"/>
  <c r="K94" i="19"/>
  <c r="M378" i="1" s="1"/>
  <c r="I94" i="19"/>
  <c r="K378" i="1" s="1"/>
  <c r="G94" i="19"/>
  <c r="I378" i="1" s="1"/>
  <c r="E94" i="19"/>
  <c r="G378" i="1" s="1"/>
  <c r="U93" i="19"/>
  <c r="R93" i="19"/>
  <c r="T377" i="1" s="1"/>
  <c r="Q93" i="19"/>
  <c r="S377" i="1" s="1"/>
  <c r="O93" i="19"/>
  <c r="Q377" i="1" s="1"/>
  <c r="M93" i="19"/>
  <c r="O377" i="1" s="1"/>
  <c r="K93" i="19"/>
  <c r="M377" i="1" s="1"/>
  <c r="I93" i="19"/>
  <c r="K377" i="1" s="1"/>
  <c r="G93" i="19"/>
  <c r="I377" i="1" s="1"/>
  <c r="E93" i="19"/>
  <c r="G377" i="1" s="1"/>
  <c r="U92" i="19"/>
  <c r="R92" i="19"/>
  <c r="T376" i="1" s="1"/>
  <c r="Q92" i="19"/>
  <c r="S376" i="1" s="1"/>
  <c r="O92" i="19"/>
  <c r="Q376" i="1" s="1"/>
  <c r="M92" i="19"/>
  <c r="O376" i="1" s="1"/>
  <c r="K92" i="19"/>
  <c r="M376" i="1" s="1"/>
  <c r="I92" i="19"/>
  <c r="K376" i="1" s="1"/>
  <c r="G92" i="19"/>
  <c r="I376" i="1" s="1"/>
  <c r="E92" i="19"/>
  <c r="G376" i="1" s="1"/>
  <c r="U91" i="19"/>
  <c r="R91" i="19"/>
  <c r="T375" i="1" s="1"/>
  <c r="Q91" i="19"/>
  <c r="S375" i="1" s="1"/>
  <c r="O91" i="19"/>
  <c r="Q375" i="1" s="1"/>
  <c r="M91" i="19"/>
  <c r="O375" i="1" s="1"/>
  <c r="K91" i="19"/>
  <c r="M375" i="1" s="1"/>
  <c r="I91" i="19"/>
  <c r="K375" i="1" s="1"/>
  <c r="G91" i="19"/>
  <c r="I375" i="1" s="1"/>
  <c r="E91" i="19"/>
  <c r="G375" i="1" s="1"/>
  <c r="U90" i="19"/>
  <c r="R90" i="19"/>
  <c r="Q90" i="19"/>
  <c r="S374" i="1" s="1"/>
  <c r="O90" i="19"/>
  <c r="Q374" i="1" s="1"/>
  <c r="M90" i="19"/>
  <c r="O374" i="1" s="1"/>
  <c r="K90" i="19"/>
  <c r="M374" i="1" s="1"/>
  <c r="I90" i="19"/>
  <c r="K374" i="1" s="1"/>
  <c r="G90" i="19"/>
  <c r="I374" i="1" s="1"/>
  <c r="E90" i="19"/>
  <c r="G374" i="1" s="1"/>
  <c r="V87" i="19"/>
  <c r="F145" i="1" s="1"/>
  <c r="S87" i="19"/>
  <c r="D145" i="1" s="1"/>
  <c r="U86" i="19"/>
  <c r="R86" i="19"/>
  <c r="T373" i="1" s="1"/>
  <c r="Q86" i="19"/>
  <c r="S373" i="1" s="1"/>
  <c r="O86" i="19"/>
  <c r="Q373" i="1" s="1"/>
  <c r="M86" i="19"/>
  <c r="O373" i="1" s="1"/>
  <c r="K86" i="19"/>
  <c r="M373" i="1" s="1"/>
  <c r="I86" i="19"/>
  <c r="K373" i="1" s="1"/>
  <c r="G86" i="19"/>
  <c r="I373" i="1" s="1"/>
  <c r="E86" i="19"/>
  <c r="G373" i="1" s="1"/>
  <c r="U85" i="19"/>
  <c r="R85" i="19"/>
  <c r="T372" i="1" s="1"/>
  <c r="Q85" i="19"/>
  <c r="S372" i="1" s="1"/>
  <c r="O85" i="19"/>
  <c r="Q372" i="1" s="1"/>
  <c r="M85" i="19"/>
  <c r="O372" i="1" s="1"/>
  <c r="K85" i="19"/>
  <c r="M372" i="1" s="1"/>
  <c r="I85" i="19"/>
  <c r="K372" i="1" s="1"/>
  <c r="G85" i="19"/>
  <c r="I372" i="1" s="1"/>
  <c r="E85" i="19"/>
  <c r="G372" i="1" s="1"/>
  <c r="U84" i="19"/>
  <c r="R84" i="19"/>
  <c r="T371" i="1" s="1"/>
  <c r="Q84" i="19"/>
  <c r="S371" i="1" s="1"/>
  <c r="O84" i="19"/>
  <c r="Q371" i="1" s="1"/>
  <c r="M84" i="19"/>
  <c r="O371" i="1" s="1"/>
  <c r="K84" i="19"/>
  <c r="M371" i="1" s="1"/>
  <c r="I84" i="19"/>
  <c r="K371" i="1" s="1"/>
  <c r="G84" i="19"/>
  <c r="I371" i="1" s="1"/>
  <c r="E84" i="19"/>
  <c r="G371" i="1" s="1"/>
  <c r="U83" i="19"/>
  <c r="R83" i="19"/>
  <c r="T370" i="1" s="1"/>
  <c r="Q83" i="19"/>
  <c r="S370" i="1" s="1"/>
  <c r="O83" i="19"/>
  <c r="Q370" i="1" s="1"/>
  <c r="M83" i="19"/>
  <c r="O370" i="1" s="1"/>
  <c r="K83" i="19"/>
  <c r="M370" i="1" s="1"/>
  <c r="I83" i="19"/>
  <c r="K370" i="1" s="1"/>
  <c r="G83" i="19"/>
  <c r="I370" i="1" s="1"/>
  <c r="E83" i="19"/>
  <c r="G370" i="1" s="1"/>
  <c r="U82" i="19"/>
  <c r="R82" i="19"/>
  <c r="T369" i="1" s="1"/>
  <c r="Q82" i="19"/>
  <c r="S369" i="1" s="1"/>
  <c r="O82" i="19"/>
  <c r="Q369" i="1" s="1"/>
  <c r="M82" i="19"/>
  <c r="O369" i="1" s="1"/>
  <c r="K82" i="19"/>
  <c r="M369" i="1" s="1"/>
  <c r="I82" i="19"/>
  <c r="K369" i="1" s="1"/>
  <c r="G82" i="19"/>
  <c r="I369" i="1" s="1"/>
  <c r="E82" i="19"/>
  <c r="G369" i="1" s="1"/>
  <c r="U81" i="19"/>
  <c r="R81" i="19"/>
  <c r="Q81" i="19"/>
  <c r="S368" i="1" s="1"/>
  <c r="O81" i="19"/>
  <c r="Q368" i="1" s="1"/>
  <c r="M81" i="19"/>
  <c r="O368" i="1" s="1"/>
  <c r="K81" i="19"/>
  <c r="M368" i="1" s="1"/>
  <c r="I81" i="19"/>
  <c r="K368" i="1" s="1"/>
  <c r="G81" i="19"/>
  <c r="I368" i="1" s="1"/>
  <c r="E81" i="19"/>
  <c r="G368" i="1" s="1"/>
  <c r="I36" i="19"/>
  <c r="AL96" i="1" s="1"/>
  <c r="I33" i="19"/>
  <c r="AJ96" i="1" s="1"/>
  <c r="AA30" i="19"/>
  <c r="AA29" i="19"/>
  <c r="I29" i="19"/>
  <c r="AI96" i="1" s="1"/>
  <c r="I22" i="19"/>
  <c r="AC96" i="1" s="1"/>
  <c r="I18" i="19"/>
  <c r="AA96" i="1" s="1"/>
  <c r="Z96" i="1"/>
  <c r="I16" i="19"/>
  <c r="Y96" i="1" s="1"/>
  <c r="K8" i="19"/>
  <c r="T2" i="19"/>
  <c r="E96" i="1" s="1"/>
  <c r="V96" i="20"/>
  <c r="F148" i="1" s="1"/>
  <c r="S96" i="20"/>
  <c r="D148" i="1" s="1"/>
  <c r="U95" i="20"/>
  <c r="R95" i="20"/>
  <c r="T391" i="1" s="1"/>
  <c r="Q95" i="20"/>
  <c r="S391" i="1" s="1"/>
  <c r="O95" i="20"/>
  <c r="Q391" i="1" s="1"/>
  <c r="M95" i="20"/>
  <c r="O391" i="1" s="1"/>
  <c r="K95" i="20"/>
  <c r="M391" i="1" s="1"/>
  <c r="I95" i="20"/>
  <c r="K391" i="1" s="1"/>
  <c r="G95" i="20"/>
  <c r="I391" i="1" s="1"/>
  <c r="E95" i="20"/>
  <c r="G391" i="1" s="1"/>
  <c r="U94" i="20"/>
  <c r="R94" i="20"/>
  <c r="T390" i="1" s="1"/>
  <c r="Q94" i="20"/>
  <c r="S390" i="1" s="1"/>
  <c r="O94" i="20"/>
  <c r="Q390" i="1" s="1"/>
  <c r="M94" i="20"/>
  <c r="O390" i="1" s="1"/>
  <c r="K94" i="20"/>
  <c r="M390" i="1" s="1"/>
  <c r="I94" i="20"/>
  <c r="K390" i="1" s="1"/>
  <c r="G94" i="20"/>
  <c r="I390" i="1" s="1"/>
  <c r="E94" i="20"/>
  <c r="G390" i="1" s="1"/>
  <c r="U93" i="20"/>
  <c r="R93" i="20"/>
  <c r="T389" i="1" s="1"/>
  <c r="Q93" i="20"/>
  <c r="S389" i="1" s="1"/>
  <c r="O93" i="20"/>
  <c r="Q389" i="1" s="1"/>
  <c r="M93" i="20"/>
  <c r="O389" i="1" s="1"/>
  <c r="K93" i="20"/>
  <c r="M389" i="1" s="1"/>
  <c r="I93" i="20"/>
  <c r="K389" i="1" s="1"/>
  <c r="G93" i="20"/>
  <c r="I389" i="1" s="1"/>
  <c r="E93" i="20"/>
  <c r="G389" i="1" s="1"/>
  <c r="U92" i="20"/>
  <c r="R92" i="20"/>
  <c r="T388" i="1" s="1"/>
  <c r="Q92" i="20"/>
  <c r="S388" i="1" s="1"/>
  <c r="O92" i="20"/>
  <c r="Q388" i="1" s="1"/>
  <c r="M92" i="20"/>
  <c r="O388" i="1" s="1"/>
  <c r="K92" i="20"/>
  <c r="M388" i="1" s="1"/>
  <c r="I92" i="20"/>
  <c r="K388" i="1" s="1"/>
  <c r="G92" i="20"/>
  <c r="I388" i="1" s="1"/>
  <c r="E92" i="20"/>
  <c r="G388" i="1" s="1"/>
  <c r="U91" i="20"/>
  <c r="R91" i="20"/>
  <c r="T387" i="1" s="1"/>
  <c r="Q91" i="20"/>
  <c r="S387" i="1" s="1"/>
  <c r="O91" i="20"/>
  <c r="Q387" i="1" s="1"/>
  <c r="M91" i="20"/>
  <c r="O387" i="1" s="1"/>
  <c r="K91" i="20"/>
  <c r="M387" i="1" s="1"/>
  <c r="I91" i="20"/>
  <c r="K387" i="1" s="1"/>
  <c r="G91" i="20"/>
  <c r="I387" i="1" s="1"/>
  <c r="E91" i="20"/>
  <c r="G387" i="1" s="1"/>
  <c r="U90" i="20"/>
  <c r="R90" i="20"/>
  <c r="Q90" i="20"/>
  <c r="S386" i="1" s="1"/>
  <c r="O90" i="20"/>
  <c r="Q386" i="1" s="1"/>
  <c r="M90" i="20"/>
  <c r="O386" i="1" s="1"/>
  <c r="K90" i="20"/>
  <c r="M386" i="1" s="1"/>
  <c r="I90" i="20"/>
  <c r="K386" i="1" s="1"/>
  <c r="G90" i="20"/>
  <c r="I386" i="1" s="1"/>
  <c r="E90" i="20"/>
  <c r="G386" i="1" s="1"/>
  <c r="V87" i="20"/>
  <c r="F147" i="1" s="1"/>
  <c r="S87" i="20"/>
  <c r="D147" i="1" s="1"/>
  <c r="U86" i="20"/>
  <c r="R86" i="20"/>
  <c r="T385" i="1" s="1"/>
  <c r="Q86" i="20"/>
  <c r="S385" i="1" s="1"/>
  <c r="O86" i="20"/>
  <c r="Q385" i="1" s="1"/>
  <c r="M86" i="20"/>
  <c r="O385" i="1" s="1"/>
  <c r="K86" i="20"/>
  <c r="M385" i="1" s="1"/>
  <c r="I86" i="20"/>
  <c r="K385" i="1" s="1"/>
  <c r="G86" i="20"/>
  <c r="I385" i="1" s="1"/>
  <c r="E86" i="20"/>
  <c r="G385" i="1" s="1"/>
  <c r="U85" i="20"/>
  <c r="R85" i="20"/>
  <c r="T384" i="1" s="1"/>
  <c r="Q85" i="20"/>
  <c r="S384" i="1" s="1"/>
  <c r="O85" i="20"/>
  <c r="Q384" i="1" s="1"/>
  <c r="M85" i="20"/>
  <c r="O384" i="1" s="1"/>
  <c r="K85" i="20"/>
  <c r="M384" i="1" s="1"/>
  <c r="I85" i="20"/>
  <c r="K384" i="1" s="1"/>
  <c r="G85" i="20"/>
  <c r="I384" i="1" s="1"/>
  <c r="E85" i="20"/>
  <c r="G384" i="1" s="1"/>
  <c r="U84" i="20"/>
  <c r="R84" i="20"/>
  <c r="T383" i="1" s="1"/>
  <c r="Q84" i="20"/>
  <c r="S383" i="1" s="1"/>
  <c r="O84" i="20"/>
  <c r="Q383" i="1" s="1"/>
  <c r="M84" i="20"/>
  <c r="O383" i="1" s="1"/>
  <c r="K84" i="20"/>
  <c r="M383" i="1" s="1"/>
  <c r="I84" i="20"/>
  <c r="K383" i="1" s="1"/>
  <c r="G84" i="20"/>
  <c r="I383" i="1" s="1"/>
  <c r="E84" i="20"/>
  <c r="G383" i="1" s="1"/>
  <c r="U83" i="20"/>
  <c r="R83" i="20"/>
  <c r="T382" i="1" s="1"/>
  <c r="Q83" i="20"/>
  <c r="S382" i="1" s="1"/>
  <c r="O83" i="20"/>
  <c r="Q382" i="1" s="1"/>
  <c r="M83" i="20"/>
  <c r="O382" i="1" s="1"/>
  <c r="K83" i="20"/>
  <c r="M382" i="1" s="1"/>
  <c r="I83" i="20"/>
  <c r="K382" i="1" s="1"/>
  <c r="G83" i="20"/>
  <c r="I382" i="1" s="1"/>
  <c r="E83" i="20"/>
  <c r="G382" i="1" s="1"/>
  <c r="U82" i="20"/>
  <c r="R82" i="20"/>
  <c r="T381" i="1" s="1"/>
  <c r="Q82" i="20"/>
  <c r="S381" i="1" s="1"/>
  <c r="O82" i="20"/>
  <c r="Q381" i="1" s="1"/>
  <c r="M82" i="20"/>
  <c r="O381" i="1" s="1"/>
  <c r="K82" i="20"/>
  <c r="M381" i="1" s="1"/>
  <c r="I82" i="20"/>
  <c r="K381" i="1" s="1"/>
  <c r="G82" i="20"/>
  <c r="I381" i="1" s="1"/>
  <c r="E82" i="20"/>
  <c r="G381" i="1" s="1"/>
  <c r="U81" i="20"/>
  <c r="R81" i="20"/>
  <c r="Q81" i="20"/>
  <c r="S380" i="1" s="1"/>
  <c r="O81" i="20"/>
  <c r="Q380" i="1" s="1"/>
  <c r="M81" i="20"/>
  <c r="O380" i="1" s="1"/>
  <c r="K81" i="20"/>
  <c r="M380" i="1" s="1"/>
  <c r="I81" i="20"/>
  <c r="K380" i="1" s="1"/>
  <c r="G81" i="20"/>
  <c r="I380" i="1" s="1"/>
  <c r="E81" i="20"/>
  <c r="G380" i="1" s="1"/>
  <c r="I36" i="20"/>
  <c r="AL97" i="1" s="1"/>
  <c r="I33" i="20"/>
  <c r="AJ97" i="1" s="1"/>
  <c r="AA30" i="20"/>
  <c r="AA29" i="20"/>
  <c r="I29" i="20"/>
  <c r="AI97" i="1" s="1"/>
  <c r="I22" i="20"/>
  <c r="AC97" i="1" s="1"/>
  <c r="I18" i="20"/>
  <c r="AA97" i="1" s="1"/>
  <c r="Z97" i="1"/>
  <c r="I16" i="20"/>
  <c r="Y97" i="1" s="1"/>
  <c r="K8" i="20"/>
  <c r="T2" i="20"/>
  <c r="E97" i="1" s="1"/>
  <c r="V96" i="21"/>
  <c r="F150" i="1" s="1"/>
  <c r="S96" i="21"/>
  <c r="D150" i="1" s="1"/>
  <c r="U95" i="21"/>
  <c r="R95" i="21"/>
  <c r="T403" i="1" s="1"/>
  <c r="Q95" i="21"/>
  <c r="S403" i="1" s="1"/>
  <c r="O95" i="21"/>
  <c r="Q403" i="1" s="1"/>
  <c r="M95" i="21"/>
  <c r="O403" i="1" s="1"/>
  <c r="K95" i="21"/>
  <c r="M403" i="1" s="1"/>
  <c r="I95" i="21"/>
  <c r="K403" i="1" s="1"/>
  <c r="G95" i="21"/>
  <c r="I403" i="1" s="1"/>
  <c r="E95" i="21"/>
  <c r="G403" i="1" s="1"/>
  <c r="U94" i="21"/>
  <c r="R94" i="21"/>
  <c r="T402" i="1" s="1"/>
  <c r="Q94" i="21"/>
  <c r="S402" i="1" s="1"/>
  <c r="O94" i="21"/>
  <c r="Q402" i="1" s="1"/>
  <c r="M94" i="21"/>
  <c r="O402" i="1" s="1"/>
  <c r="K94" i="21"/>
  <c r="M402" i="1" s="1"/>
  <c r="I94" i="21"/>
  <c r="K402" i="1" s="1"/>
  <c r="G94" i="21"/>
  <c r="I402" i="1" s="1"/>
  <c r="E94" i="21"/>
  <c r="G402" i="1" s="1"/>
  <c r="U93" i="21"/>
  <c r="R93" i="21"/>
  <c r="T401" i="1" s="1"/>
  <c r="Q93" i="21"/>
  <c r="S401" i="1" s="1"/>
  <c r="O93" i="21"/>
  <c r="Q401" i="1" s="1"/>
  <c r="M93" i="21"/>
  <c r="O401" i="1" s="1"/>
  <c r="K93" i="21"/>
  <c r="M401" i="1" s="1"/>
  <c r="I93" i="21"/>
  <c r="K401" i="1" s="1"/>
  <c r="G93" i="21"/>
  <c r="I401" i="1" s="1"/>
  <c r="E93" i="21"/>
  <c r="G401" i="1" s="1"/>
  <c r="U92" i="21"/>
  <c r="R92" i="21"/>
  <c r="T400" i="1" s="1"/>
  <c r="Q92" i="21"/>
  <c r="S400" i="1" s="1"/>
  <c r="O92" i="21"/>
  <c r="Q400" i="1" s="1"/>
  <c r="M92" i="21"/>
  <c r="O400" i="1" s="1"/>
  <c r="K92" i="21"/>
  <c r="M400" i="1" s="1"/>
  <c r="I92" i="21"/>
  <c r="K400" i="1" s="1"/>
  <c r="G92" i="21"/>
  <c r="I400" i="1" s="1"/>
  <c r="E92" i="21"/>
  <c r="G400" i="1" s="1"/>
  <c r="U91" i="21"/>
  <c r="R91" i="21"/>
  <c r="T399" i="1" s="1"/>
  <c r="Q91" i="21"/>
  <c r="S399" i="1" s="1"/>
  <c r="O91" i="21"/>
  <c r="Q399" i="1" s="1"/>
  <c r="M91" i="21"/>
  <c r="O399" i="1" s="1"/>
  <c r="K91" i="21"/>
  <c r="M399" i="1" s="1"/>
  <c r="I91" i="21"/>
  <c r="K399" i="1" s="1"/>
  <c r="G91" i="21"/>
  <c r="I399" i="1" s="1"/>
  <c r="E91" i="21"/>
  <c r="G399" i="1" s="1"/>
  <c r="U90" i="21"/>
  <c r="R90" i="21"/>
  <c r="Q90" i="21"/>
  <c r="S398" i="1" s="1"/>
  <c r="O90" i="21"/>
  <c r="Q398" i="1" s="1"/>
  <c r="M90" i="21"/>
  <c r="O398" i="1" s="1"/>
  <c r="K90" i="21"/>
  <c r="M398" i="1" s="1"/>
  <c r="I90" i="21"/>
  <c r="K398" i="1" s="1"/>
  <c r="G90" i="21"/>
  <c r="I398" i="1" s="1"/>
  <c r="E90" i="21"/>
  <c r="G398" i="1" s="1"/>
  <c r="V87" i="21"/>
  <c r="F149" i="1" s="1"/>
  <c r="S87" i="21"/>
  <c r="D149" i="1" s="1"/>
  <c r="U86" i="21"/>
  <c r="R86" i="21"/>
  <c r="T397" i="1" s="1"/>
  <c r="Q86" i="21"/>
  <c r="S397" i="1" s="1"/>
  <c r="O86" i="21"/>
  <c r="Q397" i="1" s="1"/>
  <c r="M86" i="21"/>
  <c r="O397" i="1" s="1"/>
  <c r="K86" i="21"/>
  <c r="M397" i="1" s="1"/>
  <c r="I86" i="21"/>
  <c r="K397" i="1" s="1"/>
  <c r="G86" i="21"/>
  <c r="I397" i="1" s="1"/>
  <c r="E86" i="21"/>
  <c r="G397" i="1" s="1"/>
  <c r="U85" i="21"/>
  <c r="R85" i="21"/>
  <c r="T396" i="1" s="1"/>
  <c r="Q85" i="21"/>
  <c r="S396" i="1" s="1"/>
  <c r="O85" i="21"/>
  <c r="Q396" i="1" s="1"/>
  <c r="M85" i="21"/>
  <c r="O396" i="1" s="1"/>
  <c r="K85" i="21"/>
  <c r="M396" i="1" s="1"/>
  <c r="I85" i="21"/>
  <c r="K396" i="1" s="1"/>
  <c r="G85" i="21"/>
  <c r="I396" i="1" s="1"/>
  <c r="E85" i="21"/>
  <c r="G396" i="1" s="1"/>
  <c r="U84" i="21"/>
  <c r="R84" i="21"/>
  <c r="T395" i="1" s="1"/>
  <c r="Q84" i="21"/>
  <c r="S395" i="1" s="1"/>
  <c r="O84" i="21"/>
  <c r="Q395" i="1" s="1"/>
  <c r="M84" i="21"/>
  <c r="O395" i="1" s="1"/>
  <c r="K84" i="21"/>
  <c r="M395" i="1" s="1"/>
  <c r="I84" i="21"/>
  <c r="K395" i="1" s="1"/>
  <c r="G84" i="21"/>
  <c r="I395" i="1" s="1"/>
  <c r="E84" i="21"/>
  <c r="G395" i="1" s="1"/>
  <c r="U83" i="21"/>
  <c r="R83" i="21"/>
  <c r="T394" i="1" s="1"/>
  <c r="Q83" i="21"/>
  <c r="S394" i="1" s="1"/>
  <c r="O83" i="21"/>
  <c r="Q394" i="1" s="1"/>
  <c r="M83" i="21"/>
  <c r="O394" i="1" s="1"/>
  <c r="K83" i="21"/>
  <c r="M394" i="1" s="1"/>
  <c r="I83" i="21"/>
  <c r="K394" i="1" s="1"/>
  <c r="G83" i="21"/>
  <c r="I394" i="1" s="1"/>
  <c r="E83" i="21"/>
  <c r="G394" i="1" s="1"/>
  <c r="U82" i="21"/>
  <c r="R82" i="21"/>
  <c r="T393" i="1" s="1"/>
  <c r="Q82" i="21"/>
  <c r="S393" i="1" s="1"/>
  <c r="O82" i="21"/>
  <c r="Q393" i="1" s="1"/>
  <c r="M82" i="21"/>
  <c r="O393" i="1" s="1"/>
  <c r="K82" i="21"/>
  <c r="M393" i="1" s="1"/>
  <c r="I82" i="21"/>
  <c r="K393" i="1" s="1"/>
  <c r="G82" i="21"/>
  <c r="I393" i="1" s="1"/>
  <c r="E82" i="21"/>
  <c r="G393" i="1" s="1"/>
  <c r="U81" i="21"/>
  <c r="R81" i="21"/>
  <c r="Q81" i="21"/>
  <c r="S392" i="1" s="1"/>
  <c r="O81" i="21"/>
  <c r="Q392" i="1" s="1"/>
  <c r="M81" i="21"/>
  <c r="O392" i="1" s="1"/>
  <c r="K81" i="21"/>
  <c r="M392" i="1" s="1"/>
  <c r="I81" i="21"/>
  <c r="K392" i="1" s="1"/>
  <c r="G81" i="21"/>
  <c r="I392" i="1" s="1"/>
  <c r="E81" i="21"/>
  <c r="G392" i="1" s="1"/>
  <c r="I36" i="21"/>
  <c r="AL98" i="1" s="1"/>
  <c r="I33" i="21"/>
  <c r="AJ98" i="1" s="1"/>
  <c r="AA30" i="21"/>
  <c r="AA29" i="21"/>
  <c r="I29" i="21"/>
  <c r="AI98" i="1" s="1"/>
  <c r="I22" i="21"/>
  <c r="AC98" i="1" s="1"/>
  <c r="I18" i="21"/>
  <c r="AA98" i="1" s="1"/>
  <c r="Z98" i="1"/>
  <c r="I16" i="21"/>
  <c r="Y98" i="1" s="1"/>
  <c r="K8" i="21"/>
  <c r="T2" i="21"/>
  <c r="E98" i="1" s="1"/>
  <c r="V96" i="22"/>
  <c r="F152" i="1" s="1"/>
  <c r="S96" i="22"/>
  <c r="D152" i="1" s="1"/>
  <c r="U95" i="22"/>
  <c r="R95" i="22"/>
  <c r="T415" i="1" s="1"/>
  <c r="Q95" i="22"/>
  <c r="S415" i="1" s="1"/>
  <c r="O95" i="22"/>
  <c r="Q415" i="1" s="1"/>
  <c r="M95" i="22"/>
  <c r="O415" i="1" s="1"/>
  <c r="K95" i="22"/>
  <c r="M415" i="1" s="1"/>
  <c r="I95" i="22"/>
  <c r="K415" i="1" s="1"/>
  <c r="G95" i="22"/>
  <c r="I415" i="1" s="1"/>
  <c r="E95" i="22"/>
  <c r="G415" i="1" s="1"/>
  <c r="U94" i="22"/>
  <c r="R94" i="22"/>
  <c r="T414" i="1" s="1"/>
  <c r="Q94" i="22"/>
  <c r="S414" i="1" s="1"/>
  <c r="O94" i="22"/>
  <c r="Q414" i="1" s="1"/>
  <c r="M94" i="22"/>
  <c r="O414" i="1" s="1"/>
  <c r="K94" i="22"/>
  <c r="M414" i="1" s="1"/>
  <c r="I94" i="22"/>
  <c r="K414" i="1" s="1"/>
  <c r="G94" i="22"/>
  <c r="I414" i="1" s="1"/>
  <c r="E94" i="22"/>
  <c r="G414" i="1" s="1"/>
  <c r="U93" i="22"/>
  <c r="R93" i="22"/>
  <c r="T413" i="1" s="1"/>
  <c r="Q93" i="22"/>
  <c r="S413" i="1" s="1"/>
  <c r="O93" i="22"/>
  <c r="Q413" i="1" s="1"/>
  <c r="M93" i="22"/>
  <c r="O413" i="1" s="1"/>
  <c r="K93" i="22"/>
  <c r="M413" i="1" s="1"/>
  <c r="I93" i="22"/>
  <c r="K413" i="1" s="1"/>
  <c r="G93" i="22"/>
  <c r="I413" i="1" s="1"/>
  <c r="E93" i="22"/>
  <c r="G413" i="1" s="1"/>
  <c r="U92" i="22"/>
  <c r="R92" i="22"/>
  <c r="T412" i="1" s="1"/>
  <c r="Q92" i="22"/>
  <c r="S412" i="1" s="1"/>
  <c r="O92" i="22"/>
  <c r="Q412" i="1" s="1"/>
  <c r="M92" i="22"/>
  <c r="O412" i="1" s="1"/>
  <c r="K92" i="22"/>
  <c r="M412" i="1" s="1"/>
  <c r="I92" i="22"/>
  <c r="K412" i="1" s="1"/>
  <c r="G92" i="22"/>
  <c r="I412" i="1" s="1"/>
  <c r="E92" i="22"/>
  <c r="G412" i="1" s="1"/>
  <c r="U91" i="22"/>
  <c r="R91" i="22"/>
  <c r="T411" i="1" s="1"/>
  <c r="Q91" i="22"/>
  <c r="S411" i="1" s="1"/>
  <c r="O91" i="22"/>
  <c r="Q411" i="1" s="1"/>
  <c r="M91" i="22"/>
  <c r="O411" i="1" s="1"/>
  <c r="K91" i="22"/>
  <c r="M411" i="1" s="1"/>
  <c r="I91" i="22"/>
  <c r="K411" i="1" s="1"/>
  <c r="G91" i="22"/>
  <c r="I411" i="1" s="1"/>
  <c r="E91" i="22"/>
  <c r="G411" i="1" s="1"/>
  <c r="U90" i="22"/>
  <c r="R90" i="22"/>
  <c r="Q90" i="22"/>
  <c r="S410" i="1" s="1"/>
  <c r="O90" i="22"/>
  <c r="Q410" i="1" s="1"/>
  <c r="M90" i="22"/>
  <c r="O410" i="1" s="1"/>
  <c r="K90" i="22"/>
  <c r="M410" i="1" s="1"/>
  <c r="I90" i="22"/>
  <c r="K410" i="1" s="1"/>
  <c r="G90" i="22"/>
  <c r="I410" i="1" s="1"/>
  <c r="E90" i="22"/>
  <c r="G410" i="1" s="1"/>
  <c r="V87" i="22"/>
  <c r="F151" i="1" s="1"/>
  <c r="S87" i="22"/>
  <c r="D151" i="1" s="1"/>
  <c r="U86" i="22"/>
  <c r="R86" i="22"/>
  <c r="T409" i="1" s="1"/>
  <c r="Q86" i="22"/>
  <c r="S409" i="1" s="1"/>
  <c r="O86" i="22"/>
  <c r="Q409" i="1" s="1"/>
  <c r="M86" i="22"/>
  <c r="O409" i="1" s="1"/>
  <c r="K86" i="22"/>
  <c r="M409" i="1" s="1"/>
  <c r="I86" i="22"/>
  <c r="K409" i="1" s="1"/>
  <c r="G86" i="22"/>
  <c r="I409" i="1" s="1"/>
  <c r="E86" i="22"/>
  <c r="G409" i="1" s="1"/>
  <c r="U85" i="22"/>
  <c r="R85" i="22"/>
  <c r="T408" i="1" s="1"/>
  <c r="Q85" i="22"/>
  <c r="S408" i="1" s="1"/>
  <c r="O85" i="22"/>
  <c r="Q408" i="1" s="1"/>
  <c r="M85" i="22"/>
  <c r="O408" i="1" s="1"/>
  <c r="K85" i="22"/>
  <c r="M408" i="1" s="1"/>
  <c r="I85" i="22"/>
  <c r="K408" i="1" s="1"/>
  <c r="G85" i="22"/>
  <c r="I408" i="1" s="1"/>
  <c r="E85" i="22"/>
  <c r="G408" i="1" s="1"/>
  <c r="U84" i="22"/>
  <c r="R84" i="22"/>
  <c r="T407" i="1" s="1"/>
  <c r="Q84" i="22"/>
  <c r="S407" i="1" s="1"/>
  <c r="O84" i="22"/>
  <c r="Q407" i="1" s="1"/>
  <c r="M84" i="22"/>
  <c r="O407" i="1" s="1"/>
  <c r="K84" i="22"/>
  <c r="M407" i="1" s="1"/>
  <c r="I84" i="22"/>
  <c r="K407" i="1" s="1"/>
  <c r="G84" i="22"/>
  <c r="I407" i="1" s="1"/>
  <c r="E84" i="22"/>
  <c r="G407" i="1" s="1"/>
  <c r="U83" i="22"/>
  <c r="R83" i="22"/>
  <c r="T406" i="1" s="1"/>
  <c r="Q83" i="22"/>
  <c r="S406" i="1" s="1"/>
  <c r="O83" i="22"/>
  <c r="Q406" i="1" s="1"/>
  <c r="M83" i="22"/>
  <c r="O406" i="1" s="1"/>
  <c r="K83" i="22"/>
  <c r="M406" i="1" s="1"/>
  <c r="I83" i="22"/>
  <c r="K406" i="1" s="1"/>
  <c r="G83" i="22"/>
  <c r="I406" i="1" s="1"/>
  <c r="E83" i="22"/>
  <c r="G406" i="1" s="1"/>
  <c r="U82" i="22"/>
  <c r="R82" i="22"/>
  <c r="T405" i="1" s="1"/>
  <c r="Q82" i="22"/>
  <c r="S405" i="1" s="1"/>
  <c r="O82" i="22"/>
  <c r="Q405" i="1" s="1"/>
  <c r="M82" i="22"/>
  <c r="O405" i="1" s="1"/>
  <c r="K82" i="22"/>
  <c r="M405" i="1" s="1"/>
  <c r="I82" i="22"/>
  <c r="K405" i="1" s="1"/>
  <c r="G82" i="22"/>
  <c r="I405" i="1" s="1"/>
  <c r="E82" i="22"/>
  <c r="G405" i="1" s="1"/>
  <c r="U81" i="22"/>
  <c r="R81" i="22"/>
  <c r="Q81" i="22"/>
  <c r="S404" i="1" s="1"/>
  <c r="O81" i="22"/>
  <c r="Q404" i="1" s="1"/>
  <c r="M81" i="22"/>
  <c r="O404" i="1" s="1"/>
  <c r="K81" i="22"/>
  <c r="M404" i="1" s="1"/>
  <c r="I81" i="22"/>
  <c r="K404" i="1" s="1"/>
  <c r="G81" i="22"/>
  <c r="I404" i="1" s="1"/>
  <c r="E81" i="22"/>
  <c r="G404" i="1" s="1"/>
  <c r="I36" i="22"/>
  <c r="AL99" i="1" s="1"/>
  <c r="I33" i="22"/>
  <c r="AJ99" i="1" s="1"/>
  <c r="AA30" i="22"/>
  <c r="AA29" i="22"/>
  <c r="I29" i="22"/>
  <c r="AI99" i="1" s="1"/>
  <c r="I22" i="22"/>
  <c r="AC99" i="1" s="1"/>
  <c r="I18" i="22"/>
  <c r="AA99" i="1" s="1"/>
  <c r="Z99" i="1"/>
  <c r="I16" i="22"/>
  <c r="Y99" i="1" s="1"/>
  <c r="K8" i="22"/>
  <c r="T2" i="22"/>
  <c r="E99" i="1" s="1"/>
  <c r="V96" i="23"/>
  <c r="F154" i="1" s="1"/>
  <c r="S96" i="23"/>
  <c r="D154" i="1" s="1"/>
  <c r="U95" i="23"/>
  <c r="R95" i="23"/>
  <c r="T427" i="1" s="1"/>
  <c r="Q95" i="23"/>
  <c r="S427" i="1" s="1"/>
  <c r="O95" i="23"/>
  <c r="Q427" i="1" s="1"/>
  <c r="M95" i="23"/>
  <c r="O427" i="1" s="1"/>
  <c r="K95" i="23"/>
  <c r="M427" i="1" s="1"/>
  <c r="I95" i="23"/>
  <c r="K427" i="1" s="1"/>
  <c r="G95" i="23"/>
  <c r="I427" i="1" s="1"/>
  <c r="E95" i="23"/>
  <c r="G427" i="1" s="1"/>
  <c r="U94" i="23"/>
  <c r="R94" i="23"/>
  <c r="T426" i="1" s="1"/>
  <c r="Q94" i="23"/>
  <c r="S426" i="1" s="1"/>
  <c r="O94" i="23"/>
  <c r="Q426" i="1" s="1"/>
  <c r="M94" i="23"/>
  <c r="O426" i="1" s="1"/>
  <c r="K94" i="23"/>
  <c r="M426" i="1" s="1"/>
  <c r="I94" i="23"/>
  <c r="K426" i="1" s="1"/>
  <c r="G94" i="23"/>
  <c r="I426" i="1" s="1"/>
  <c r="E94" i="23"/>
  <c r="G426" i="1" s="1"/>
  <c r="U93" i="23"/>
  <c r="R93" i="23"/>
  <c r="T425" i="1" s="1"/>
  <c r="Q93" i="23"/>
  <c r="S425" i="1" s="1"/>
  <c r="O93" i="23"/>
  <c r="Q425" i="1" s="1"/>
  <c r="M93" i="23"/>
  <c r="O425" i="1" s="1"/>
  <c r="K93" i="23"/>
  <c r="M425" i="1" s="1"/>
  <c r="I93" i="23"/>
  <c r="K425" i="1" s="1"/>
  <c r="G93" i="23"/>
  <c r="I425" i="1" s="1"/>
  <c r="E93" i="23"/>
  <c r="G425" i="1" s="1"/>
  <c r="U92" i="23"/>
  <c r="R92" i="23"/>
  <c r="T424" i="1" s="1"/>
  <c r="Q92" i="23"/>
  <c r="S424" i="1" s="1"/>
  <c r="O92" i="23"/>
  <c r="Q424" i="1" s="1"/>
  <c r="M92" i="23"/>
  <c r="O424" i="1" s="1"/>
  <c r="K92" i="23"/>
  <c r="M424" i="1" s="1"/>
  <c r="I92" i="23"/>
  <c r="K424" i="1" s="1"/>
  <c r="G92" i="23"/>
  <c r="I424" i="1" s="1"/>
  <c r="E92" i="23"/>
  <c r="G424" i="1" s="1"/>
  <c r="U91" i="23"/>
  <c r="R91" i="23"/>
  <c r="T423" i="1" s="1"/>
  <c r="Q91" i="23"/>
  <c r="S423" i="1" s="1"/>
  <c r="O91" i="23"/>
  <c r="Q423" i="1" s="1"/>
  <c r="M91" i="23"/>
  <c r="O423" i="1" s="1"/>
  <c r="K91" i="23"/>
  <c r="M423" i="1" s="1"/>
  <c r="I91" i="23"/>
  <c r="K423" i="1" s="1"/>
  <c r="G91" i="23"/>
  <c r="I423" i="1" s="1"/>
  <c r="E91" i="23"/>
  <c r="G423" i="1" s="1"/>
  <c r="U90" i="23"/>
  <c r="R90" i="23"/>
  <c r="Q90" i="23"/>
  <c r="S422" i="1" s="1"/>
  <c r="O90" i="23"/>
  <c r="Q422" i="1" s="1"/>
  <c r="M90" i="23"/>
  <c r="O422" i="1" s="1"/>
  <c r="K90" i="23"/>
  <c r="M422" i="1" s="1"/>
  <c r="I90" i="23"/>
  <c r="K422" i="1" s="1"/>
  <c r="G90" i="23"/>
  <c r="I422" i="1" s="1"/>
  <c r="E90" i="23"/>
  <c r="G422" i="1" s="1"/>
  <c r="V87" i="23"/>
  <c r="F153" i="1" s="1"/>
  <c r="S87" i="23"/>
  <c r="D153" i="1" s="1"/>
  <c r="U86" i="23"/>
  <c r="R86" i="23"/>
  <c r="T421" i="1" s="1"/>
  <c r="Q86" i="23"/>
  <c r="S421" i="1" s="1"/>
  <c r="O86" i="23"/>
  <c r="Q421" i="1" s="1"/>
  <c r="M86" i="23"/>
  <c r="O421" i="1" s="1"/>
  <c r="K86" i="23"/>
  <c r="M421" i="1" s="1"/>
  <c r="I86" i="23"/>
  <c r="K421" i="1" s="1"/>
  <c r="G86" i="23"/>
  <c r="I421" i="1" s="1"/>
  <c r="E86" i="23"/>
  <c r="G421" i="1" s="1"/>
  <c r="U85" i="23"/>
  <c r="R85" i="23"/>
  <c r="T420" i="1" s="1"/>
  <c r="Q85" i="23"/>
  <c r="S420" i="1" s="1"/>
  <c r="O85" i="23"/>
  <c r="Q420" i="1" s="1"/>
  <c r="M85" i="23"/>
  <c r="O420" i="1" s="1"/>
  <c r="K85" i="23"/>
  <c r="M420" i="1" s="1"/>
  <c r="I85" i="23"/>
  <c r="K420" i="1" s="1"/>
  <c r="G85" i="23"/>
  <c r="I420" i="1" s="1"/>
  <c r="E85" i="23"/>
  <c r="G420" i="1" s="1"/>
  <c r="U84" i="23"/>
  <c r="R84" i="23"/>
  <c r="T419" i="1" s="1"/>
  <c r="Q84" i="23"/>
  <c r="S419" i="1" s="1"/>
  <c r="O84" i="23"/>
  <c r="Q419" i="1" s="1"/>
  <c r="M84" i="23"/>
  <c r="O419" i="1" s="1"/>
  <c r="K84" i="23"/>
  <c r="M419" i="1" s="1"/>
  <c r="I84" i="23"/>
  <c r="K419" i="1" s="1"/>
  <c r="G84" i="23"/>
  <c r="I419" i="1" s="1"/>
  <c r="E84" i="23"/>
  <c r="G419" i="1" s="1"/>
  <c r="U83" i="23"/>
  <c r="R83" i="23"/>
  <c r="T418" i="1" s="1"/>
  <c r="Q83" i="23"/>
  <c r="S418" i="1" s="1"/>
  <c r="O83" i="23"/>
  <c r="Q418" i="1" s="1"/>
  <c r="M83" i="23"/>
  <c r="O418" i="1" s="1"/>
  <c r="K83" i="23"/>
  <c r="M418" i="1" s="1"/>
  <c r="I83" i="23"/>
  <c r="K418" i="1" s="1"/>
  <c r="G83" i="23"/>
  <c r="I418" i="1" s="1"/>
  <c r="E83" i="23"/>
  <c r="G418" i="1" s="1"/>
  <c r="U82" i="23"/>
  <c r="R82" i="23"/>
  <c r="T417" i="1" s="1"/>
  <c r="Q82" i="23"/>
  <c r="S417" i="1" s="1"/>
  <c r="O82" i="23"/>
  <c r="Q417" i="1" s="1"/>
  <c r="M82" i="23"/>
  <c r="O417" i="1" s="1"/>
  <c r="K82" i="23"/>
  <c r="M417" i="1" s="1"/>
  <c r="I82" i="23"/>
  <c r="K417" i="1" s="1"/>
  <c r="G82" i="23"/>
  <c r="I417" i="1" s="1"/>
  <c r="E82" i="23"/>
  <c r="G417" i="1" s="1"/>
  <c r="U81" i="23"/>
  <c r="R81" i="23"/>
  <c r="Q81" i="23"/>
  <c r="S416" i="1" s="1"/>
  <c r="O81" i="23"/>
  <c r="Q416" i="1" s="1"/>
  <c r="M81" i="23"/>
  <c r="O416" i="1" s="1"/>
  <c r="K81" i="23"/>
  <c r="M416" i="1" s="1"/>
  <c r="I81" i="23"/>
  <c r="K416" i="1" s="1"/>
  <c r="G81" i="23"/>
  <c r="I416" i="1" s="1"/>
  <c r="E81" i="23"/>
  <c r="G416" i="1" s="1"/>
  <c r="I36" i="23"/>
  <c r="AL100" i="1" s="1"/>
  <c r="I33" i="23"/>
  <c r="AJ100" i="1" s="1"/>
  <c r="AA30" i="23"/>
  <c r="AA29" i="23"/>
  <c r="I29" i="23"/>
  <c r="AI100" i="1" s="1"/>
  <c r="I22" i="23"/>
  <c r="AC100" i="1" s="1"/>
  <c r="I18" i="23"/>
  <c r="AA100" i="1" s="1"/>
  <c r="Z100" i="1"/>
  <c r="I16" i="23"/>
  <c r="Y100" i="1" s="1"/>
  <c r="K8" i="23"/>
  <c r="T2" i="23"/>
  <c r="E100" i="1" s="1"/>
  <c r="V96" i="24"/>
  <c r="F156" i="1" s="1"/>
  <c r="S96" i="24"/>
  <c r="D156" i="1" s="1"/>
  <c r="U95" i="24"/>
  <c r="R95" i="24"/>
  <c r="T439" i="1" s="1"/>
  <c r="Q95" i="24"/>
  <c r="S439" i="1" s="1"/>
  <c r="O95" i="24"/>
  <c r="Q439" i="1" s="1"/>
  <c r="M95" i="24"/>
  <c r="O439" i="1" s="1"/>
  <c r="K95" i="24"/>
  <c r="M439" i="1" s="1"/>
  <c r="I95" i="24"/>
  <c r="K439" i="1" s="1"/>
  <c r="G95" i="24"/>
  <c r="I439" i="1" s="1"/>
  <c r="E95" i="24"/>
  <c r="G439" i="1" s="1"/>
  <c r="U94" i="24"/>
  <c r="R94" i="24"/>
  <c r="T438" i="1" s="1"/>
  <c r="Q94" i="24"/>
  <c r="S438" i="1" s="1"/>
  <c r="O94" i="24"/>
  <c r="Q438" i="1" s="1"/>
  <c r="M94" i="24"/>
  <c r="O438" i="1" s="1"/>
  <c r="K94" i="24"/>
  <c r="M438" i="1" s="1"/>
  <c r="I94" i="24"/>
  <c r="K438" i="1" s="1"/>
  <c r="G94" i="24"/>
  <c r="I438" i="1" s="1"/>
  <c r="E94" i="24"/>
  <c r="G438" i="1" s="1"/>
  <c r="U93" i="24"/>
  <c r="R93" i="24"/>
  <c r="T437" i="1" s="1"/>
  <c r="Q93" i="24"/>
  <c r="S437" i="1" s="1"/>
  <c r="O93" i="24"/>
  <c r="Q437" i="1" s="1"/>
  <c r="M93" i="24"/>
  <c r="O437" i="1" s="1"/>
  <c r="K93" i="24"/>
  <c r="M437" i="1" s="1"/>
  <c r="I93" i="24"/>
  <c r="K437" i="1" s="1"/>
  <c r="G93" i="24"/>
  <c r="I437" i="1" s="1"/>
  <c r="E93" i="24"/>
  <c r="G437" i="1" s="1"/>
  <c r="U92" i="24"/>
  <c r="R92" i="24"/>
  <c r="T436" i="1" s="1"/>
  <c r="Q92" i="24"/>
  <c r="S436" i="1" s="1"/>
  <c r="O92" i="24"/>
  <c r="Q436" i="1" s="1"/>
  <c r="M92" i="24"/>
  <c r="O436" i="1" s="1"/>
  <c r="K92" i="24"/>
  <c r="M436" i="1" s="1"/>
  <c r="I92" i="24"/>
  <c r="K436" i="1" s="1"/>
  <c r="G92" i="24"/>
  <c r="I436" i="1" s="1"/>
  <c r="E92" i="24"/>
  <c r="G436" i="1" s="1"/>
  <c r="U91" i="24"/>
  <c r="R91" i="24"/>
  <c r="T435" i="1" s="1"/>
  <c r="Q91" i="24"/>
  <c r="S435" i="1" s="1"/>
  <c r="O91" i="24"/>
  <c r="Q435" i="1" s="1"/>
  <c r="M91" i="24"/>
  <c r="O435" i="1" s="1"/>
  <c r="K91" i="24"/>
  <c r="M435" i="1" s="1"/>
  <c r="I91" i="24"/>
  <c r="K435" i="1" s="1"/>
  <c r="G91" i="24"/>
  <c r="I435" i="1" s="1"/>
  <c r="E91" i="24"/>
  <c r="G435" i="1" s="1"/>
  <c r="U90" i="24"/>
  <c r="R90" i="24"/>
  <c r="Q90" i="24"/>
  <c r="S434" i="1" s="1"/>
  <c r="O90" i="24"/>
  <c r="Q434" i="1" s="1"/>
  <c r="M90" i="24"/>
  <c r="O434" i="1" s="1"/>
  <c r="K90" i="24"/>
  <c r="M434" i="1" s="1"/>
  <c r="I90" i="24"/>
  <c r="K434" i="1" s="1"/>
  <c r="G90" i="24"/>
  <c r="I434" i="1" s="1"/>
  <c r="E90" i="24"/>
  <c r="G434" i="1" s="1"/>
  <c r="V87" i="24"/>
  <c r="F155" i="1" s="1"/>
  <c r="S87" i="24"/>
  <c r="D155" i="1" s="1"/>
  <c r="U86" i="24"/>
  <c r="R86" i="24"/>
  <c r="T433" i="1" s="1"/>
  <c r="Q86" i="24"/>
  <c r="S433" i="1" s="1"/>
  <c r="O86" i="24"/>
  <c r="Q433" i="1" s="1"/>
  <c r="M86" i="24"/>
  <c r="O433" i="1" s="1"/>
  <c r="K86" i="24"/>
  <c r="M433" i="1" s="1"/>
  <c r="I86" i="24"/>
  <c r="K433" i="1" s="1"/>
  <c r="G86" i="24"/>
  <c r="I433" i="1" s="1"/>
  <c r="E86" i="24"/>
  <c r="G433" i="1" s="1"/>
  <c r="U85" i="24"/>
  <c r="R85" i="24"/>
  <c r="T432" i="1" s="1"/>
  <c r="Q85" i="24"/>
  <c r="S432" i="1" s="1"/>
  <c r="O85" i="24"/>
  <c r="Q432" i="1" s="1"/>
  <c r="M85" i="24"/>
  <c r="O432" i="1" s="1"/>
  <c r="K85" i="24"/>
  <c r="M432" i="1" s="1"/>
  <c r="I85" i="24"/>
  <c r="K432" i="1" s="1"/>
  <c r="G85" i="24"/>
  <c r="I432" i="1" s="1"/>
  <c r="E85" i="24"/>
  <c r="G432" i="1" s="1"/>
  <c r="U84" i="24"/>
  <c r="R84" i="24"/>
  <c r="T431" i="1" s="1"/>
  <c r="Q84" i="24"/>
  <c r="S431" i="1" s="1"/>
  <c r="O84" i="24"/>
  <c r="Q431" i="1" s="1"/>
  <c r="M84" i="24"/>
  <c r="O431" i="1" s="1"/>
  <c r="K84" i="24"/>
  <c r="M431" i="1" s="1"/>
  <c r="I84" i="24"/>
  <c r="K431" i="1" s="1"/>
  <c r="G84" i="24"/>
  <c r="I431" i="1" s="1"/>
  <c r="E84" i="24"/>
  <c r="G431" i="1" s="1"/>
  <c r="U83" i="24"/>
  <c r="R83" i="24"/>
  <c r="T430" i="1" s="1"/>
  <c r="Q83" i="24"/>
  <c r="S430" i="1" s="1"/>
  <c r="O83" i="24"/>
  <c r="Q430" i="1" s="1"/>
  <c r="M83" i="24"/>
  <c r="O430" i="1" s="1"/>
  <c r="K83" i="24"/>
  <c r="M430" i="1" s="1"/>
  <c r="I83" i="24"/>
  <c r="K430" i="1" s="1"/>
  <c r="G83" i="24"/>
  <c r="I430" i="1" s="1"/>
  <c r="E83" i="24"/>
  <c r="G430" i="1" s="1"/>
  <c r="U82" i="24"/>
  <c r="R82" i="24"/>
  <c r="T429" i="1" s="1"/>
  <c r="Q82" i="24"/>
  <c r="S429" i="1" s="1"/>
  <c r="O82" i="24"/>
  <c r="Q429" i="1" s="1"/>
  <c r="M82" i="24"/>
  <c r="O429" i="1" s="1"/>
  <c r="K82" i="24"/>
  <c r="M429" i="1" s="1"/>
  <c r="I82" i="24"/>
  <c r="K429" i="1" s="1"/>
  <c r="G82" i="24"/>
  <c r="I429" i="1" s="1"/>
  <c r="E82" i="24"/>
  <c r="G429" i="1" s="1"/>
  <c r="U81" i="24"/>
  <c r="R81" i="24"/>
  <c r="Q81" i="24"/>
  <c r="S428" i="1" s="1"/>
  <c r="O81" i="24"/>
  <c r="Q428" i="1" s="1"/>
  <c r="M81" i="24"/>
  <c r="O428" i="1" s="1"/>
  <c r="K81" i="24"/>
  <c r="M428" i="1" s="1"/>
  <c r="I81" i="24"/>
  <c r="K428" i="1" s="1"/>
  <c r="G81" i="24"/>
  <c r="I428" i="1" s="1"/>
  <c r="E81" i="24"/>
  <c r="G428" i="1" s="1"/>
  <c r="I36" i="24"/>
  <c r="AL101" i="1" s="1"/>
  <c r="I33" i="24"/>
  <c r="AJ101" i="1" s="1"/>
  <c r="AA30" i="24"/>
  <c r="AA29" i="24"/>
  <c r="I29" i="24"/>
  <c r="AI101" i="1" s="1"/>
  <c r="I22" i="24"/>
  <c r="AC101" i="1" s="1"/>
  <c r="I18" i="24"/>
  <c r="AA101" i="1" s="1"/>
  <c r="Z101" i="1"/>
  <c r="I16" i="24"/>
  <c r="Y101" i="1" s="1"/>
  <c r="K8" i="24"/>
  <c r="T2" i="24"/>
  <c r="E101" i="1" s="1"/>
  <c r="V96" i="25"/>
  <c r="F158" i="1" s="1"/>
  <c r="S96" i="25"/>
  <c r="D158" i="1" s="1"/>
  <c r="U95" i="25"/>
  <c r="R95" i="25"/>
  <c r="T451" i="1" s="1"/>
  <c r="Q95" i="25"/>
  <c r="S451" i="1" s="1"/>
  <c r="O95" i="25"/>
  <c r="Q451" i="1" s="1"/>
  <c r="M95" i="25"/>
  <c r="O451" i="1" s="1"/>
  <c r="K95" i="25"/>
  <c r="M451" i="1" s="1"/>
  <c r="I95" i="25"/>
  <c r="K451" i="1" s="1"/>
  <c r="G95" i="25"/>
  <c r="I451" i="1" s="1"/>
  <c r="E95" i="25"/>
  <c r="G451" i="1" s="1"/>
  <c r="U94" i="25"/>
  <c r="R94" i="25"/>
  <c r="T450" i="1" s="1"/>
  <c r="Q94" i="25"/>
  <c r="S450" i="1" s="1"/>
  <c r="O94" i="25"/>
  <c r="Q450" i="1" s="1"/>
  <c r="M94" i="25"/>
  <c r="O450" i="1" s="1"/>
  <c r="K94" i="25"/>
  <c r="M450" i="1" s="1"/>
  <c r="I94" i="25"/>
  <c r="K450" i="1" s="1"/>
  <c r="G94" i="25"/>
  <c r="I450" i="1" s="1"/>
  <c r="E94" i="25"/>
  <c r="G450" i="1" s="1"/>
  <c r="U93" i="25"/>
  <c r="R93" i="25"/>
  <c r="T449" i="1" s="1"/>
  <c r="Q93" i="25"/>
  <c r="S449" i="1" s="1"/>
  <c r="O93" i="25"/>
  <c r="Q449" i="1" s="1"/>
  <c r="M93" i="25"/>
  <c r="O449" i="1" s="1"/>
  <c r="K93" i="25"/>
  <c r="M449" i="1" s="1"/>
  <c r="I93" i="25"/>
  <c r="K449" i="1" s="1"/>
  <c r="G93" i="25"/>
  <c r="I449" i="1" s="1"/>
  <c r="E93" i="25"/>
  <c r="G449" i="1" s="1"/>
  <c r="U92" i="25"/>
  <c r="R92" i="25"/>
  <c r="T448" i="1" s="1"/>
  <c r="Q92" i="25"/>
  <c r="S448" i="1" s="1"/>
  <c r="O92" i="25"/>
  <c r="Q448" i="1" s="1"/>
  <c r="M92" i="25"/>
  <c r="O448" i="1" s="1"/>
  <c r="K92" i="25"/>
  <c r="M448" i="1" s="1"/>
  <c r="I92" i="25"/>
  <c r="K448" i="1" s="1"/>
  <c r="G92" i="25"/>
  <c r="I448" i="1" s="1"/>
  <c r="E92" i="25"/>
  <c r="G448" i="1" s="1"/>
  <c r="U91" i="25"/>
  <c r="R91" i="25"/>
  <c r="T447" i="1" s="1"/>
  <c r="Q91" i="25"/>
  <c r="S447" i="1" s="1"/>
  <c r="O91" i="25"/>
  <c r="Q447" i="1" s="1"/>
  <c r="M91" i="25"/>
  <c r="O447" i="1" s="1"/>
  <c r="K91" i="25"/>
  <c r="M447" i="1" s="1"/>
  <c r="I91" i="25"/>
  <c r="K447" i="1" s="1"/>
  <c r="G91" i="25"/>
  <c r="I447" i="1" s="1"/>
  <c r="E91" i="25"/>
  <c r="G447" i="1" s="1"/>
  <c r="U90" i="25"/>
  <c r="R90" i="25"/>
  <c r="Q90" i="25"/>
  <c r="S446" i="1" s="1"/>
  <c r="O90" i="25"/>
  <c r="Q446" i="1" s="1"/>
  <c r="M90" i="25"/>
  <c r="O446" i="1" s="1"/>
  <c r="K90" i="25"/>
  <c r="M446" i="1" s="1"/>
  <c r="I90" i="25"/>
  <c r="K446" i="1" s="1"/>
  <c r="G90" i="25"/>
  <c r="I446" i="1" s="1"/>
  <c r="E90" i="25"/>
  <c r="G446" i="1" s="1"/>
  <c r="V87" i="25"/>
  <c r="F157" i="1" s="1"/>
  <c r="S87" i="25"/>
  <c r="D157" i="1" s="1"/>
  <c r="U86" i="25"/>
  <c r="R86" i="25"/>
  <c r="T445" i="1" s="1"/>
  <c r="Q86" i="25"/>
  <c r="S445" i="1" s="1"/>
  <c r="O86" i="25"/>
  <c r="Q445" i="1" s="1"/>
  <c r="M86" i="25"/>
  <c r="O445" i="1" s="1"/>
  <c r="K86" i="25"/>
  <c r="M445" i="1" s="1"/>
  <c r="I86" i="25"/>
  <c r="K445" i="1" s="1"/>
  <c r="G86" i="25"/>
  <c r="I445" i="1" s="1"/>
  <c r="E86" i="25"/>
  <c r="G445" i="1" s="1"/>
  <c r="U85" i="25"/>
  <c r="R85" i="25"/>
  <c r="T444" i="1" s="1"/>
  <c r="Q85" i="25"/>
  <c r="S444" i="1" s="1"/>
  <c r="O85" i="25"/>
  <c r="Q444" i="1" s="1"/>
  <c r="M85" i="25"/>
  <c r="O444" i="1" s="1"/>
  <c r="K85" i="25"/>
  <c r="M444" i="1" s="1"/>
  <c r="I85" i="25"/>
  <c r="K444" i="1" s="1"/>
  <c r="G85" i="25"/>
  <c r="I444" i="1" s="1"/>
  <c r="E85" i="25"/>
  <c r="G444" i="1" s="1"/>
  <c r="U84" i="25"/>
  <c r="R84" i="25"/>
  <c r="T443" i="1" s="1"/>
  <c r="Q84" i="25"/>
  <c r="S443" i="1" s="1"/>
  <c r="O84" i="25"/>
  <c r="Q443" i="1" s="1"/>
  <c r="M84" i="25"/>
  <c r="O443" i="1" s="1"/>
  <c r="K84" i="25"/>
  <c r="M443" i="1" s="1"/>
  <c r="I84" i="25"/>
  <c r="K443" i="1" s="1"/>
  <c r="G84" i="25"/>
  <c r="I443" i="1" s="1"/>
  <c r="E84" i="25"/>
  <c r="G443" i="1" s="1"/>
  <c r="U83" i="25"/>
  <c r="R83" i="25"/>
  <c r="T442" i="1" s="1"/>
  <c r="Q83" i="25"/>
  <c r="S442" i="1" s="1"/>
  <c r="O83" i="25"/>
  <c r="Q442" i="1" s="1"/>
  <c r="M83" i="25"/>
  <c r="O442" i="1" s="1"/>
  <c r="K83" i="25"/>
  <c r="M442" i="1" s="1"/>
  <c r="I83" i="25"/>
  <c r="K442" i="1" s="1"/>
  <c r="G83" i="25"/>
  <c r="I442" i="1" s="1"/>
  <c r="E83" i="25"/>
  <c r="G442" i="1" s="1"/>
  <c r="U82" i="25"/>
  <c r="R82" i="25"/>
  <c r="T441" i="1" s="1"/>
  <c r="Q82" i="25"/>
  <c r="S441" i="1" s="1"/>
  <c r="O82" i="25"/>
  <c r="Q441" i="1" s="1"/>
  <c r="M82" i="25"/>
  <c r="O441" i="1" s="1"/>
  <c r="K82" i="25"/>
  <c r="M441" i="1" s="1"/>
  <c r="I82" i="25"/>
  <c r="K441" i="1" s="1"/>
  <c r="G82" i="25"/>
  <c r="I441" i="1" s="1"/>
  <c r="E82" i="25"/>
  <c r="G441" i="1" s="1"/>
  <c r="U81" i="25"/>
  <c r="R81" i="25"/>
  <c r="Q81" i="25"/>
  <c r="S440" i="1" s="1"/>
  <c r="O81" i="25"/>
  <c r="Q440" i="1" s="1"/>
  <c r="M81" i="25"/>
  <c r="O440" i="1" s="1"/>
  <c r="K81" i="25"/>
  <c r="M440" i="1" s="1"/>
  <c r="I81" i="25"/>
  <c r="K440" i="1" s="1"/>
  <c r="G81" i="25"/>
  <c r="I440" i="1" s="1"/>
  <c r="E81" i="25"/>
  <c r="G440" i="1" s="1"/>
  <c r="I36" i="25"/>
  <c r="AL102" i="1" s="1"/>
  <c r="I33" i="25"/>
  <c r="AJ102" i="1" s="1"/>
  <c r="AA30" i="25"/>
  <c r="AA29" i="25"/>
  <c r="I29" i="25"/>
  <c r="AI102" i="1" s="1"/>
  <c r="I22" i="25"/>
  <c r="AC102" i="1" s="1"/>
  <c r="I18" i="25"/>
  <c r="AA102" i="1" s="1"/>
  <c r="Z102" i="1"/>
  <c r="I16" i="25"/>
  <c r="Y102" i="1" s="1"/>
  <c r="K8" i="25"/>
  <c r="T2" i="25"/>
  <c r="E102" i="1" s="1"/>
  <c r="V96" i="26"/>
  <c r="F160" i="1" s="1"/>
  <c r="S96" i="26"/>
  <c r="D160" i="1" s="1"/>
  <c r="U95" i="26"/>
  <c r="R95" i="26"/>
  <c r="T463" i="1" s="1"/>
  <c r="Q95" i="26"/>
  <c r="S463" i="1" s="1"/>
  <c r="O95" i="26"/>
  <c r="Q463" i="1" s="1"/>
  <c r="M95" i="26"/>
  <c r="O463" i="1" s="1"/>
  <c r="K95" i="26"/>
  <c r="M463" i="1" s="1"/>
  <c r="I95" i="26"/>
  <c r="K463" i="1" s="1"/>
  <c r="G95" i="26"/>
  <c r="I463" i="1" s="1"/>
  <c r="E95" i="26"/>
  <c r="G463" i="1" s="1"/>
  <c r="U94" i="26"/>
  <c r="R94" i="26"/>
  <c r="T462" i="1" s="1"/>
  <c r="Q94" i="26"/>
  <c r="S462" i="1" s="1"/>
  <c r="O94" i="26"/>
  <c r="Q462" i="1" s="1"/>
  <c r="M94" i="26"/>
  <c r="O462" i="1" s="1"/>
  <c r="K94" i="26"/>
  <c r="M462" i="1" s="1"/>
  <c r="I94" i="26"/>
  <c r="K462" i="1" s="1"/>
  <c r="G94" i="26"/>
  <c r="I462" i="1" s="1"/>
  <c r="E94" i="26"/>
  <c r="G462" i="1" s="1"/>
  <c r="U93" i="26"/>
  <c r="R93" i="26"/>
  <c r="T461" i="1" s="1"/>
  <c r="Q93" i="26"/>
  <c r="S461" i="1" s="1"/>
  <c r="O93" i="26"/>
  <c r="Q461" i="1" s="1"/>
  <c r="M93" i="26"/>
  <c r="O461" i="1" s="1"/>
  <c r="K93" i="26"/>
  <c r="M461" i="1" s="1"/>
  <c r="I93" i="26"/>
  <c r="K461" i="1" s="1"/>
  <c r="G93" i="26"/>
  <c r="I461" i="1" s="1"/>
  <c r="E93" i="26"/>
  <c r="G461" i="1" s="1"/>
  <c r="U92" i="26"/>
  <c r="R92" i="26"/>
  <c r="T460" i="1" s="1"/>
  <c r="Q92" i="26"/>
  <c r="S460" i="1" s="1"/>
  <c r="O92" i="26"/>
  <c r="Q460" i="1" s="1"/>
  <c r="M92" i="26"/>
  <c r="O460" i="1" s="1"/>
  <c r="K92" i="26"/>
  <c r="M460" i="1" s="1"/>
  <c r="I92" i="26"/>
  <c r="K460" i="1" s="1"/>
  <c r="G92" i="26"/>
  <c r="I460" i="1" s="1"/>
  <c r="E92" i="26"/>
  <c r="G460" i="1" s="1"/>
  <c r="U91" i="26"/>
  <c r="R91" i="26"/>
  <c r="T459" i="1" s="1"/>
  <c r="Q91" i="26"/>
  <c r="S459" i="1" s="1"/>
  <c r="O91" i="26"/>
  <c r="Q459" i="1" s="1"/>
  <c r="M91" i="26"/>
  <c r="O459" i="1" s="1"/>
  <c r="K91" i="26"/>
  <c r="M459" i="1" s="1"/>
  <c r="I91" i="26"/>
  <c r="K459" i="1" s="1"/>
  <c r="G91" i="26"/>
  <c r="I459" i="1" s="1"/>
  <c r="E91" i="26"/>
  <c r="G459" i="1" s="1"/>
  <c r="U90" i="26"/>
  <c r="R90" i="26"/>
  <c r="Q90" i="26"/>
  <c r="S458" i="1" s="1"/>
  <c r="O90" i="26"/>
  <c r="Q458" i="1" s="1"/>
  <c r="M90" i="26"/>
  <c r="O458" i="1" s="1"/>
  <c r="K90" i="26"/>
  <c r="M458" i="1" s="1"/>
  <c r="I90" i="26"/>
  <c r="K458" i="1" s="1"/>
  <c r="G90" i="26"/>
  <c r="I458" i="1" s="1"/>
  <c r="E90" i="26"/>
  <c r="G458" i="1" s="1"/>
  <c r="V87" i="26"/>
  <c r="F159" i="1" s="1"/>
  <c r="S87" i="26"/>
  <c r="D159" i="1" s="1"/>
  <c r="U86" i="26"/>
  <c r="R86" i="26"/>
  <c r="T457" i="1" s="1"/>
  <c r="Q86" i="26"/>
  <c r="S457" i="1" s="1"/>
  <c r="O86" i="26"/>
  <c r="Q457" i="1" s="1"/>
  <c r="M86" i="26"/>
  <c r="O457" i="1" s="1"/>
  <c r="K86" i="26"/>
  <c r="M457" i="1" s="1"/>
  <c r="I86" i="26"/>
  <c r="K457" i="1" s="1"/>
  <c r="G86" i="26"/>
  <c r="I457" i="1" s="1"/>
  <c r="E86" i="26"/>
  <c r="G457" i="1" s="1"/>
  <c r="U85" i="26"/>
  <c r="R85" i="26"/>
  <c r="T456" i="1" s="1"/>
  <c r="Q85" i="26"/>
  <c r="S456" i="1" s="1"/>
  <c r="O85" i="26"/>
  <c r="Q456" i="1" s="1"/>
  <c r="M85" i="26"/>
  <c r="O456" i="1" s="1"/>
  <c r="K85" i="26"/>
  <c r="M456" i="1" s="1"/>
  <c r="I85" i="26"/>
  <c r="K456" i="1" s="1"/>
  <c r="G85" i="26"/>
  <c r="I456" i="1" s="1"/>
  <c r="E85" i="26"/>
  <c r="G456" i="1" s="1"/>
  <c r="U84" i="26"/>
  <c r="R84" i="26"/>
  <c r="T455" i="1" s="1"/>
  <c r="Q84" i="26"/>
  <c r="S455" i="1" s="1"/>
  <c r="O84" i="26"/>
  <c r="Q455" i="1" s="1"/>
  <c r="M84" i="26"/>
  <c r="O455" i="1" s="1"/>
  <c r="K84" i="26"/>
  <c r="M455" i="1" s="1"/>
  <c r="I84" i="26"/>
  <c r="K455" i="1" s="1"/>
  <c r="G84" i="26"/>
  <c r="I455" i="1" s="1"/>
  <c r="E84" i="26"/>
  <c r="G455" i="1" s="1"/>
  <c r="U83" i="26"/>
  <c r="R83" i="26"/>
  <c r="T454" i="1" s="1"/>
  <c r="Q83" i="26"/>
  <c r="S454" i="1" s="1"/>
  <c r="O83" i="26"/>
  <c r="Q454" i="1" s="1"/>
  <c r="M83" i="26"/>
  <c r="O454" i="1" s="1"/>
  <c r="K83" i="26"/>
  <c r="M454" i="1" s="1"/>
  <c r="I83" i="26"/>
  <c r="K454" i="1" s="1"/>
  <c r="G83" i="26"/>
  <c r="I454" i="1" s="1"/>
  <c r="E83" i="26"/>
  <c r="G454" i="1" s="1"/>
  <c r="U82" i="26"/>
  <c r="R82" i="26"/>
  <c r="T453" i="1" s="1"/>
  <c r="Q82" i="26"/>
  <c r="S453" i="1" s="1"/>
  <c r="O82" i="26"/>
  <c r="Q453" i="1" s="1"/>
  <c r="M82" i="26"/>
  <c r="O453" i="1" s="1"/>
  <c r="K82" i="26"/>
  <c r="M453" i="1" s="1"/>
  <c r="I82" i="26"/>
  <c r="K453" i="1" s="1"/>
  <c r="G82" i="26"/>
  <c r="I453" i="1" s="1"/>
  <c r="E82" i="26"/>
  <c r="G453" i="1" s="1"/>
  <c r="U81" i="26"/>
  <c r="R81" i="26"/>
  <c r="Q81" i="26"/>
  <c r="S452" i="1" s="1"/>
  <c r="O81" i="26"/>
  <c r="Q452" i="1" s="1"/>
  <c r="M81" i="26"/>
  <c r="O452" i="1" s="1"/>
  <c r="K81" i="26"/>
  <c r="M452" i="1" s="1"/>
  <c r="I81" i="26"/>
  <c r="K452" i="1" s="1"/>
  <c r="G81" i="26"/>
  <c r="I452" i="1" s="1"/>
  <c r="E81" i="26"/>
  <c r="G452" i="1" s="1"/>
  <c r="I36" i="26"/>
  <c r="AL103" i="1" s="1"/>
  <c r="I33" i="26"/>
  <c r="AJ103" i="1" s="1"/>
  <c r="AA30" i="26"/>
  <c r="AA29" i="26"/>
  <c r="I29" i="26"/>
  <c r="AI103" i="1" s="1"/>
  <c r="I22" i="26"/>
  <c r="AC103" i="1" s="1"/>
  <c r="I18" i="26"/>
  <c r="AA103" i="1" s="1"/>
  <c r="Z103" i="1"/>
  <c r="I16" i="26"/>
  <c r="Y103" i="1" s="1"/>
  <c r="K8" i="26"/>
  <c r="T2" i="26"/>
  <c r="E103" i="1" s="1"/>
  <c r="V96" i="27"/>
  <c r="F162" i="1" s="1"/>
  <c r="S96" i="27"/>
  <c r="D162" i="1" s="1"/>
  <c r="U95" i="27"/>
  <c r="R95" i="27"/>
  <c r="T475" i="1" s="1"/>
  <c r="Q95" i="27"/>
  <c r="S475" i="1" s="1"/>
  <c r="O95" i="27"/>
  <c r="Q475" i="1" s="1"/>
  <c r="M95" i="27"/>
  <c r="O475" i="1" s="1"/>
  <c r="K95" i="27"/>
  <c r="M475" i="1" s="1"/>
  <c r="I95" i="27"/>
  <c r="K475" i="1" s="1"/>
  <c r="G95" i="27"/>
  <c r="I475" i="1" s="1"/>
  <c r="E95" i="27"/>
  <c r="G475" i="1" s="1"/>
  <c r="U94" i="27"/>
  <c r="R94" i="27"/>
  <c r="T474" i="1" s="1"/>
  <c r="Q94" i="27"/>
  <c r="S474" i="1" s="1"/>
  <c r="O94" i="27"/>
  <c r="Q474" i="1" s="1"/>
  <c r="M94" i="27"/>
  <c r="O474" i="1" s="1"/>
  <c r="K94" i="27"/>
  <c r="M474" i="1" s="1"/>
  <c r="I94" i="27"/>
  <c r="K474" i="1" s="1"/>
  <c r="G94" i="27"/>
  <c r="I474" i="1" s="1"/>
  <c r="E94" i="27"/>
  <c r="G474" i="1" s="1"/>
  <c r="U93" i="27"/>
  <c r="R93" i="27"/>
  <c r="T473" i="1" s="1"/>
  <c r="Q93" i="27"/>
  <c r="S473" i="1" s="1"/>
  <c r="O93" i="27"/>
  <c r="Q473" i="1" s="1"/>
  <c r="M93" i="27"/>
  <c r="O473" i="1" s="1"/>
  <c r="K93" i="27"/>
  <c r="M473" i="1" s="1"/>
  <c r="I93" i="27"/>
  <c r="K473" i="1" s="1"/>
  <c r="G93" i="27"/>
  <c r="I473" i="1" s="1"/>
  <c r="E93" i="27"/>
  <c r="G473" i="1" s="1"/>
  <c r="U92" i="27"/>
  <c r="R92" i="27"/>
  <c r="T472" i="1" s="1"/>
  <c r="Q92" i="27"/>
  <c r="S472" i="1" s="1"/>
  <c r="O92" i="27"/>
  <c r="Q472" i="1" s="1"/>
  <c r="M92" i="27"/>
  <c r="O472" i="1" s="1"/>
  <c r="K92" i="27"/>
  <c r="M472" i="1" s="1"/>
  <c r="I92" i="27"/>
  <c r="K472" i="1" s="1"/>
  <c r="G92" i="27"/>
  <c r="I472" i="1" s="1"/>
  <c r="E92" i="27"/>
  <c r="G472" i="1" s="1"/>
  <c r="U91" i="27"/>
  <c r="R91" i="27"/>
  <c r="T471" i="1" s="1"/>
  <c r="Q91" i="27"/>
  <c r="S471" i="1" s="1"/>
  <c r="O91" i="27"/>
  <c r="Q471" i="1" s="1"/>
  <c r="M91" i="27"/>
  <c r="O471" i="1" s="1"/>
  <c r="K91" i="27"/>
  <c r="M471" i="1" s="1"/>
  <c r="I91" i="27"/>
  <c r="K471" i="1" s="1"/>
  <c r="G91" i="27"/>
  <c r="I471" i="1" s="1"/>
  <c r="E91" i="27"/>
  <c r="G471" i="1" s="1"/>
  <c r="U90" i="27"/>
  <c r="R90" i="27"/>
  <c r="Q90" i="27"/>
  <c r="S470" i="1" s="1"/>
  <c r="O90" i="27"/>
  <c r="Q470" i="1" s="1"/>
  <c r="M90" i="27"/>
  <c r="O470" i="1" s="1"/>
  <c r="K90" i="27"/>
  <c r="M470" i="1" s="1"/>
  <c r="I90" i="27"/>
  <c r="K470" i="1" s="1"/>
  <c r="G90" i="27"/>
  <c r="I470" i="1" s="1"/>
  <c r="E90" i="27"/>
  <c r="G470" i="1" s="1"/>
  <c r="V87" i="27"/>
  <c r="F161" i="1" s="1"/>
  <c r="S87" i="27"/>
  <c r="D161" i="1" s="1"/>
  <c r="U86" i="27"/>
  <c r="R86" i="27"/>
  <c r="T469" i="1" s="1"/>
  <c r="Q86" i="27"/>
  <c r="S469" i="1" s="1"/>
  <c r="O86" i="27"/>
  <c r="Q469" i="1" s="1"/>
  <c r="M86" i="27"/>
  <c r="O469" i="1" s="1"/>
  <c r="K86" i="27"/>
  <c r="M469" i="1" s="1"/>
  <c r="I86" i="27"/>
  <c r="K469" i="1" s="1"/>
  <c r="G86" i="27"/>
  <c r="I469" i="1" s="1"/>
  <c r="E86" i="27"/>
  <c r="G469" i="1" s="1"/>
  <c r="U85" i="27"/>
  <c r="R85" i="27"/>
  <c r="T468" i="1" s="1"/>
  <c r="Q85" i="27"/>
  <c r="S468" i="1" s="1"/>
  <c r="O85" i="27"/>
  <c r="Q468" i="1" s="1"/>
  <c r="M85" i="27"/>
  <c r="O468" i="1" s="1"/>
  <c r="K85" i="27"/>
  <c r="M468" i="1" s="1"/>
  <c r="I85" i="27"/>
  <c r="K468" i="1" s="1"/>
  <c r="G85" i="27"/>
  <c r="I468" i="1" s="1"/>
  <c r="E85" i="27"/>
  <c r="G468" i="1" s="1"/>
  <c r="U84" i="27"/>
  <c r="R84" i="27"/>
  <c r="T467" i="1" s="1"/>
  <c r="Q84" i="27"/>
  <c r="S467" i="1" s="1"/>
  <c r="O84" i="27"/>
  <c r="Q467" i="1" s="1"/>
  <c r="M84" i="27"/>
  <c r="O467" i="1" s="1"/>
  <c r="K84" i="27"/>
  <c r="M467" i="1" s="1"/>
  <c r="I84" i="27"/>
  <c r="K467" i="1" s="1"/>
  <c r="G84" i="27"/>
  <c r="I467" i="1" s="1"/>
  <c r="E84" i="27"/>
  <c r="G467" i="1" s="1"/>
  <c r="U83" i="27"/>
  <c r="R83" i="27"/>
  <c r="T466" i="1" s="1"/>
  <c r="Q83" i="27"/>
  <c r="S466" i="1" s="1"/>
  <c r="O83" i="27"/>
  <c r="Q466" i="1" s="1"/>
  <c r="M83" i="27"/>
  <c r="O466" i="1" s="1"/>
  <c r="K83" i="27"/>
  <c r="M466" i="1" s="1"/>
  <c r="I83" i="27"/>
  <c r="K466" i="1" s="1"/>
  <c r="G83" i="27"/>
  <c r="I466" i="1" s="1"/>
  <c r="E83" i="27"/>
  <c r="G466" i="1" s="1"/>
  <c r="U82" i="27"/>
  <c r="R82" i="27"/>
  <c r="T465" i="1" s="1"/>
  <c r="Q82" i="27"/>
  <c r="S465" i="1" s="1"/>
  <c r="O82" i="27"/>
  <c r="Q465" i="1" s="1"/>
  <c r="M82" i="27"/>
  <c r="O465" i="1" s="1"/>
  <c r="K82" i="27"/>
  <c r="M465" i="1" s="1"/>
  <c r="I82" i="27"/>
  <c r="K465" i="1" s="1"/>
  <c r="G82" i="27"/>
  <c r="I465" i="1" s="1"/>
  <c r="E82" i="27"/>
  <c r="G465" i="1" s="1"/>
  <c r="U81" i="27"/>
  <c r="R81" i="27"/>
  <c r="Q81" i="27"/>
  <c r="S464" i="1" s="1"/>
  <c r="O81" i="27"/>
  <c r="Q464" i="1" s="1"/>
  <c r="M81" i="27"/>
  <c r="O464" i="1" s="1"/>
  <c r="K81" i="27"/>
  <c r="M464" i="1" s="1"/>
  <c r="I81" i="27"/>
  <c r="K464" i="1" s="1"/>
  <c r="G81" i="27"/>
  <c r="I464" i="1" s="1"/>
  <c r="E81" i="27"/>
  <c r="G464" i="1" s="1"/>
  <c r="I36" i="27"/>
  <c r="AL104" i="1" s="1"/>
  <c r="I33" i="27"/>
  <c r="AJ104" i="1" s="1"/>
  <c r="AA30" i="27"/>
  <c r="AA29" i="27"/>
  <c r="I29" i="27"/>
  <c r="AI104" i="1" s="1"/>
  <c r="I22" i="27"/>
  <c r="AC104" i="1" s="1"/>
  <c r="I18" i="27"/>
  <c r="AA104" i="1" s="1"/>
  <c r="Z104" i="1"/>
  <c r="I16" i="27"/>
  <c r="Y104" i="1" s="1"/>
  <c r="K8" i="27"/>
  <c r="T2" i="27"/>
  <c r="E104" i="1" s="1"/>
  <c r="V96" i="28"/>
  <c r="F164" i="1" s="1"/>
  <c r="S96" i="28"/>
  <c r="D164" i="1" s="1"/>
  <c r="U95" i="28"/>
  <c r="R95" i="28"/>
  <c r="T487" i="1" s="1"/>
  <c r="Q95" i="28"/>
  <c r="S487" i="1" s="1"/>
  <c r="O95" i="28"/>
  <c r="Q487" i="1" s="1"/>
  <c r="M95" i="28"/>
  <c r="O487" i="1" s="1"/>
  <c r="K95" i="28"/>
  <c r="M487" i="1" s="1"/>
  <c r="I95" i="28"/>
  <c r="K487" i="1" s="1"/>
  <c r="G95" i="28"/>
  <c r="I487" i="1" s="1"/>
  <c r="E95" i="28"/>
  <c r="G487" i="1" s="1"/>
  <c r="U94" i="28"/>
  <c r="R94" i="28"/>
  <c r="T486" i="1" s="1"/>
  <c r="Q94" i="28"/>
  <c r="S486" i="1" s="1"/>
  <c r="O94" i="28"/>
  <c r="Q486" i="1" s="1"/>
  <c r="M94" i="28"/>
  <c r="O486" i="1" s="1"/>
  <c r="K94" i="28"/>
  <c r="M486" i="1" s="1"/>
  <c r="I94" i="28"/>
  <c r="K486" i="1" s="1"/>
  <c r="G94" i="28"/>
  <c r="I486" i="1" s="1"/>
  <c r="E94" i="28"/>
  <c r="G486" i="1" s="1"/>
  <c r="U93" i="28"/>
  <c r="R93" i="28"/>
  <c r="T485" i="1" s="1"/>
  <c r="Q93" i="28"/>
  <c r="S485" i="1" s="1"/>
  <c r="O93" i="28"/>
  <c r="Q485" i="1" s="1"/>
  <c r="M93" i="28"/>
  <c r="O485" i="1" s="1"/>
  <c r="K93" i="28"/>
  <c r="M485" i="1" s="1"/>
  <c r="I93" i="28"/>
  <c r="K485" i="1" s="1"/>
  <c r="G93" i="28"/>
  <c r="I485" i="1" s="1"/>
  <c r="E93" i="28"/>
  <c r="G485" i="1" s="1"/>
  <c r="U92" i="28"/>
  <c r="R92" i="28"/>
  <c r="T484" i="1" s="1"/>
  <c r="Q92" i="28"/>
  <c r="S484" i="1" s="1"/>
  <c r="O92" i="28"/>
  <c r="Q484" i="1" s="1"/>
  <c r="M92" i="28"/>
  <c r="O484" i="1" s="1"/>
  <c r="K92" i="28"/>
  <c r="M484" i="1" s="1"/>
  <c r="I92" i="28"/>
  <c r="K484" i="1" s="1"/>
  <c r="G92" i="28"/>
  <c r="I484" i="1" s="1"/>
  <c r="E92" i="28"/>
  <c r="G484" i="1" s="1"/>
  <c r="U91" i="28"/>
  <c r="R91" i="28"/>
  <c r="T483" i="1" s="1"/>
  <c r="Q91" i="28"/>
  <c r="S483" i="1" s="1"/>
  <c r="O91" i="28"/>
  <c r="Q483" i="1" s="1"/>
  <c r="M91" i="28"/>
  <c r="O483" i="1" s="1"/>
  <c r="K91" i="28"/>
  <c r="M483" i="1" s="1"/>
  <c r="I91" i="28"/>
  <c r="K483" i="1" s="1"/>
  <c r="G91" i="28"/>
  <c r="I483" i="1" s="1"/>
  <c r="E91" i="28"/>
  <c r="G483" i="1" s="1"/>
  <c r="U90" i="28"/>
  <c r="R90" i="28"/>
  <c r="Q90" i="28"/>
  <c r="S482" i="1" s="1"/>
  <c r="O90" i="28"/>
  <c r="Q482" i="1" s="1"/>
  <c r="M90" i="28"/>
  <c r="O482" i="1" s="1"/>
  <c r="K90" i="28"/>
  <c r="M482" i="1" s="1"/>
  <c r="I90" i="28"/>
  <c r="K482" i="1" s="1"/>
  <c r="G90" i="28"/>
  <c r="I482" i="1" s="1"/>
  <c r="E90" i="28"/>
  <c r="G482" i="1" s="1"/>
  <c r="V87" i="28"/>
  <c r="F163" i="1" s="1"/>
  <c r="S87" i="28"/>
  <c r="D163" i="1" s="1"/>
  <c r="U86" i="28"/>
  <c r="R86" i="28"/>
  <c r="T481" i="1" s="1"/>
  <c r="Q86" i="28"/>
  <c r="S481" i="1" s="1"/>
  <c r="O86" i="28"/>
  <c r="Q481" i="1" s="1"/>
  <c r="M86" i="28"/>
  <c r="O481" i="1" s="1"/>
  <c r="K86" i="28"/>
  <c r="M481" i="1" s="1"/>
  <c r="I86" i="28"/>
  <c r="K481" i="1" s="1"/>
  <c r="G86" i="28"/>
  <c r="I481" i="1" s="1"/>
  <c r="E86" i="28"/>
  <c r="G481" i="1" s="1"/>
  <c r="U85" i="28"/>
  <c r="R85" i="28"/>
  <c r="T480" i="1" s="1"/>
  <c r="Q85" i="28"/>
  <c r="S480" i="1" s="1"/>
  <c r="O85" i="28"/>
  <c r="Q480" i="1" s="1"/>
  <c r="M85" i="28"/>
  <c r="O480" i="1" s="1"/>
  <c r="K85" i="28"/>
  <c r="M480" i="1" s="1"/>
  <c r="I85" i="28"/>
  <c r="K480" i="1" s="1"/>
  <c r="G85" i="28"/>
  <c r="I480" i="1" s="1"/>
  <c r="E85" i="28"/>
  <c r="G480" i="1" s="1"/>
  <c r="U84" i="28"/>
  <c r="R84" i="28"/>
  <c r="T479" i="1" s="1"/>
  <c r="Q84" i="28"/>
  <c r="S479" i="1" s="1"/>
  <c r="O84" i="28"/>
  <c r="Q479" i="1" s="1"/>
  <c r="M84" i="28"/>
  <c r="O479" i="1" s="1"/>
  <c r="K84" i="28"/>
  <c r="M479" i="1" s="1"/>
  <c r="I84" i="28"/>
  <c r="K479" i="1" s="1"/>
  <c r="G84" i="28"/>
  <c r="I479" i="1" s="1"/>
  <c r="E84" i="28"/>
  <c r="G479" i="1" s="1"/>
  <c r="U83" i="28"/>
  <c r="R83" i="28"/>
  <c r="T478" i="1" s="1"/>
  <c r="Q83" i="28"/>
  <c r="S478" i="1" s="1"/>
  <c r="O83" i="28"/>
  <c r="Q478" i="1" s="1"/>
  <c r="M83" i="28"/>
  <c r="O478" i="1" s="1"/>
  <c r="K83" i="28"/>
  <c r="M478" i="1" s="1"/>
  <c r="I83" i="28"/>
  <c r="K478" i="1" s="1"/>
  <c r="G83" i="28"/>
  <c r="I478" i="1" s="1"/>
  <c r="E83" i="28"/>
  <c r="G478" i="1" s="1"/>
  <c r="U82" i="28"/>
  <c r="R82" i="28"/>
  <c r="T477" i="1" s="1"/>
  <c r="Q82" i="28"/>
  <c r="S477" i="1" s="1"/>
  <c r="O82" i="28"/>
  <c r="Q477" i="1" s="1"/>
  <c r="M82" i="28"/>
  <c r="O477" i="1" s="1"/>
  <c r="K82" i="28"/>
  <c r="M477" i="1" s="1"/>
  <c r="I82" i="28"/>
  <c r="K477" i="1" s="1"/>
  <c r="G82" i="28"/>
  <c r="I477" i="1" s="1"/>
  <c r="E82" i="28"/>
  <c r="G477" i="1" s="1"/>
  <c r="U81" i="28"/>
  <c r="R81" i="28"/>
  <c r="Q81" i="28"/>
  <c r="S476" i="1" s="1"/>
  <c r="O81" i="28"/>
  <c r="Q476" i="1" s="1"/>
  <c r="M81" i="28"/>
  <c r="O476" i="1" s="1"/>
  <c r="K81" i="28"/>
  <c r="M476" i="1" s="1"/>
  <c r="I81" i="28"/>
  <c r="K476" i="1" s="1"/>
  <c r="G81" i="28"/>
  <c r="I476" i="1" s="1"/>
  <c r="E81" i="28"/>
  <c r="G476" i="1" s="1"/>
  <c r="I36" i="28"/>
  <c r="AL105" i="1" s="1"/>
  <c r="I33" i="28"/>
  <c r="AJ105" i="1" s="1"/>
  <c r="AA30" i="28"/>
  <c r="AA29" i="28"/>
  <c r="I29" i="28"/>
  <c r="AI105" i="1" s="1"/>
  <c r="I22" i="28"/>
  <c r="AC105" i="1" s="1"/>
  <c r="I18" i="28"/>
  <c r="AA105" i="1" s="1"/>
  <c r="Z105" i="1"/>
  <c r="I16" i="28"/>
  <c r="Y105" i="1" s="1"/>
  <c r="K8" i="28"/>
  <c r="T2" i="28"/>
  <c r="E105" i="1" s="1"/>
  <c r="V96" i="29"/>
  <c r="F166" i="1" s="1"/>
  <c r="S96" i="29"/>
  <c r="D166" i="1" s="1"/>
  <c r="U95" i="29"/>
  <c r="R95" i="29"/>
  <c r="T499" i="1" s="1"/>
  <c r="Q95" i="29"/>
  <c r="S499" i="1" s="1"/>
  <c r="O95" i="29"/>
  <c r="Q499" i="1" s="1"/>
  <c r="M95" i="29"/>
  <c r="O499" i="1" s="1"/>
  <c r="K95" i="29"/>
  <c r="M499" i="1" s="1"/>
  <c r="I95" i="29"/>
  <c r="K499" i="1" s="1"/>
  <c r="G95" i="29"/>
  <c r="I499" i="1" s="1"/>
  <c r="E95" i="29"/>
  <c r="G499" i="1" s="1"/>
  <c r="U94" i="29"/>
  <c r="R94" i="29"/>
  <c r="T498" i="1" s="1"/>
  <c r="Q94" i="29"/>
  <c r="S498" i="1" s="1"/>
  <c r="O94" i="29"/>
  <c r="Q498" i="1" s="1"/>
  <c r="M94" i="29"/>
  <c r="O498" i="1" s="1"/>
  <c r="K94" i="29"/>
  <c r="M498" i="1" s="1"/>
  <c r="I94" i="29"/>
  <c r="K498" i="1" s="1"/>
  <c r="G94" i="29"/>
  <c r="I498" i="1" s="1"/>
  <c r="E94" i="29"/>
  <c r="G498" i="1" s="1"/>
  <c r="U93" i="29"/>
  <c r="R93" i="29"/>
  <c r="T497" i="1" s="1"/>
  <c r="Q93" i="29"/>
  <c r="S497" i="1" s="1"/>
  <c r="O93" i="29"/>
  <c r="Q497" i="1" s="1"/>
  <c r="M93" i="29"/>
  <c r="O497" i="1" s="1"/>
  <c r="K93" i="29"/>
  <c r="M497" i="1" s="1"/>
  <c r="I93" i="29"/>
  <c r="K497" i="1" s="1"/>
  <c r="G93" i="29"/>
  <c r="I497" i="1" s="1"/>
  <c r="E93" i="29"/>
  <c r="G497" i="1" s="1"/>
  <c r="U92" i="29"/>
  <c r="R92" i="29"/>
  <c r="T496" i="1" s="1"/>
  <c r="Q92" i="29"/>
  <c r="S496" i="1" s="1"/>
  <c r="O92" i="29"/>
  <c r="Q496" i="1" s="1"/>
  <c r="M92" i="29"/>
  <c r="O496" i="1" s="1"/>
  <c r="K92" i="29"/>
  <c r="M496" i="1" s="1"/>
  <c r="I92" i="29"/>
  <c r="K496" i="1" s="1"/>
  <c r="G92" i="29"/>
  <c r="I496" i="1" s="1"/>
  <c r="E92" i="29"/>
  <c r="G496" i="1" s="1"/>
  <c r="U91" i="29"/>
  <c r="R91" i="29"/>
  <c r="T495" i="1" s="1"/>
  <c r="Q91" i="29"/>
  <c r="S495" i="1" s="1"/>
  <c r="O91" i="29"/>
  <c r="Q495" i="1" s="1"/>
  <c r="M91" i="29"/>
  <c r="O495" i="1" s="1"/>
  <c r="K91" i="29"/>
  <c r="M495" i="1" s="1"/>
  <c r="I91" i="29"/>
  <c r="K495" i="1" s="1"/>
  <c r="G91" i="29"/>
  <c r="I495" i="1" s="1"/>
  <c r="E91" i="29"/>
  <c r="G495" i="1" s="1"/>
  <c r="U90" i="29"/>
  <c r="R90" i="29"/>
  <c r="Q90" i="29"/>
  <c r="S494" i="1" s="1"/>
  <c r="O90" i="29"/>
  <c r="Q494" i="1" s="1"/>
  <c r="M90" i="29"/>
  <c r="O494" i="1" s="1"/>
  <c r="K90" i="29"/>
  <c r="M494" i="1" s="1"/>
  <c r="I90" i="29"/>
  <c r="K494" i="1" s="1"/>
  <c r="G90" i="29"/>
  <c r="I494" i="1" s="1"/>
  <c r="E90" i="29"/>
  <c r="G494" i="1" s="1"/>
  <c r="V87" i="29"/>
  <c r="F165" i="1" s="1"/>
  <c r="S87" i="29"/>
  <c r="D165" i="1" s="1"/>
  <c r="U86" i="29"/>
  <c r="R86" i="29"/>
  <c r="T493" i="1" s="1"/>
  <c r="Q86" i="29"/>
  <c r="S493" i="1" s="1"/>
  <c r="O86" i="29"/>
  <c r="Q493" i="1" s="1"/>
  <c r="M86" i="29"/>
  <c r="O493" i="1" s="1"/>
  <c r="K86" i="29"/>
  <c r="M493" i="1" s="1"/>
  <c r="I86" i="29"/>
  <c r="K493" i="1" s="1"/>
  <c r="G86" i="29"/>
  <c r="I493" i="1" s="1"/>
  <c r="E86" i="29"/>
  <c r="G493" i="1" s="1"/>
  <c r="U85" i="29"/>
  <c r="R85" i="29"/>
  <c r="T492" i="1" s="1"/>
  <c r="Q85" i="29"/>
  <c r="S492" i="1" s="1"/>
  <c r="O85" i="29"/>
  <c r="Q492" i="1" s="1"/>
  <c r="M85" i="29"/>
  <c r="O492" i="1" s="1"/>
  <c r="K85" i="29"/>
  <c r="M492" i="1" s="1"/>
  <c r="I85" i="29"/>
  <c r="K492" i="1" s="1"/>
  <c r="G85" i="29"/>
  <c r="I492" i="1" s="1"/>
  <c r="E85" i="29"/>
  <c r="G492" i="1" s="1"/>
  <c r="U84" i="29"/>
  <c r="R84" i="29"/>
  <c r="T491" i="1" s="1"/>
  <c r="Q84" i="29"/>
  <c r="S491" i="1" s="1"/>
  <c r="O84" i="29"/>
  <c r="Q491" i="1" s="1"/>
  <c r="M84" i="29"/>
  <c r="O491" i="1" s="1"/>
  <c r="K84" i="29"/>
  <c r="M491" i="1" s="1"/>
  <c r="I84" i="29"/>
  <c r="K491" i="1" s="1"/>
  <c r="G84" i="29"/>
  <c r="I491" i="1" s="1"/>
  <c r="E84" i="29"/>
  <c r="G491" i="1" s="1"/>
  <c r="U83" i="29"/>
  <c r="R83" i="29"/>
  <c r="T490" i="1" s="1"/>
  <c r="Q83" i="29"/>
  <c r="S490" i="1" s="1"/>
  <c r="O83" i="29"/>
  <c r="Q490" i="1" s="1"/>
  <c r="M83" i="29"/>
  <c r="O490" i="1" s="1"/>
  <c r="K83" i="29"/>
  <c r="M490" i="1" s="1"/>
  <c r="I83" i="29"/>
  <c r="K490" i="1" s="1"/>
  <c r="G83" i="29"/>
  <c r="I490" i="1" s="1"/>
  <c r="E83" i="29"/>
  <c r="G490" i="1" s="1"/>
  <c r="U82" i="29"/>
  <c r="R82" i="29"/>
  <c r="T489" i="1" s="1"/>
  <c r="Q82" i="29"/>
  <c r="S489" i="1" s="1"/>
  <c r="O82" i="29"/>
  <c r="Q489" i="1" s="1"/>
  <c r="M82" i="29"/>
  <c r="O489" i="1" s="1"/>
  <c r="K82" i="29"/>
  <c r="M489" i="1" s="1"/>
  <c r="I82" i="29"/>
  <c r="K489" i="1" s="1"/>
  <c r="G82" i="29"/>
  <c r="I489" i="1" s="1"/>
  <c r="E82" i="29"/>
  <c r="G489" i="1" s="1"/>
  <c r="U81" i="29"/>
  <c r="R81" i="29"/>
  <c r="Q81" i="29"/>
  <c r="S488" i="1" s="1"/>
  <c r="O81" i="29"/>
  <c r="Q488" i="1" s="1"/>
  <c r="M81" i="29"/>
  <c r="O488" i="1" s="1"/>
  <c r="K81" i="29"/>
  <c r="M488" i="1" s="1"/>
  <c r="I81" i="29"/>
  <c r="K488" i="1" s="1"/>
  <c r="G81" i="29"/>
  <c r="I488" i="1" s="1"/>
  <c r="E81" i="29"/>
  <c r="G488" i="1" s="1"/>
  <c r="I36" i="29"/>
  <c r="AL106" i="1" s="1"/>
  <c r="I33" i="29"/>
  <c r="AJ106" i="1" s="1"/>
  <c r="AA30" i="29"/>
  <c r="AA29" i="29"/>
  <c r="I29" i="29"/>
  <c r="AI106" i="1" s="1"/>
  <c r="I22" i="29"/>
  <c r="AC106" i="1" s="1"/>
  <c r="I18" i="29"/>
  <c r="AA106" i="1" s="1"/>
  <c r="Z106" i="1"/>
  <c r="I16" i="29"/>
  <c r="Y106" i="1" s="1"/>
  <c r="K8" i="29"/>
  <c r="T2" i="29"/>
  <c r="E106" i="1" s="1"/>
  <c r="V96" i="30"/>
  <c r="F168" i="1" s="1"/>
  <c r="S96" i="30"/>
  <c r="D168" i="1" s="1"/>
  <c r="U95" i="30"/>
  <c r="R95" i="30"/>
  <c r="T511" i="1" s="1"/>
  <c r="Q95" i="30"/>
  <c r="S511" i="1" s="1"/>
  <c r="O95" i="30"/>
  <c r="Q511" i="1" s="1"/>
  <c r="M95" i="30"/>
  <c r="O511" i="1" s="1"/>
  <c r="K95" i="30"/>
  <c r="M511" i="1" s="1"/>
  <c r="I95" i="30"/>
  <c r="K511" i="1" s="1"/>
  <c r="G95" i="30"/>
  <c r="I511" i="1" s="1"/>
  <c r="E95" i="30"/>
  <c r="G511" i="1" s="1"/>
  <c r="U94" i="30"/>
  <c r="R94" i="30"/>
  <c r="T510" i="1" s="1"/>
  <c r="Q94" i="30"/>
  <c r="S510" i="1" s="1"/>
  <c r="O94" i="30"/>
  <c r="Q510" i="1" s="1"/>
  <c r="M94" i="30"/>
  <c r="O510" i="1" s="1"/>
  <c r="K94" i="30"/>
  <c r="M510" i="1" s="1"/>
  <c r="I94" i="30"/>
  <c r="K510" i="1" s="1"/>
  <c r="G94" i="30"/>
  <c r="I510" i="1" s="1"/>
  <c r="E94" i="30"/>
  <c r="G510" i="1" s="1"/>
  <c r="U93" i="30"/>
  <c r="R93" i="30"/>
  <c r="T509" i="1" s="1"/>
  <c r="Q93" i="30"/>
  <c r="S509" i="1" s="1"/>
  <c r="O93" i="30"/>
  <c r="Q509" i="1" s="1"/>
  <c r="M93" i="30"/>
  <c r="O509" i="1" s="1"/>
  <c r="K93" i="30"/>
  <c r="M509" i="1" s="1"/>
  <c r="I93" i="30"/>
  <c r="K509" i="1" s="1"/>
  <c r="G93" i="30"/>
  <c r="I509" i="1" s="1"/>
  <c r="E93" i="30"/>
  <c r="G509" i="1" s="1"/>
  <c r="U92" i="30"/>
  <c r="R92" i="30"/>
  <c r="T508" i="1" s="1"/>
  <c r="Q92" i="30"/>
  <c r="S508" i="1" s="1"/>
  <c r="O92" i="30"/>
  <c r="Q508" i="1" s="1"/>
  <c r="M92" i="30"/>
  <c r="O508" i="1" s="1"/>
  <c r="K92" i="30"/>
  <c r="M508" i="1" s="1"/>
  <c r="I92" i="30"/>
  <c r="K508" i="1" s="1"/>
  <c r="G92" i="30"/>
  <c r="I508" i="1" s="1"/>
  <c r="E92" i="30"/>
  <c r="G508" i="1" s="1"/>
  <c r="U91" i="30"/>
  <c r="R91" i="30"/>
  <c r="T507" i="1" s="1"/>
  <c r="Q91" i="30"/>
  <c r="S507" i="1" s="1"/>
  <c r="O91" i="30"/>
  <c r="Q507" i="1" s="1"/>
  <c r="M91" i="30"/>
  <c r="O507" i="1" s="1"/>
  <c r="K91" i="30"/>
  <c r="M507" i="1" s="1"/>
  <c r="I91" i="30"/>
  <c r="K507" i="1" s="1"/>
  <c r="G91" i="30"/>
  <c r="I507" i="1" s="1"/>
  <c r="E91" i="30"/>
  <c r="G507" i="1" s="1"/>
  <c r="U90" i="30"/>
  <c r="R90" i="30"/>
  <c r="Q90" i="30"/>
  <c r="S506" i="1" s="1"/>
  <c r="O90" i="30"/>
  <c r="Q506" i="1" s="1"/>
  <c r="M90" i="30"/>
  <c r="O506" i="1" s="1"/>
  <c r="K90" i="30"/>
  <c r="M506" i="1" s="1"/>
  <c r="I90" i="30"/>
  <c r="K506" i="1" s="1"/>
  <c r="G90" i="30"/>
  <c r="I506" i="1" s="1"/>
  <c r="E90" i="30"/>
  <c r="G506" i="1" s="1"/>
  <c r="V87" i="30"/>
  <c r="F167" i="1" s="1"/>
  <c r="S87" i="30"/>
  <c r="D167" i="1" s="1"/>
  <c r="U86" i="30"/>
  <c r="R86" i="30"/>
  <c r="T505" i="1" s="1"/>
  <c r="Q86" i="30"/>
  <c r="S505" i="1" s="1"/>
  <c r="O86" i="30"/>
  <c r="Q505" i="1" s="1"/>
  <c r="M86" i="30"/>
  <c r="O505" i="1" s="1"/>
  <c r="K86" i="30"/>
  <c r="M505" i="1" s="1"/>
  <c r="I86" i="30"/>
  <c r="K505" i="1" s="1"/>
  <c r="G86" i="30"/>
  <c r="I505" i="1" s="1"/>
  <c r="E86" i="30"/>
  <c r="G505" i="1" s="1"/>
  <c r="U85" i="30"/>
  <c r="R85" i="30"/>
  <c r="T504" i="1" s="1"/>
  <c r="Q85" i="30"/>
  <c r="S504" i="1" s="1"/>
  <c r="O85" i="30"/>
  <c r="Q504" i="1" s="1"/>
  <c r="M85" i="30"/>
  <c r="O504" i="1" s="1"/>
  <c r="K85" i="30"/>
  <c r="M504" i="1" s="1"/>
  <c r="I85" i="30"/>
  <c r="K504" i="1" s="1"/>
  <c r="G85" i="30"/>
  <c r="I504" i="1" s="1"/>
  <c r="E85" i="30"/>
  <c r="G504" i="1" s="1"/>
  <c r="U84" i="30"/>
  <c r="R84" i="30"/>
  <c r="T503" i="1" s="1"/>
  <c r="Q84" i="30"/>
  <c r="S503" i="1" s="1"/>
  <c r="O84" i="30"/>
  <c r="Q503" i="1" s="1"/>
  <c r="M84" i="30"/>
  <c r="O503" i="1" s="1"/>
  <c r="K84" i="30"/>
  <c r="M503" i="1" s="1"/>
  <c r="I84" i="30"/>
  <c r="K503" i="1" s="1"/>
  <c r="G84" i="30"/>
  <c r="I503" i="1" s="1"/>
  <c r="E84" i="30"/>
  <c r="G503" i="1" s="1"/>
  <c r="U83" i="30"/>
  <c r="R83" i="30"/>
  <c r="T502" i="1" s="1"/>
  <c r="Q83" i="30"/>
  <c r="S502" i="1" s="1"/>
  <c r="O83" i="30"/>
  <c r="Q502" i="1" s="1"/>
  <c r="M83" i="30"/>
  <c r="O502" i="1" s="1"/>
  <c r="K83" i="30"/>
  <c r="M502" i="1" s="1"/>
  <c r="I83" i="30"/>
  <c r="K502" i="1" s="1"/>
  <c r="G83" i="30"/>
  <c r="I502" i="1" s="1"/>
  <c r="E83" i="30"/>
  <c r="G502" i="1" s="1"/>
  <c r="U82" i="30"/>
  <c r="R82" i="30"/>
  <c r="T501" i="1" s="1"/>
  <c r="Q82" i="30"/>
  <c r="S501" i="1" s="1"/>
  <c r="O82" i="30"/>
  <c r="Q501" i="1" s="1"/>
  <c r="M82" i="30"/>
  <c r="O501" i="1" s="1"/>
  <c r="K82" i="30"/>
  <c r="M501" i="1" s="1"/>
  <c r="I82" i="30"/>
  <c r="K501" i="1" s="1"/>
  <c r="G82" i="30"/>
  <c r="I501" i="1" s="1"/>
  <c r="E82" i="30"/>
  <c r="G501" i="1" s="1"/>
  <c r="U81" i="30"/>
  <c r="R81" i="30"/>
  <c r="Q81" i="30"/>
  <c r="S500" i="1" s="1"/>
  <c r="O81" i="30"/>
  <c r="Q500" i="1" s="1"/>
  <c r="M81" i="30"/>
  <c r="O500" i="1" s="1"/>
  <c r="K81" i="30"/>
  <c r="M500" i="1" s="1"/>
  <c r="I81" i="30"/>
  <c r="K500" i="1" s="1"/>
  <c r="G81" i="30"/>
  <c r="I500" i="1" s="1"/>
  <c r="E81" i="30"/>
  <c r="G500" i="1" s="1"/>
  <c r="I36" i="30"/>
  <c r="AL107" i="1" s="1"/>
  <c r="I33" i="30"/>
  <c r="AJ107" i="1" s="1"/>
  <c r="AA30" i="30"/>
  <c r="AA29" i="30"/>
  <c r="I29" i="30"/>
  <c r="AI107" i="1" s="1"/>
  <c r="I22" i="30"/>
  <c r="AC107" i="1" s="1"/>
  <c r="I18" i="30"/>
  <c r="AA107" i="1" s="1"/>
  <c r="Z107" i="1"/>
  <c r="I16" i="30"/>
  <c r="Y107" i="1" s="1"/>
  <c r="K8" i="30"/>
  <c r="T2" i="30"/>
  <c r="E107" i="1" s="1"/>
  <c r="V96" i="31"/>
  <c r="F170" i="1" s="1"/>
  <c r="S96" i="31"/>
  <c r="D170" i="1" s="1"/>
  <c r="U95" i="31"/>
  <c r="R95" i="31"/>
  <c r="T523" i="1" s="1"/>
  <c r="Q95" i="31"/>
  <c r="S523" i="1" s="1"/>
  <c r="O95" i="31"/>
  <c r="Q523" i="1" s="1"/>
  <c r="M95" i="31"/>
  <c r="O523" i="1" s="1"/>
  <c r="K95" i="31"/>
  <c r="M523" i="1" s="1"/>
  <c r="I95" i="31"/>
  <c r="K523" i="1" s="1"/>
  <c r="G95" i="31"/>
  <c r="I523" i="1" s="1"/>
  <c r="E95" i="31"/>
  <c r="G523" i="1" s="1"/>
  <c r="U94" i="31"/>
  <c r="R94" i="31"/>
  <c r="T522" i="1" s="1"/>
  <c r="Q94" i="31"/>
  <c r="S522" i="1" s="1"/>
  <c r="O94" i="31"/>
  <c r="Q522" i="1" s="1"/>
  <c r="M94" i="31"/>
  <c r="O522" i="1" s="1"/>
  <c r="K94" i="31"/>
  <c r="M522" i="1" s="1"/>
  <c r="I94" i="31"/>
  <c r="K522" i="1" s="1"/>
  <c r="G94" i="31"/>
  <c r="I522" i="1" s="1"/>
  <c r="E94" i="31"/>
  <c r="G522" i="1" s="1"/>
  <c r="U93" i="31"/>
  <c r="R93" i="31"/>
  <c r="T521" i="1" s="1"/>
  <c r="Q93" i="31"/>
  <c r="S521" i="1" s="1"/>
  <c r="O93" i="31"/>
  <c r="Q521" i="1" s="1"/>
  <c r="M93" i="31"/>
  <c r="O521" i="1" s="1"/>
  <c r="K93" i="31"/>
  <c r="M521" i="1" s="1"/>
  <c r="I93" i="31"/>
  <c r="K521" i="1" s="1"/>
  <c r="G93" i="31"/>
  <c r="I521" i="1" s="1"/>
  <c r="E93" i="31"/>
  <c r="G521" i="1" s="1"/>
  <c r="U92" i="31"/>
  <c r="R92" i="31"/>
  <c r="T520" i="1" s="1"/>
  <c r="Q92" i="31"/>
  <c r="S520" i="1" s="1"/>
  <c r="O92" i="31"/>
  <c r="Q520" i="1" s="1"/>
  <c r="M92" i="31"/>
  <c r="O520" i="1" s="1"/>
  <c r="K92" i="31"/>
  <c r="M520" i="1" s="1"/>
  <c r="I92" i="31"/>
  <c r="K520" i="1" s="1"/>
  <c r="G92" i="31"/>
  <c r="I520" i="1" s="1"/>
  <c r="E92" i="31"/>
  <c r="G520" i="1" s="1"/>
  <c r="U91" i="31"/>
  <c r="R91" i="31"/>
  <c r="T519" i="1" s="1"/>
  <c r="Q91" i="31"/>
  <c r="S519" i="1" s="1"/>
  <c r="O91" i="31"/>
  <c r="Q519" i="1" s="1"/>
  <c r="M91" i="31"/>
  <c r="O519" i="1" s="1"/>
  <c r="K91" i="31"/>
  <c r="M519" i="1" s="1"/>
  <c r="I91" i="31"/>
  <c r="K519" i="1" s="1"/>
  <c r="G91" i="31"/>
  <c r="I519" i="1" s="1"/>
  <c r="E91" i="31"/>
  <c r="G519" i="1" s="1"/>
  <c r="U90" i="31"/>
  <c r="R90" i="31"/>
  <c r="Q90" i="31"/>
  <c r="S518" i="1" s="1"/>
  <c r="O90" i="31"/>
  <c r="Q518" i="1" s="1"/>
  <c r="M90" i="31"/>
  <c r="O518" i="1" s="1"/>
  <c r="K90" i="31"/>
  <c r="M518" i="1" s="1"/>
  <c r="I90" i="31"/>
  <c r="K518" i="1" s="1"/>
  <c r="G90" i="31"/>
  <c r="I518" i="1" s="1"/>
  <c r="E90" i="31"/>
  <c r="G518" i="1" s="1"/>
  <c r="V87" i="31"/>
  <c r="F169" i="1" s="1"/>
  <c r="S87" i="31"/>
  <c r="D169" i="1" s="1"/>
  <c r="U86" i="31"/>
  <c r="R86" i="31"/>
  <c r="T517" i="1" s="1"/>
  <c r="Q86" i="31"/>
  <c r="S517" i="1" s="1"/>
  <c r="O86" i="31"/>
  <c r="Q517" i="1" s="1"/>
  <c r="M86" i="31"/>
  <c r="O517" i="1" s="1"/>
  <c r="K86" i="31"/>
  <c r="M517" i="1" s="1"/>
  <c r="I86" i="31"/>
  <c r="K517" i="1" s="1"/>
  <c r="G86" i="31"/>
  <c r="I517" i="1" s="1"/>
  <c r="E86" i="31"/>
  <c r="G517" i="1" s="1"/>
  <c r="U85" i="31"/>
  <c r="R85" i="31"/>
  <c r="T516" i="1" s="1"/>
  <c r="Q85" i="31"/>
  <c r="S516" i="1" s="1"/>
  <c r="O85" i="31"/>
  <c r="Q516" i="1" s="1"/>
  <c r="M85" i="31"/>
  <c r="O516" i="1" s="1"/>
  <c r="K85" i="31"/>
  <c r="M516" i="1" s="1"/>
  <c r="I85" i="31"/>
  <c r="K516" i="1" s="1"/>
  <c r="G85" i="31"/>
  <c r="I516" i="1" s="1"/>
  <c r="E85" i="31"/>
  <c r="G516" i="1" s="1"/>
  <c r="U84" i="31"/>
  <c r="R84" i="31"/>
  <c r="T515" i="1" s="1"/>
  <c r="Q84" i="31"/>
  <c r="S515" i="1" s="1"/>
  <c r="O84" i="31"/>
  <c r="Q515" i="1" s="1"/>
  <c r="M84" i="31"/>
  <c r="O515" i="1" s="1"/>
  <c r="K84" i="31"/>
  <c r="M515" i="1" s="1"/>
  <c r="I84" i="31"/>
  <c r="K515" i="1" s="1"/>
  <c r="G84" i="31"/>
  <c r="I515" i="1" s="1"/>
  <c r="E84" i="31"/>
  <c r="G515" i="1" s="1"/>
  <c r="U83" i="31"/>
  <c r="R83" i="31"/>
  <c r="T514" i="1" s="1"/>
  <c r="Q83" i="31"/>
  <c r="S514" i="1" s="1"/>
  <c r="O83" i="31"/>
  <c r="Q514" i="1" s="1"/>
  <c r="M83" i="31"/>
  <c r="O514" i="1" s="1"/>
  <c r="K83" i="31"/>
  <c r="M514" i="1" s="1"/>
  <c r="I83" i="31"/>
  <c r="K514" i="1" s="1"/>
  <c r="G83" i="31"/>
  <c r="I514" i="1" s="1"/>
  <c r="E83" i="31"/>
  <c r="G514" i="1" s="1"/>
  <c r="U82" i="31"/>
  <c r="R82" i="31"/>
  <c r="T513" i="1" s="1"/>
  <c r="Q82" i="31"/>
  <c r="S513" i="1" s="1"/>
  <c r="O82" i="31"/>
  <c r="Q513" i="1" s="1"/>
  <c r="M82" i="31"/>
  <c r="O513" i="1" s="1"/>
  <c r="K82" i="31"/>
  <c r="M513" i="1" s="1"/>
  <c r="I82" i="31"/>
  <c r="K513" i="1" s="1"/>
  <c r="G82" i="31"/>
  <c r="I513" i="1" s="1"/>
  <c r="E82" i="31"/>
  <c r="G513" i="1" s="1"/>
  <c r="U81" i="31"/>
  <c r="R81" i="31"/>
  <c r="Q81" i="31"/>
  <c r="S512" i="1" s="1"/>
  <c r="O81" i="31"/>
  <c r="Q512" i="1" s="1"/>
  <c r="M81" i="31"/>
  <c r="O512" i="1" s="1"/>
  <c r="K81" i="31"/>
  <c r="M512" i="1" s="1"/>
  <c r="I81" i="31"/>
  <c r="K512" i="1" s="1"/>
  <c r="G81" i="31"/>
  <c r="I512" i="1" s="1"/>
  <c r="E81" i="31"/>
  <c r="G512" i="1" s="1"/>
  <c r="I36" i="31"/>
  <c r="AL108" i="1" s="1"/>
  <c r="I33" i="31"/>
  <c r="AJ108" i="1" s="1"/>
  <c r="AA30" i="31"/>
  <c r="AA29" i="31"/>
  <c r="I29" i="31"/>
  <c r="AI108" i="1" s="1"/>
  <c r="I22" i="31"/>
  <c r="AC108" i="1" s="1"/>
  <c r="I18" i="31"/>
  <c r="AA108" i="1" s="1"/>
  <c r="Z108" i="1"/>
  <c r="I16" i="31"/>
  <c r="Y108" i="1" s="1"/>
  <c r="K8" i="31"/>
  <c r="T2" i="31"/>
  <c r="E108" i="1" s="1"/>
  <c r="V96" i="32"/>
  <c r="F172" i="1" s="1"/>
  <c r="S96" i="32"/>
  <c r="D172" i="1" s="1"/>
  <c r="U95" i="32"/>
  <c r="R95" i="32"/>
  <c r="T535" i="1" s="1"/>
  <c r="Q95" i="32"/>
  <c r="S535" i="1" s="1"/>
  <c r="O95" i="32"/>
  <c r="Q535" i="1" s="1"/>
  <c r="M95" i="32"/>
  <c r="O535" i="1" s="1"/>
  <c r="K95" i="32"/>
  <c r="M535" i="1" s="1"/>
  <c r="I95" i="32"/>
  <c r="K535" i="1" s="1"/>
  <c r="G95" i="32"/>
  <c r="I535" i="1" s="1"/>
  <c r="E95" i="32"/>
  <c r="G535" i="1" s="1"/>
  <c r="U94" i="32"/>
  <c r="R94" i="32"/>
  <c r="T534" i="1" s="1"/>
  <c r="Q94" i="32"/>
  <c r="S534" i="1" s="1"/>
  <c r="O94" i="32"/>
  <c r="Q534" i="1" s="1"/>
  <c r="M94" i="32"/>
  <c r="O534" i="1" s="1"/>
  <c r="K94" i="32"/>
  <c r="M534" i="1" s="1"/>
  <c r="I94" i="32"/>
  <c r="K534" i="1" s="1"/>
  <c r="G94" i="32"/>
  <c r="I534" i="1" s="1"/>
  <c r="E94" i="32"/>
  <c r="G534" i="1" s="1"/>
  <c r="U93" i="32"/>
  <c r="R93" i="32"/>
  <c r="T533" i="1" s="1"/>
  <c r="Q93" i="32"/>
  <c r="S533" i="1" s="1"/>
  <c r="O93" i="32"/>
  <c r="Q533" i="1" s="1"/>
  <c r="M93" i="32"/>
  <c r="O533" i="1" s="1"/>
  <c r="K93" i="32"/>
  <c r="M533" i="1" s="1"/>
  <c r="I93" i="32"/>
  <c r="K533" i="1" s="1"/>
  <c r="G93" i="32"/>
  <c r="I533" i="1" s="1"/>
  <c r="E93" i="32"/>
  <c r="G533" i="1" s="1"/>
  <c r="U92" i="32"/>
  <c r="R92" i="32"/>
  <c r="T532" i="1" s="1"/>
  <c r="Q92" i="32"/>
  <c r="S532" i="1" s="1"/>
  <c r="O92" i="32"/>
  <c r="Q532" i="1" s="1"/>
  <c r="M92" i="32"/>
  <c r="O532" i="1" s="1"/>
  <c r="K92" i="32"/>
  <c r="M532" i="1" s="1"/>
  <c r="I92" i="32"/>
  <c r="K532" i="1" s="1"/>
  <c r="G92" i="32"/>
  <c r="I532" i="1" s="1"/>
  <c r="E92" i="32"/>
  <c r="G532" i="1" s="1"/>
  <c r="U91" i="32"/>
  <c r="R91" i="32"/>
  <c r="T531" i="1" s="1"/>
  <c r="Q91" i="32"/>
  <c r="S531" i="1" s="1"/>
  <c r="O91" i="32"/>
  <c r="Q531" i="1" s="1"/>
  <c r="M91" i="32"/>
  <c r="O531" i="1" s="1"/>
  <c r="K91" i="32"/>
  <c r="M531" i="1" s="1"/>
  <c r="I91" i="32"/>
  <c r="K531" i="1" s="1"/>
  <c r="G91" i="32"/>
  <c r="I531" i="1" s="1"/>
  <c r="E91" i="32"/>
  <c r="G531" i="1" s="1"/>
  <c r="U90" i="32"/>
  <c r="R90" i="32"/>
  <c r="Q90" i="32"/>
  <c r="S530" i="1" s="1"/>
  <c r="O90" i="32"/>
  <c r="Q530" i="1" s="1"/>
  <c r="M90" i="32"/>
  <c r="O530" i="1" s="1"/>
  <c r="K90" i="32"/>
  <c r="M530" i="1" s="1"/>
  <c r="I90" i="32"/>
  <c r="K530" i="1" s="1"/>
  <c r="G90" i="32"/>
  <c r="I530" i="1" s="1"/>
  <c r="E90" i="32"/>
  <c r="G530" i="1" s="1"/>
  <c r="V87" i="32"/>
  <c r="F171" i="1" s="1"/>
  <c r="S87" i="32"/>
  <c r="D171" i="1" s="1"/>
  <c r="U86" i="32"/>
  <c r="R86" i="32"/>
  <c r="T529" i="1" s="1"/>
  <c r="Q86" i="32"/>
  <c r="S529" i="1" s="1"/>
  <c r="O86" i="32"/>
  <c r="Q529" i="1" s="1"/>
  <c r="M86" i="32"/>
  <c r="O529" i="1" s="1"/>
  <c r="K86" i="32"/>
  <c r="M529" i="1" s="1"/>
  <c r="I86" i="32"/>
  <c r="K529" i="1" s="1"/>
  <c r="G86" i="32"/>
  <c r="I529" i="1" s="1"/>
  <c r="E86" i="32"/>
  <c r="G529" i="1" s="1"/>
  <c r="U85" i="32"/>
  <c r="R85" i="32"/>
  <c r="T528" i="1" s="1"/>
  <c r="Q85" i="32"/>
  <c r="S528" i="1" s="1"/>
  <c r="O85" i="32"/>
  <c r="Q528" i="1" s="1"/>
  <c r="M85" i="32"/>
  <c r="O528" i="1" s="1"/>
  <c r="K85" i="32"/>
  <c r="M528" i="1" s="1"/>
  <c r="I85" i="32"/>
  <c r="K528" i="1" s="1"/>
  <c r="G85" i="32"/>
  <c r="I528" i="1" s="1"/>
  <c r="E85" i="32"/>
  <c r="G528" i="1" s="1"/>
  <c r="U84" i="32"/>
  <c r="R84" i="32"/>
  <c r="T527" i="1" s="1"/>
  <c r="Q84" i="32"/>
  <c r="S527" i="1" s="1"/>
  <c r="O84" i="32"/>
  <c r="Q527" i="1" s="1"/>
  <c r="M84" i="32"/>
  <c r="O527" i="1" s="1"/>
  <c r="K84" i="32"/>
  <c r="M527" i="1" s="1"/>
  <c r="I84" i="32"/>
  <c r="K527" i="1" s="1"/>
  <c r="G84" i="32"/>
  <c r="I527" i="1" s="1"/>
  <c r="E84" i="32"/>
  <c r="G527" i="1" s="1"/>
  <c r="U83" i="32"/>
  <c r="R83" i="32"/>
  <c r="T526" i="1" s="1"/>
  <c r="Q83" i="32"/>
  <c r="S526" i="1" s="1"/>
  <c r="O83" i="32"/>
  <c r="Q526" i="1" s="1"/>
  <c r="M83" i="32"/>
  <c r="O526" i="1" s="1"/>
  <c r="K83" i="32"/>
  <c r="M526" i="1" s="1"/>
  <c r="I83" i="32"/>
  <c r="K526" i="1" s="1"/>
  <c r="G83" i="32"/>
  <c r="I526" i="1" s="1"/>
  <c r="E83" i="32"/>
  <c r="G526" i="1" s="1"/>
  <c r="U82" i="32"/>
  <c r="R82" i="32"/>
  <c r="T525" i="1" s="1"/>
  <c r="Q82" i="32"/>
  <c r="S525" i="1" s="1"/>
  <c r="O82" i="32"/>
  <c r="Q525" i="1" s="1"/>
  <c r="M82" i="32"/>
  <c r="O525" i="1" s="1"/>
  <c r="K82" i="32"/>
  <c r="M525" i="1" s="1"/>
  <c r="I82" i="32"/>
  <c r="K525" i="1" s="1"/>
  <c r="G82" i="32"/>
  <c r="I525" i="1" s="1"/>
  <c r="E82" i="32"/>
  <c r="G525" i="1" s="1"/>
  <c r="U81" i="32"/>
  <c r="R81" i="32"/>
  <c r="Q81" i="32"/>
  <c r="S524" i="1" s="1"/>
  <c r="O81" i="32"/>
  <c r="Q524" i="1" s="1"/>
  <c r="M81" i="32"/>
  <c r="O524" i="1" s="1"/>
  <c r="K81" i="32"/>
  <c r="M524" i="1" s="1"/>
  <c r="I81" i="32"/>
  <c r="K524" i="1" s="1"/>
  <c r="G81" i="32"/>
  <c r="I524" i="1" s="1"/>
  <c r="E81" i="32"/>
  <c r="G524" i="1" s="1"/>
  <c r="I36" i="32"/>
  <c r="AL109" i="1" s="1"/>
  <c r="I33" i="32"/>
  <c r="AJ109" i="1" s="1"/>
  <c r="AA30" i="32"/>
  <c r="AA29" i="32"/>
  <c r="I29" i="32"/>
  <c r="AI109" i="1" s="1"/>
  <c r="I22" i="32"/>
  <c r="AC109" i="1" s="1"/>
  <c r="I18" i="32"/>
  <c r="AA109" i="1" s="1"/>
  <c r="Z109" i="1"/>
  <c r="I16" i="32"/>
  <c r="Y109" i="1" s="1"/>
  <c r="K8" i="32"/>
  <c r="T2" i="32"/>
  <c r="E109" i="1" s="1"/>
  <c r="CL11" i="1"/>
  <c r="CI11" i="1"/>
  <c r="BA11" i="1"/>
  <c r="AS11" i="1"/>
  <c r="AI11" i="1"/>
  <c r="O11" i="1"/>
  <c r="N11" i="1"/>
  <c r="M11" i="1"/>
  <c r="H2" i="6"/>
  <c r="H2" i="25"/>
  <c r="H2" i="16"/>
  <c r="H2" i="21"/>
  <c r="H2" i="19"/>
  <c r="H2" i="8"/>
  <c r="H2" i="18"/>
  <c r="H2" i="28"/>
  <c r="H2" i="9"/>
  <c r="H2" i="24"/>
  <c r="H2" i="29"/>
  <c r="H2" i="10"/>
  <c r="H2" i="15"/>
  <c r="H2" i="20"/>
  <c r="H2" i="13"/>
  <c r="H2" i="23"/>
  <c r="H2" i="17"/>
  <c r="H2" i="7"/>
  <c r="H2" i="12"/>
  <c r="H2" i="27"/>
  <c r="H2" i="31"/>
  <c r="H2" i="5"/>
  <c r="H2" i="22"/>
  <c r="H2" i="11"/>
  <c r="H2" i="30"/>
  <c r="H2" i="14"/>
  <c r="H2" i="4"/>
  <c r="H2" i="32"/>
  <c r="H2" i="26"/>
  <c r="U87" i="8" l="1"/>
  <c r="E123" i="1" s="1"/>
  <c r="R87" i="7"/>
  <c r="C121" i="1" s="1"/>
  <c r="R96" i="7"/>
  <c r="C122" i="1" s="1"/>
  <c r="U87" i="6"/>
  <c r="E119" i="1" s="1"/>
  <c r="U96" i="6"/>
  <c r="E120" i="1" s="1"/>
  <c r="U96" i="7"/>
  <c r="E122" i="1" s="1"/>
  <c r="R87" i="6"/>
  <c r="C119" i="1" s="1"/>
  <c r="R96" i="6"/>
  <c r="C120" i="1" s="1"/>
  <c r="U87" i="5"/>
  <c r="E117" i="1" s="1"/>
  <c r="U96" i="5"/>
  <c r="E118" i="1" s="1"/>
  <c r="W85" i="32"/>
  <c r="X528" i="1" s="1"/>
  <c r="V528" i="1"/>
  <c r="U96" i="32"/>
  <c r="E172" i="1" s="1"/>
  <c r="V530" i="1"/>
  <c r="W86" i="31"/>
  <c r="X517" i="1" s="1"/>
  <c r="V517" i="1"/>
  <c r="W95" i="31"/>
  <c r="X523" i="1" s="1"/>
  <c r="V523" i="1"/>
  <c r="W83" i="30"/>
  <c r="X502" i="1" s="1"/>
  <c r="V502" i="1"/>
  <c r="R87" i="29"/>
  <c r="C165" i="1" s="1"/>
  <c r="T488" i="1"/>
  <c r="W86" i="32"/>
  <c r="X529" i="1" s="1"/>
  <c r="V529" i="1"/>
  <c r="W83" i="32"/>
  <c r="X526" i="1" s="1"/>
  <c r="V526" i="1"/>
  <c r="W92" i="32"/>
  <c r="X532" i="1" s="1"/>
  <c r="V532" i="1"/>
  <c r="R87" i="31"/>
  <c r="C169" i="1" s="1"/>
  <c r="T512" i="1"/>
  <c r="W84" i="31"/>
  <c r="X515" i="1" s="1"/>
  <c r="V515" i="1"/>
  <c r="R96" i="31"/>
  <c r="C170" i="1" s="1"/>
  <c r="T518" i="1"/>
  <c r="W93" i="31"/>
  <c r="X521" i="1" s="1"/>
  <c r="V521" i="1"/>
  <c r="U87" i="30"/>
  <c r="E167" i="1" s="1"/>
  <c r="V500" i="1"/>
  <c r="W85" i="30"/>
  <c r="X504" i="1" s="1"/>
  <c r="V504" i="1"/>
  <c r="U96" i="30"/>
  <c r="E168" i="1" s="1"/>
  <c r="V506" i="1"/>
  <c r="W94" i="30"/>
  <c r="X510" i="1" s="1"/>
  <c r="V510" i="1"/>
  <c r="W82" i="29"/>
  <c r="X489" i="1" s="1"/>
  <c r="V489" i="1"/>
  <c r="W86" i="29"/>
  <c r="X493" i="1" s="1"/>
  <c r="V493" i="1"/>
  <c r="W91" i="29"/>
  <c r="X495" i="1" s="1"/>
  <c r="V495" i="1"/>
  <c r="W95" i="29"/>
  <c r="X499" i="1" s="1"/>
  <c r="V499" i="1"/>
  <c r="W83" i="28"/>
  <c r="X478" i="1" s="1"/>
  <c r="V478" i="1"/>
  <c r="W92" i="28"/>
  <c r="X484" i="1" s="1"/>
  <c r="V484" i="1"/>
  <c r="R87" i="27"/>
  <c r="C161" i="1" s="1"/>
  <c r="T464" i="1"/>
  <c r="W84" i="27"/>
  <c r="X467" i="1" s="1"/>
  <c r="V467" i="1"/>
  <c r="R96" i="27"/>
  <c r="C162" i="1" s="1"/>
  <c r="T470" i="1"/>
  <c r="W93" i="27"/>
  <c r="X473" i="1" s="1"/>
  <c r="V473" i="1"/>
  <c r="U87" i="26"/>
  <c r="E159" i="1" s="1"/>
  <c r="V452" i="1"/>
  <c r="W85" i="26"/>
  <c r="X456" i="1" s="1"/>
  <c r="V456" i="1"/>
  <c r="U96" i="26"/>
  <c r="E160" i="1" s="1"/>
  <c r="V458" i="1"/>
  <c r="W94" i="26"/>
  <c r="X462" i="1" s="1"/>
  <c r="V462" i="1"/>
  <c r="W82" i="25"/>
  <c r="X441" i="1" s="1"/>
  <c r="V441" i="1"/>
  <c r="W86" i="25"/>
  <c r="X445" i="1" s="1"/>
  <c r="V445" i="1"/>
  <c r="W91" i="25"/>
  <c r="X447" i="1" s="1"/>
  <c r="V447" i="1"/>
  <c r="W95" i="25"/>
  <c r="X451" i="1" s="1"/>
  <c r="V451" i="1"/>
  <c r="W83" i="24"/>
  <c r="X430" i="1" s="1"/>
  <c r="V430" i="1"/>
  <c r="W92" i="24"/>
  <c r="X436" i="1" s="1"/>
  <c r="V436" i="1"/>
  <c r="R87" i="23"/>
  <c r="C153" i="1" s="1"/>
  <c r="T416" i="1"/>
  <c r="W84" i="23"/>
  <c r="X419" i="1" s="1"/>
  <c r="V419" i="1"/>
  <c r="R96" i="23"/>
  <c r="C154" i="1" s="1"/>
  <c r="T422" i="1"/>
  <c r="W93" i="23"/>
  <c r="X425" i="1" s="1"/>
  <c r="V425" i="1"/>
  <c r="U87" i="22"/>
  <c r="E151" i="1" s="1"/>
  <c r="V404" i="1"/>
  <c r="W85" i="22"/>
  <c r="X408" i="1" s="1"/>
  <c r="V408" i="1"/>
  <c r="U96" i="22"/>
  <c r="E152" i="1" s="1"/>
  <c r="V410" i="1"/>
  <c r="W94" i="22"/>
  <c r="X414" i="1" s="1"/>
  <c r="V414" i="1"/>
  <c r="W82" i="21"/>
  <c r="X393" i="1" s="1"/>
  <c r="V393" i="1"/>
  <c r="W86" i="21"/>
  <c r="X397" i="1" s="1"/>
  <c r="V397" i="1"/>
  <c r="W91" i="21"/>
  <c r="X399" i="1" s="1"/>
  <c r="V399" i="1"/>
  <c r="W95" i="21"/>
  <c r="X403" i="1" s="1"/>
  <c r="V403" i="1"/>
  <c r="W83" i="20"/>
  <c r="X382" i="1" s="1"/>
  <c r="V382" i="1"/>
  <c r="W92" i="20"/>
  <c r="X388" i="1" s="1"/>
  <c r="V388" i="1"/>
  <c r="R87" i="19"/>
  <c r="C145" i="1" s="1"/>
  <c r="T368" i="1"/>
  <c r="W84" i="19"/>
  <c r="X371" i="1" s="1"/>
  <c r="V371" i="1"/>
  <c r="R96" i="19"/>
  <c r="C146" i="1" s="1"/>
  <c r="T374" i="1"/>
  <c r="W93" i="19"/>
  <c r="X377" i="1" s="1"/>
  <c r="V377" i="1"/>
  <c r="U87" i="18"/>
  <c r="E143" i="1" s="1"/>
  <c r="V356" i="1"/>
  <c r="W85" i="18"/>
  <c r="X360" i="1" s="1"/>
  <c r="V360" i="1"/>
  <c r="U96" i="18"/>
  <c r="E144" i="1" s="1"/>
  <c r="V362" i="1"/>
  <c r="W94" i="18"/>
  <c r="X366" i="1" s="1"/>
  <c r="V366" i="1"/>
  <c r="W82" i="17"/>
  <c r="X345" i="1" s="1"/>
  <c r="V345" i="1"/>
  <c r="W86" i="17"/>
  <c r="X349" i="1" s="1"/>
  <c r="V349" i="1"/>
  <c r="W91" i="17"/>
  <c r="X351" i="1" s="1"/>
  <c r="V351" i="1"/>
  <c r="W95" i="17"/>
  <c r="X355" i="1" s="1"/>
  <c r="V355" i="1"/>
  <c r="W83" i="16"/>
  <c r="X334" i="1" s="1"/>
  <c r="V334" i="1"/>
  <c r="W92" i="16"/>
  <c r="X340" i="1" s="1"/>
  <c r="V340" i="1"/>
  <c r="R87" i="15"/>
  <c r="C137" i="1" s="1"/>
  <c r="T320" i="1"/>
  <c r="W84" i="15"/>
  <c r="X323" i="1" s="1"/>
  <c r="V323" i="1"/>
  <c r="R96" i="15"/>
  <c r="C138" i="1" s="1"/>
  <c r="T326" i="1"/>
  <c r="W93" i="15"/>
  <c r="X329" i="1" s="1"/>
  <c r="V329" i="1"/>
  <c r="U87" i="14"/>
  <c r="E135" i="1" s="1"/>
  <c r="V308" i="1"/>
  <c r="W85" i="14"/>
  <c r="X312" i="1" s="1"/>
  <c r="V312" i="1"/>
  <c r="U96" i="14"/>
  <c r="E136" i="1" s="1"/>
  <c r="V314" i="1"/>
  <c r="W94" i="14"/>
  <c r="X318" i="1" s="1"/>
  <c r="V318" i="1"/>
  <c r="W82" i="13"/>
  <c r="X297" i="1" s="1"/>
  <c r="V297" i="1"/>
  <c r="W86" i="13"/>
  <c r="X301" i="1" s="1"/>
  <c r="V301" i="1"/>
  <c r="W91" i="13"/>
  <c r="X303" i="1" s="1"/>
  <c r="V303" i="1"/>
  <c r="W95" i="13"/>
  <c r="X307" i="1" s="1"/>
  <c r="V307" i="1"/>
  <c r="W83" i="12"/>
  <c r="X286" i="1" s="1"/>
  <c r="V286" i="1"/>
  <c r="W92" i="12"/>
  <c r="X292" i="1" s="1"/>
  <c r="V292" i="1"/>
  <c r="R87" i="11"/>
  <c r="C129" i="1" s="1"/>
  <c r="T272" i="1"/>
  <c r="W84" i="11"/>
  <c r="X275" i="1" s="1"/>
  <c r="V275" i="1"/>
  <c r="R96" i="11"/>
  <c r="C130" i="1" s="1"/>
  <c r="T278" i="1"/>
  <c r="W93" i="11"/>
  <c r="X281" i="1" s="1"/>
  <c r="V281" i="1"/>
  <c r="U87" i="10"/>
  <c r="E127" i="1" s="1"/>
  <c r="V260" i="1"/>
  <c r="W85" i="10"/>
  <c r="X264" i="1" s="1"/>
  <c r="V264" i="1"/>
  <c r="U96" i="10"/>
  <c r="E128" i="1" s="1"/>
  <c r="V266" i="1"/>
  <c r="W94" i="10"/>
  <c r="X270" i="1" s="1"/>
  <c r="V270" i="1"/>
  <c r="W82" i="9"/>
  <c r="X249" i="1" s="1"/>
  <c r="V249" i="1"/>
  <c r="W86" i="9"/>
  <c r="X253" i="1" s="1"/>
  <c r="V253" i="1"/>
  <c r="W91" i="9"/>
  <c r="X255" i="1" s="1"/>
  <c r="V255" i="1"/>
  <c r="W95" i="9"/>
  <c r="X259" i="1" s="1"/>
  <c r="V259" i="1"/>
  <c r="W83" i="8"/>
  <c r="X238" i="1" s="1"/>
  <c r="V238" i="1"/>
  <c r="W92" i="8"/>
  <c r="X244" i="1" s="1"/>
  <c r="V244" i="1"/>
  <c r="V190" i="1"/>
  <c r="V192" i="1"/>
  <c r="V196" i="1"/>
  <c r="V198" i="1"/>
  <c r="V200" i="1"/>
  <c r="V202" i="1"/>
  <c r="V204" i="1"/>
  <c r="V206" i="1"/>
  <c r="V208" i="1"/>
  <c r="V210" i="1"/>
  <c r="V212" i="1"/>
  <c r="V214" i="1"/>
  <c r="V216" i="1"/>
  <c r="V218" i="1"/>
  <c r="V220" i="1"/>
  <c r="V222" i="1"/>
  <c r="V226" i="1"/>
  <c r="V228" i="1"/>
  <c r="V230" i="1"/>
  <c r="V232" i="1"/>
  <c r="V234" i="1"/>
  <c r="U87" i="32"/>
  <c r="E171" i="1" s="1"/>
  <c r="V524" i="1"/>
  <c r="W82" i="31"/>
  <c r="X513" i="1" s="1"/>
  <c r="V513" i="1"/>
  <c r="W91" i="31"/>
  <c r="X519" i="1" s="1"/>
  <c r="V519" i="1"/>
  <c r="W82" i="32"/>
  <c r="X525" i="1" s="1"/>
  <c r="V525" i="1"/>
  <c r="R87" i="32"/>
  <c r="C171" i="1" s="1"/>
  <c r="T524" i="1"/>
  <c r="W84" i="32"/>
  <c r="X527" i="1" s="1"/>
  <c r="V527" i="1"/>
  <c r="R96" i="32"/>
  <c r="C172" i="1" s="1"/>
  <c r="T530" i="1"/>
  <c r="W93" i="32"/>
  <c r="X533" i="1" s="1"/>
  <c r="V533" i="1"/>
  <c r="U87" i="31"/>
  <c r="E169" i="1" s="1"/>
  <c r="V512" i="1"/>
  <c r="W85" i="31"/>
  <c r="X516" i="1" s="1"/>
  <c r="V516" i="1"/>
  <c r="U96" i="31"/>
  <c r="E170" i="1" s="1"/>
  <c r="V518" i="1"/>
  <c r="W94" i="31"/>
  <c r="X522" i="1" s="1"/>
  <c r="V522" i="1"/>
  <c r="W82" i="30"/>
  <c r="X501" i="1" s="1"/>
  <c r="V501" i="1"/>
  <c r="W86" i="30"/>
  <c r="X505" i="1" s="1"/>
  <c r="V505" i="1"/>
  <c r="W91" i="30"/>
  <c r="X507" i="1" s="1"/>
  <c r="V507" i="1"/>
  <c r="W95" i="30"/>
  <c r="X511" i="1" s="1"/>
  <c r="V511" i="1"/>
  <c r="W83" i="29"/>
  <c r="X490" i="1" s="1"/>
  <c r="V490" i="1"/>
  <c r="W92" i="29"/>
  <c r="X496" i="1" s="1"/>
  <c r="V496" i="1"/>
  <c r="R87" i="28"/>
  <c r="C163" i="1" s="1"/>
  <c r="T476" i="1"/>
  <c r="W84" i="28"/>
  <c r="X479" i="1" s="1"/>
  <c r="V479" i="1"/>
  <c r="R96" i="28"/>
  <c r="C164" i="1" s="1"/>
  <c r="T482" i="1"/>
  <c r="W93" i="28"/>
  <c r="X485" i="1" s="1"/>
  <c r="V485" i="1"/>
  <c r="U87" i="27"/>
  <c r="E161" i="1" s="1"/>
  <c r="V464" i="1"/>
  <c r="W85" i="27"/>
  <c r="X468" i="1" s="1"/>
  <c r="V468" i="1"/>
  <c r="U96" i="27"/>
  <c r="E162" i="1" s="1"/>
  <c r="V470" i="1"/>
  <c r="W94" i="27"/>
  <c r="X474" i="1" s="1"/>
  <c r="V474" i="1"/>
  <c r="W82" i="26"/>
  <c r="X453" i="1" s="1"/>
  <c r="V453" i="1"/>
  <c r="W86" i="26"/>
  <c r="X457" i="1" s="1"/>
  <c r="V457" i="1"/>
  <c r="W91" i="26"/>
  <c r="X459" i="1" s="1"/>
  <c r="V459" i="1"/>
  <c r="W95" i="26"/>
  <c r="X463" i="1" s="1"/>
  <c r="V463" i="1"/>
  <c r="W83" i="25"/>
  <c r="X442" i="1" s="1"/>
  <c r="V442" i="1"/>
  <c r="W92" i="25"/>
  <c r="X448" i="1" s="1"/>
  <c r="V448" i="1"/>
  <c r="R87" i="24"/>
  <c r="C155" i="1" s="1"/>
  <c r="T428" i="1"/>
  <c r="W84" i="24"/>
  <c r="X431" i="1" s="1"/>
  <c r="V431" i="1"/>
  <c r="R96" i="24"/>
  <c r="C156" i="1" s="1"/>
  <c r="T434" i="1"/>
  <c r="W93" i="24"/>
  <c r="X437" i="1" s="1"/>
  <c r="V437" i="1"/>
  <c r="U87" i="23"/>
  <c r="E153" i="1" s="1"/>
  <c r="V416" i="1"/>
  <c r="W85" i="23"/>
  <c r="X420" i="1" s="1"/>
  <c r="V420" i="1"/>
  <c r="U96" i="23"/>
  <c r="E154" i="1" s="1"/>
  <c r="V422" i="1"/>
  <c r="W94" i="23"/>
  <c r="X426" i="1" s="1"/>
  <c r="V426" i="1"/>
  <c r="W82" i="22"/>
  <c r="X405" i="1" s="1"/>
  <c r="V405" i="1"/>
  <c r="W86" i="22"/>
  <c r="X409" i="1" s="1"/>
  <c r="V409" i="1"/>
  <c r="W91" i="22"/>
  <c r="X411" i="1" s="1"/>
  <c r="V411" i="1"/>
  <c r="W95" i="22"/>
  <c r="X415" i="1" s="1"/>
  <c r="V415" i="1"/>
  <c r="W83" i="21"/>
  <c r="X394" i="1" s="1"/>
  <c r="V394" i="1"/>
  <c r="W92" i="21"/>
  <c r="X400" i="1" s="1"/>
  <c r="V400" i="1"/>
  <c r="R87" i="20"/>
  <c r="C147" i="1" s="1"/>
  <c r="T380" i="1"/>
  <c r="W84" i="20"/>
  <c r="X383" i="1" s="1"/>
  <c r="V383" i="1"/>
  <c r="R96" i="20"/>
  <c r="C148" i="1" s="1"/>
  <c r="T386" i="1"/>
  <c r="W93" i="20"/>
  <c r="X389" i="1" s="1"/>
  <c r="V389" i="1"/>
  <c r="U87" i="19"/>
  <c r="E145" i="1" s="1"/>
  <c r="V368" i="1"/>
  <c r="W85" i="19"/>
  <c r="X372" i="1" s="1"/>
  <c r="V372" i="1"/>
  <c r="U96" i="19"/>
  <c r="E146" i="1" s="1"/>
  <c r="V374" i="1"/>
  <c r="W94" i="19"/>
  <c r="X378" i="1" s="1"/>
  <c r="V378" i="1"/>
  <c r="W82" i="18"/>
  <c r="X357" i="1" s="1"/>
  <c r="V357" i="1"/>
  <c r="W86" i="18"/>
  <c r="X361" i="1" s="1"/>
  <c r="V361" i="1"/>
  <c r="W91" i="18"/>
  <c r="X363" i="1" s="1"/>
  <c r="V363" i="1"/>
  <c r="W95" i="18"/>
  <c r="X367" i="1" s="1"/>
  <c r="V367" i="1"/>
  <c r="W83" i="17"/>
  <c r="X346" i="1" s="1"/>
  <c r="V346" i="1"/>
  <c r="W92" i="17"/>
  <c r="X352" i="1" s="1"/>
  <c r="V352" i="1"/>
  <c r="R87" i="16"/>
  <c r="C139" i="1" s="1"/>
  <c r="T332" i="1"/>
  <c r="W84" i="16"/>
  <c r="X335" i="1" s="1"/>
  <c r="V335" i="1"/>
  <c r="R96" i="16"/>
  <c r="C140" i="1" s="1"/>
  <c r="T338" i="1"/>
  <c r="W93" i="16"/>
  <c r="X341" i="1" s="1"/>
  <c r="V341" i="1"/>
  <c r="U87" i="15"/>
  <c r="E137" i="1" s="1"/>
  <c r="V320" i="1"/>
  <c r="W85" i="15"/>
  <c r="X324" i="1" s="1"/>
  <c r="V324" i="1"/>
  <c r="U96" i="15"/>
  <c r="E138" i="1" s="1"/>
  <c r="V326" i="1"/>
  <c r="W94" i="15"/>
  <c r="X330" i="1" s="1"/>
  <c r="V330" i="1"/>
  <c r="W82" i="14"/>
  <c r="X309" i="1" s="1"/>
  <c r="V309" i="1"/>
  <c r="W86" i="14"/>
  <c r="X313" i="1" s="1"/>
  <c r="V313" i="1"/>
  <c r="W91" i="14"/>
  <c r="X315" i="1" s="1"/>
  <c r="V315" i="1"/>
  <c r="W95" i="14"/>
  <c r="X319" i="1" s="1"/>
  <c r="V319" i="1"/>
  <c r="W83" i="13"/>
  <c r="X298" i="1" s="1"/>
  <c r="V298" i="1"/>
  <c r="W92" i="13"/>
  <c r="X304" i="1" s="1"/>
  <c r="V304" i="1"/>
  <c r="R87" i="12"/>
  <c r="C131" i="1" s="1"/>
  <c r="T284" i="1"/>
  <c r="W84" i="12"/>
  <c r="X287" i="1" s="1"/>
  <c r="V287" i="1"/>
  <c r="R96" i="12"/>
  <c r="C132" i="1" s="1"/>
  <c r="T290" i="1"/>
  <c r="W93" i="12"/>
  <c r="X293" i="1" s="1"/>
  <c r="V293" i="1"/>
  <c r="U87" i="11"/>
  <c r="E129" i="1" s="1"/>
  <c r="V272" i="1"/>
  <c r="W85" i="11"/>
  <c r="X276" i="1" s="1"/>
  <c r="V276" i="1"/>
  <c r="U96" i="11"/>
  <c r="E130" i="1" s="1"/>
  <c r="V278" i="1"/>
  <c r="W94" i="11"/>
  <c r="X282" i="1" s="1"/>
  <c r="V282" i="1"/>
  <c r="W82" i="10"/>
  <c r="X261" i="1" s="1"/>
  <c r="V261" i="1"/>
  <c r="W86" i="10"/>
  <c r="X265" i="1" s="1"/>
  <c r="V265" i="1"/>
  <c r="W91" i="10"/>
  <c r="X267" i="1" s="1"/>
  <c r="V267" i="1"/>
  <c r="W95" i="10"/>
  <c r="X271" i="1" s="1"/>
  <c r="V271" i="1"/>
  <c r="W83" i="9"/>
  <c r="X250" i="1" s="1"/>
  <c r="V250" i="1"/>
  <c r="W92" i="9"/>
  <c r="X256" i="1" s="1"/>
  <c r="V256" i="1"/>
  <c r="R87" i="8"/>
  <c r="C123" i="1" s="1"/>
  <c r="T236" i="1"/>
  <c r="W84" i="8"/>
  <c r="X239" i="1" s="1"/>
  <c r="V239" i="1"/>
  <c r="R96" i="8"/>
  <c r="C124" i="1" s="1"/>
  <c r="T242" i="1"/>
  <c r="W93" i="8"/>
  <c r="X245" i="1" s="1"/>
  <c r="V245" i="1"/>
  <c r="U87" i="7"/>
  <c r="E121" i="1" s="1"/>
  <c r="R87" i="4"/>
  <c r="C115" i="1" s="1"/>
  <c r="R96" i="4"/>
  <c r="C116" i="1" s="1"/>
  <c r="W84" i="29"/>
  <c r="X491" i="1" s="1"/>
  <c r="V491" i="1"/>
  <c r="R96" i="29"/>
  <c r="C166" i="1" s="1"/>
  <c r="T494" i="1"/>
  <c r="W93" i="29"/>
  <c r="X497" i="1" s="1"/>
  <c r="V497" i="1"/>
  <c r="U87" i="28"/>
  <c r="E163" i="1" s="1"/>
  <c r="V476" i="1"/>
  <c r="W85" i="28"/>
  <c r="X480" i="1" s="1"/>
  <c r="V480" i="1"/>
  <c r="U96" i="28"/>
  <c r="E164" i="1" s="1"/>
  <c r="V482" i="1"/>
  <c r="W94" i="28"/>
  <c r="X486" i="1" s="1"/>
  <c r="V486" i="1"/>
  <c r="W82" i="27"/>
  <c r="X465" i="1" s="1"/>
  <c r="V465" i="1"/>
  <c r="W86" i="27"/>
  <c r="X469" i="1" s="1"/>
  <c r="V469" i="1"/>
  <c r="W91" i="27"/>
  <c r="X471" i="1" s="1"/>
  <c r="V471" i="1"/>
  <c r="W95" i="27"/>
  <c r="X475" i="1" s="1"/>
  <c r="V475" i="1"/>
  <c r="W83" i="26"/>
  <c r="X454" i="1" s="1"/>
  <c r="V454" i="1"/>
  <c r="W92" i="26"/>
  <c r="X460" i="1" s="1"/>
  <c r="V460" i="1"/>
  <c r="R87" i="25"/>
  <c r="C157" i="1" s="1"/>
  <c r="T440" i="1"/>
  <c r="W84" i="25"/>
  <c r="X443" i="1" s="1"/>
  <c r="V443" i="1"/>
  <c r="R96" i="25"/>
  <c r="C158" i="1" s="1"/>
  <c r="T446" i="1"/>
  <c r="W93" i="25"/>
  <c r="X449" i="1" s="1"/>
  <c r="V449" i="1"/>
  <c r="U87" i="24"/>
  <c r="E155" i="1" s="1"/>
  <c r="V428" i="1"/>
  <c r="W85" i="24"/>
  <c r="X432" i="1" s="1"/>
  <c r="V432" i="1"/>
  <c r="U96" i="24"/>
  <c r="E156" i="1" s="1"/>
  <c r="V434" i="1"/>
  <c r="W94" i="24"/>
  <c r="X438" i="1" s="1"/>
  <c r="V438" i="1"/>
  <c r="W82" i="23"/>
  <c r="X417" i="1" s="1"/>
  <c r="V417" i="1"/>
  <c r="W86" i="23"/>
  <c r="X421" i="1" s="1"/>
  <c r="V421" i="1"/>
  <c r="W91" i="23"/>
  <c r="X423" i="1" s="1"/>
  <c r="V423" i="1"/>
  <c r="W95" i="23"/>
  <c r="X427" i="1" s="1"/>
  <c r="V427" i="1"/>
  <c r="W83" i="22"/>
  <c r="X406" i="1" s="1"/>
  <c r="V406" i="1"/>
  <c r="W92" i="22"/>
  <c r="X412" i="1" s="1"/>
  <c r="V412" i="1"/>
  <c r="R87" i="21"/>
  <c r="C149" i="1" s="1"/>
  <c r="T392" i="1"/>
  <c r="W84" i="21"/>
  <c r="X395" i="1" s="1"/>
  <c r="V395" i="1"/>
  <c r="R96" i="21"/>
  <c r="C150" i="1" s="1"/>
  <c r="T398" i="1"/>
  <c r="W93" i="21"/>
  <c r="X401" i="1" s="1"/>
  <c r="V401" i="1"/>
  <c r="U87" i="20"/>
  <c r="E147" i="1" s="1"/>
  <c r="V380" i="1"/>
  <c r="W85" i="20"/>
  <c r="X384" i="1" s="1"/>
  <c r="V384" i="1"/>
  <c r="U96" i="20"/>
  <c r="E148" i="1" s="1"/>
  <c r="V386" i="1"/>
  <c r="W94" i="20"/>
  <c r="X390" i="1" s="1"/>
  <c r="V390" i="1"/>
  <c r="W82" i="19"/>
  <c r="X369" i="1" s="1"/>
  <c r="V369" i="1"/>
  <c r="W86" i="19"/>
  <c r="X373" i="1" s="1"/>
  <c r="V373" i="1"/>
  <c r="W91" i="19"/>
  <c r="X375" i="1" s="1"/>
  <c r="V375" i="1"/>
  <c r="W95" i="19"/>
  <c r="X379" i="1" s="1"/>
  <c r="V379" i="1"/>
  <c r="W83" i="18"/>
  <c r="X358" i="1" s="1"/>
  <c r="V358" i="1"/>
  <c r="W92" i="18"/>
  <c r="X364" i="1" s="1"/>
  <c r="V364" i="1"/>
  <c r="R87" i="17"/>
  <c r="C141" i="1" s="1"/>
  <c r="T344" i="1"/>
  <c r="W84" i="17"/>
  <c r="X347" i="1" s="1"/>
  <c r="V347" i="1"/>
  <c r="R96" i="17"/>
  <c r="C142" i="1" s="1"/>
  <c r="T350" i="1"/>
  <c r="W93" i="17"/>
  <c r="X353" i="1" s="1"/>
  <c r="V353" i="1"/>
  <c r="U87" i="16"/>
  <c r="E139" i="1" s="1"/>
  <c r="V332" i="1"/>
  <c r="W85" i="16"/>
  <c r="X336" i="1" s="1"/>
  <c r="V336" i="1"/>
  <c r="U96" i="16"/>
  <c r="E140" i="1" s="1"/>
  <c r="V338" i="1"/>
  <c r="W94" i="16"/>
  <c r="X342" i="1" s="1"/>
  <c r="V342" i="1"/>
  <c r="W82" i="15"/>
  <c r="X321" i="1" s="1"/>
  <c r="V321" i="1"/>
  <c r="W86" i="15"/>
  <c r="X325" i="1" s="1"/>
  <c r="V325" i="1"/>
  <c r="W91" i="15"/>
  <c r="X327" i="1" s="1"/>
  <c r="V327" i="1"/>
  <c r="W95" i="15"/>
  <c r="X331" i="1" s="1"/>
  <c r="V331" i="1"/>
  <c r="W83" i="14"/>
  <c r="X310" i="1" s="1"/>
  <c r="V310" i="1"/>
  <c r="W92" i="14"/>
  <c r="X316" i="1" s="1"/>
  <c r="V316" i="1"/>
  <c r="R87" i="13"/>
  <c r="C133" i="1" s="1"/>
  <c r="T296" i="1"/>
  <c r="W84" i="13"/>
  <c r="X299" i="1" s="1"/>
  <c r="V299" i="1"/>
  <c r="R96" i="13"/>
  <c r="C134" i="1" s="1"/>
  <c r="T302" i="1"/>
  <c r="W93" i="13"/>
  <c r="X305" i="1" s="1"/>
  <c r="V305" i="1"/>
  <c r="U87" i="12"/>
  <c r="E131" i="1" s="1"/>
  <c r="V284" i="1"/>
  <c r="W85" i="12"/>
  <c r="X288" i="1" s="1"/>
  <c r="V288" i="1"/>
  <c r="U96" i="12"/>
  <c r="E132" i="1" s="1"/>
  <c r="V290" i="1"/>
  <c r="W94" i="12"/>
  <c r="X294" i="1" s="1"/>
  <c r="V294" i="1"/>
  <c r="W82" i="11"/>
  <c r="X273" i="1" s="1"/>
  <c r="V273" i="1"/>
  <c r="W86" i="11"/>
  <c r="X277" i="1" s="1"/>
  <c r="V277" i="1"/>
  <c r="W91" i="11"/>
  <c r="X279" i="1" s="1"/>
  <c r="V279" i="1"/>
  <c r="W95" i="11"/>
  <c r="X283" i="1" s="1"/>
  <c r="V283" i="1"/>
  <c r="W83" i="10"/>
  <c r="X262" i="1" s="1"/>
  <c r="V262" i="1"/>
  <c r="W92" i="10"/>
  <c r="X268" i="1" s="1"/>
  <c r="V268" i="1"/>
  <c r="R87" i="9"/>
  <c r="C125" i="1" s="1"/>
  <c r="T248" i="1"/>
  <c r="W84" i="9"/>
  <c r="X251" i="1" s="1"/>
  <c r="V251" i="1"/>
  <c r="R96" i="9"/>
  <c r="C126" i="1" s="1"/>
  <c r="T254" i="1"/>
  <c r="W93" i="9"/>
  <c r="X257" i="1" s="1"/>
  <c r="V257" i="1"/>
  <c r="W85" i="8"/>
  <c r="X240" i="1" s="1"/>
  <c r="V240" i="1"/>
  <c r="U96" i="8"/>
  <c r="E124" i="1" s="1"/>
  <c r="V242" i="1"/>
  <c r="W94" i="8"/>
  <c r="X246" i="1" s="1"/>
  <c r="V246" i="1"/>
  <c r="W95" i="7"/>
  <c r="X235" i="1" s="1"/>
  <c r="V235" i="1"/>
  <c r="R87" i="5"/>
  <c r="C117" i="1" s="1"/>
  <c r="R96" i="5"/>
  <c r="C118" i="1" s="1"/>
  <c r="U87" i="4"/>
  <c r="E115" i="1" s="1"/>
  <c r="U96" i="4"/>
  <c r="E116" i="1" s="1"/>
  <c r="T188" i="1"/>
  <c r="V189" i="1"/>
  <c r="V191" i="1"/>
  <c r="V193" i="1"/>
  <c r="T194" i="1"/>
  <c r="V195" i="1"/>
  <c r="V197" i="1"/>
  <c r="V199" i="1"/>
  <c r="T200" i="1"/>
  <c r="V201" i="1"/>
  <c r="V203" i="1"/>
  <c r="V205" i="1"/>
  <c r="T206" i="1"/>
  <c r="V207" i="1"/>
  <c r="V209" i="1"/>
  <c r="V211" i="1"/>
  <c r="T212" i="1"/>
  <c r="V213" i="1"/>
  <c r="V215" i="1"/>
  <c r="V217" i="1"/>
  <c r="T218" i="1"/>
  <c r="V219" i="1"/>
  <c r="V221" i="1"/>
  <c r="V223" i="1"/>
  <c r="T224" i="1"/>
  <c r="V225" i="1"/>
  <c r="V227" i="1"/>
  <c r="V229" i="1"/>
  <c r="T230" i="1"/>
  <c r="V231" i="1"/>
  <c r="V233" i="1"/>
  <c r="V236" i="1"/>
  <c r="W94" i="32"/>
  <c r="X534" i="1" s="1"/>
  <c r="V534" i="1"/>
  <c r="W92" i="30"/>
  <c r="X508" i="1" s="1"/>
  <c r="V508" i="1"/>
  <c r="W91" i="32"/>
  <c r="X531" i="1" s="1"/>
  <c r="V531" i="1"/>
  <c r="W95" i="32"/>
  <c r="X535" i="1" s="1"/>
  <c r="V535" i="1"/>
  <c r="W83" i="31"/>
  <c r="X514" i="1" s="1"/>
  <c r="V514" i="1"/>
  <c r="W92" i="31"/>
  <c r="X520" i="1" s="1"/>
  <c r="V520" i="1"/>
  <c r="R87" i="30"/>
  <c r="C167" i="1" s="1"/>
  <c r="T500" i="1"/>
  <c r="W84" i="30"/>
  <c r="X503" i="1" s="1"/>
  <c r="V503" i="1"/>
  <c r="R96" i="30"/>
  <c r="C168" i="1" s="1"/>
  <c r="T506" i="1"/>
  <c r="W93" i="30"/>
  <c r="X509" i="1" s="1"/>
  <c r="V509" i="1"/>
  <c r="U87" i="29"/>
  <c r="E165" i="1" s="1"/>
  <c r="V488" i="1"/>
  <c r="W85" i="29"/>
  <c r="X492" i="1" s="1"/>
  <c r="V492" i="1"/>
  <c r="U96" i="29"/>
  <c r="E166" i="1" s="1"/>
  <c r="V494" i="1"/>
  <c r="W94" i="29"/>
  <c r="X498" i="1" s="1"/>
  <c r="V498" i="1"/>
  <c r="W82" i="28"/>
  <c r="X477" i="1" s="1"/>
  <c r="V477" i="1"/>
  <c r="W86" i="28"/>
  <c r="X481" i="1" s="1"/>
  <c r="V481" i="1"/>
  <c r="W91" i="28"/>
  <c r="X483" i="1" s="1"/>
  <c r="V483" i="1"/>
  <c r="W95" i="28"/>
  <c r="X487" i="1" s="1"/>
  <c r="V487" i="1"/>
  <c r="W83" i="27"/>
  <c r="X466" i="1" s="1"/>
  <c r="V466" i="1"/>
  <c r="W92" i="27"/>
  <c r="X472" i="1" s="1"/>
  <c r="V472" i="1"/>
  <c r="R87" i="26"/>
  <c r="C159" i="1" s="1"/>
  <c r="T452" i="1"/>
  <c r="W84" i="26"/>
  <c r="X455" i="1" s="1"/>
  <c r="V455" i="1"/>
  <c r="R96" i="26"/>
  <c r="C160" i="1" s="1"/>
  <c r="T458" i="1"/>
  <c r="W93" i="26"/>
  <c r="X461" i="1" s="1"/>
  <c r="V461" i="1"/>
  <c r="U87" i="25"/>
  <c r="E157" i="1" s="1"/>
  <c r="V440" i="1"/>
  <c r="W85" i="25"/>
  <c r="X444" i="1" s="1"/>
  <c r="V444" i="1"/>
  <c r="U96" i="25"/>
  <c r="E158" i="1" s="1"/>
  <c r="V446" i="1"/>
  <c r="W94" i="25"/>
  <c r="X450" i="1" s="1"/>
  <c r="V450" i="1"/>
  <c r="W82" i="24"/>
  <c r="X429" i="1" s="1"/>
  <c r="V429" i="1"/>
  <c r="W86" i="24"/>
  <c r="X433" i="1" s="1"/>
  <c r="V433" i="1"/>
  <c r="W91" i="24"/>
  <c r="X435" i="1" s="1"/>
  <c r="V435" i="1"/>
  <c r="W95" i="24"/>
  <c r="X439" i="1" s="1"/>
  <c r="V439" i="1"/>
  <c r="W83" i="23"/>
  <c r="X418" i="1" s="1"/>
  <c r="V418" i="1"/>
  <c r="W92" i="23"/>
  <c r="X424" i="1" s="1"/>
  <c r="V424" i="1"/>
  <c r="R87" i="22"/>
  <c r="C151" i="1" s="1"/>
  <c r="T404" i="1"/>
  <c r="W84" i="22"/>
  <c r="X407" i="1" s="1"/>
  <c r="V407" i="1"/>
  <c r="R96" i="22"/>
  <c r="C152" i="1" s="1"/>
  <c r="T410" i="1"/>
  <c r="W93" i="22"/>
  <c r="X413" i="1" s="1"/>
  <c r="V413" i="1"/>
  <c r="U87" i="21"/>
  <c r="E149" i="1" s="1"/>
  <c r="V392" i="1"/>
  <c r="W85" i="21"/>
  <c r="X396" i="1" s="1"/>
  <c r="V396" i="1"/>
  <c r="U96" i="21"/>
  <c r="E150" i="1" s="1"/>
  <c r="V398" i="1"/>
  <c r="W94" i="21"/>
  <c r="X402" i="1" s="1"/>
  <c r="V402" i="1"/>
  <c r="W82" i="20"/>
  <c r="X381" i="1" s="1"/>
  <c r="V381" i="1"/>
  <c r="W86" i="20"/>
  <c r="X385" i="1" s="1"/>
  <c r="V385" i="1"/>
  <c r="W91" i="20"/>
  <c r="X387" i="1" s="1"/>
  <c r="V387" i="1"/>
  <c r="W95" i="20"/>
  <c r="X391" i="1" s="1"/>
  <c r="V391" i="1"/>
  <c r="W83" i="19"/>
  <c r="X370" i="1" s="1"/>
  <c r="V370" i="1"/>
  <c r="W92" i="19"/>
  <c r="X376" i="1" s="1"/>
  <c r="V376" i="1"/>
  <c r="R87" i="18"/>
  <c r="C143" i="1" s="1"/>
  <c r="T356" i="1"/>
  <c r="W84" i="18"/>
  <c r="X359" i="1" s="1"/>
  <c r="V359" i="1"/>
  <c r="R96" i="18"/>
  <c r="C144" i="1" s="1"/>
  <c r="T362" i="1"/>
  <c r="W93" i="18"/>
  <c r="X365" i="1" s="1"/>
  <c r="V365" i="1"/>
  <c r="U87" i="17"/>
  <c r="E141" i="1" s="1"/>
  <c r="V344" i="1"/>
  <c r="W85" i="17"/>
  <c r="X348" i="1" s="1"/>
  <c r="V348" i="1"/>
  <c r="U96" i="17"/>
  <c r="E142" i="1" s="1"/>
  <c r="V350" i="1"/>
  <c r="W94" i="17"/>
  <c r="X354" i="1" s="1"/>
  <c r="V354" i="1"/>
  <c r="W82" i="16"/>
  <c r="X333" i="1" s="1"/>
  <c r="V333" i="1"/>
  <c r="W86" i="16"/>
  <c r="X337" i="1" s="1"/>
  <c r="V337" i="1"/>
  <c r="W91" i="16"/>
  <c r="X339" i="1" s="1"/>
  <c r="V339" i="1"/>
  <c r="W95" i="16"/>
  <c r="X343" i="1" s="1"/>
  <c r="V343" i="1"/>
  <c r="W83" i="15"/>
  <c r="X322" i="1" s="1"/>
  <c r="V322" i="1"/>
  <c r="W92" i="15"/>
  <c r="X328" i="1" s="1"/>
  <c r="V328" i="1"/>
  <c r="R87" i="14"/>
  <c r="C135" i="1" s="1"/>
  <c r="T308" i="1"/>
  <c r="W84" i="14"/>
  <c r="X311" i="1" s="1"/>
  <c r="V311" i="1"/>
  <c r="R96" i="14"/>
  <c r="C136" i="1" s="1"/>
  <c r="T314" i="1"/>
  <c r="W93" i="14"/>
  <c r="X317" i="1" s="1"/>
  <c r="V317" i="1"/>
  <c r="U87" i="13"/>
  <c r="E133" i="1" s="1"/>
  <c r="V296" i="1"/>
  <c r="W85" i="13"/>
  <c r="X300" i="1" s="1"/>
  <c r="V300" i="1"/>
  <c r="U96" i="13"/>
  <c r="E134" i="1" s="1"/>
  <c r="V302" i="1"/>
  <c r="W94" i="13"/>
  <c r="X306" i="1" s="1"/>
  <c r="V306" i="1"/>
  <c r="W82" i="12"/>
  <c r="X285" i="1" s="1"/>
  <c r="V285" i="1"/>
  <c r="W86" i="12"/>
  <c r="X289" i="1" s="1"/>
  <c r="V289" i="1"/>
  <c r="W91" i="12"/>
  <c r="X291" i="1" s="1"/>
  <c r="V291" i="1"/>
  <c r="W95" i="12"/>
  <c r="X295" i="1" s="1"/>
  <c r="V295" i="1"/>
  <c r="W83" i="11"/>
  <c r="X274" i="1" s="1"/>
  <c r="V274" i="1"/>
  <c r="W92" i="11"/>
  <c r="X280" i="1" s="1"/>
  <c r="V280" i="1"/>
  <c r="R87" i="10"/>
  <c r="C127" i="1" s="1"/>
  <c r="T260" i="1"/>
  <c r="W84" i="10"/>
  <c r="X263" i="1" s="1"/>
  <c r="V263" i="1"/>
  <c r="R96" i="10"/>
  <c r="C128" i="1" s="1"/>
  <c r="T266" i="1"/>
  <c r="W93" i="10"/>
  <c r="X269" i="1" s="1"/>
  <c r="V269" i="1"/>
  <c r="U87" i="9"/>
  <c r="E125" i="1" s="1"/>
  <c r="V248" i="1"/>
  <c r="W85" i="9"/>
  <c r="X252" i="1" s="1"/>
  <c r="V252" i="1"/>
  <c r="U96" i="9"/>
  <c r="E126" i="1" s="1"/>
  <c r="V254" i="1"/>
  <c r="W94" i="9"/>
  <c r="X258" i="1" s="1"/>
  <c r="V258" i="1"/>
  <c r="W82" i="8"/>
  <c r="X237" i="1" s="1"/>
  <c r="V237" i="1"/>
  <c r="W86" i="8"/>
  <c r="X241" i="1" s="1"/>
  <c r="V241" i="1"/>
  <c r="W91" i="8"/>
  <c r="X243" i="1" s="1"/>
  <c r="V243" i="1"/>
  <c r="W95" i="8"/>
  <c r="X247" i="1" s="1"/>
  <c r="V247" i="1"/>
  <c r="W81" i="4"/>
  <c r="W90" i="4"/>
  <c r="W81" i="5"/>
  <c r="W90" i="5"/>
  <c r="W81" i="6"/>
  <c r="W90" i="6"/>
  <c r="W81" i="7"/>
  <c r="W90" i="7"/>
  <c r="W81" i="8"/>
  <c r="W90" i="8"/>
  <c r="W81" i="9"/>
  <c r="W90" i="9"/>
  <c r="W81" i="10"/>
  <c r="W90" i="10"/>
  <c r="W81" i="11"/>
  <c r="W90" i="11"/>
  <c r="W81" i="12"/>
  <c r="W90" i="12"/>
  <c r="W81" i="13"/>
  <c r="W90" i="13"/>
  <c r="W81" i="14"/>
  <c r="W90" i="14"/>
  <c r="W81" i="15"/>
  <c r="W90" i="15"/>
  <c r="W81" i="16"/>
  <c r="W90" i="16"/>
  <c r="W81" i="17"/>
  <c r="W90" i="17"/>
  <c r="W81" i="18"/>
  <c r="W90" i="18"/>
  <c r="W81" i="19"/>
  <c r="W90" i="19"/>
  <c r="W81" i="20"/>
  <c r="W90" i="20"/>
  <c r="W81" i="21"/>
  <c r="W90" i="21"/>
  <c r="W81" i="22"/>
  <c r="W90" i="22"/>
  <c r="W81" i="23"/>
  <c r="W90" i="23"/>
  <c r="W81" i="24"/>
  <c r="W90" i="24"/>
  <c r="W81" i="25"/>
  <c r="W90" i="25"/>
  <c r="W81" i="26"/>
  <c r="W90" i="26"/>
  <c r="W81" i="27"/>
  <c r="W90" i="27"/>
  <c r="W81" i="28"/>
  <c r="W90" i="28"/>
  <c r="W81" i="29"/>
  <c r="W90" i="29"/>
  <c r="W81" i="30"/>
  <c r="W90" i="30"/>
  <c r="W81" i="31"/>
  <c r="W90" i="31"/>
  <c r="W81" i="32"/>
  <c r="W90" i="32"/>
  <c r="F2" i="21"/>
  <c r="B2" i="7"/>
  <c r="B2" i="32"/>
  <c r="B2" i="18"/>
  <c r="B2" i="19"/>
  <c r="F2" i="15"/>
  <c r="B2" i="24"/>
  <c r="B2" i="22"/>
  <c r="F2" i="8"/>
  <c r="F2" i="13"/>
  <c r="F2" i="7"/>
  <c r="F2" i="14"/>
  <c r="B2" i="10"/>
  <c r="B2" i="25"/>
  <c r="F2" i="9"/>
  <c r="F2" i="16"/>
  <c r="F2" i="28"/>
  <c r="F2" i="23"/>
  <c r="F2" i="5"/>
  <c r="F2" i="25"/>
  <c r="F2" i="20"/>
  <c r="F2" i="31"/>
  <c r="B2" i="12"/>
  <c r="B2" i="31"/>
  <c r="F2" i="10"/>
  <c r="B2" i="13"/>
  <c r="F2" i="24"/>
  <c r="B2" i="17"/>
  <c r="B2" i="23"/>
  <c r="B2" i="26"/>
  <c r="F2" i="6"/>
  <c r="B2" i="21"/>
  <c r="F2" i="26"/>
  <c r="F2" i="12"/>
  <c r="B2" i="14"/>
  <c r="B2" i="28"/>
  <c r="B2" i="27"/>
  <c r="B2" i="8"/>
  <c r="F2" i="27"/>
  <c r="F2" i="30"/>
  <c r="B2" i="5"/>
  <c r="B2" i="4"/>
  <c r="B2" i="30"/>
  <c r="F2" i="19"/>
  <c r="B2" i="9"/>
  <c r="B2" i="29"/>
  <c r="F2" i="4"/>
  <c r="B2" i="16"/>
  <c r="F2" i="22"/>
  <c r="B2" i="20"/>
  <c r="F2" i="17"/>
  <c r="F2" i="18"/>
  <c r="B2" i="15"/>
  <c r="F2" i="11"/>
  <c r="B2" i="6"/>
  <c r="F2" i="32"/>
  <c r="F2" i="29"/>
  <c r="B2" i="11"/>
  <c r="W96" i="27" l="1"/>
  <c r="G162" i="1" s="1"/>
  <c r="X470" i="1"/>
  <c r="W96" i="17"/>
  <c r="G142" i="1" s="1"/>
  <c r="X350" i="1"/>
  <c r="W96" i="9"/>
  <c r="G126" i="1" s="1"/>
  <c r="X254" i="1"/>
  <c r="W87" i="31"/>
  <c r="G169" i="1" s="1"/>
  <c r="X512" i="1"/>
  <c r="W87" i="29"/>
  <c r="G165" i="1" s="1"/>
  <c r="X488" i="1"/>
  <c r="W87" i="27"/>
  <c r="G161" i="1" s="1"/>
  <c r="X464" i="1"/>
  <c r="W87" i="25"/>
  <c r="G157" i="1" s="1"/>
  <c r="X440" i="1"/>
  <c r="W87" i="23"/>
  <c r="G153" i="1" s="1"/>
  <c r="X416" i="1"/>
  <c r="W87" i="21"/>
  <c r="G149" i="1" s="1"/>
  <c r="X392" i="1"/>
  <c r="W87" i="19"/>
  <c r="G145" i="1" s="1"/>
  <c r="X368" i="1"/>
  <c r="W87" i="17"/>
  <c r="G141" i="1" s="1"/>
  <c r="X344" i="1"/>
  <c r="W87" i="15"/>
  <c r="G137" i="1" s="1"/>
  <c r="X320" i="1"/>
  <c r="W87" i="13"/>
  <c r="G133" i="1" s="1"/>
  <c r="X296" i="1"/>
  <c r="W87" i="11"/>
  <c r="G129" i="1" s="1"/>
  <c r="X272" i="1"/>
  <c r="W87" i="9"/>
  <c r="G125" i="1" s="1"/>
  <c r="X248" i="1"/>
  <c r="W87" i="7"/>
  <c r="G121" i="1" s="1"/>
  <c r="X224" i="1"/>
  <c r="W87" i="5"/>
  <c r="G117" i="1" s="1"/>
  <c r="X200" i="1"/>
  <c r="W96" i="31"/>
  <c r="G170" i="1" s="1"/>
  <c r="X518" i="1"/>
  <c r="W96" i="25"/>
  <c r="G158" i="1" s="1"/>
  <c r="X446" i="1"/>
  <c r="W96" i="21"/>
  <c r="G150" i="1" s="1"/>
  <c r="X398" i="1"/>
  <c r="W96" i="15"/>
  <c r="G138" i="1" s="1"/>
  <c r="X326" i="1"/>
  <c r="W96" i="11"/>
  <c r="G130" i="1" s="1"/>
  <c r="X278" i="1"/>
  <c r="W96" i="5"/>
  <c r="G118" i="1" s="1"/>
  <c r="X206" i="1"/>
  <c r="W96" i="30"/>
  <c r="G168" i="1" s="1"/>
  <c r="X506" i="1"/>
  <c r="W96" i="26"/>
  <c r="G160" i="1" s="1"/>
  <c r="X458" i="1"/>
  <c r="W96" i="22"/>
  <c r="G152" i="1" s="1"/>
  <c r="X410" i="1"/>
  <c r="W96" i="18"/>
  <c r="G144" i="1" s="1"/>
  <c r="X362" i="1"/>
  <c r="W96" i="14"/>
  <c r="G136" i="1" s="1"/>
  <c r="X314" i="1"/>
  <c r="W96" i="10"/>
  <c r="G128" i="1" s="1"/>
  <c r="X266" i="1"/>
  <c r="W96" i="4"/>
  <c r="G116" i="1" s="1"/>
  <c r="X194" i="1"/>
  <c r="W96" i="29"/>
  <c r="G166" i="1" s="1"/>
  <c r="X494" i="1"/>
  <c r="W96" i="23"/>
  <c r="G154" i="1" s="1"/>
  <c r="X422" i="1"/>
  <c r="W96" i="19"/>
  <c r="G146" i="1" s="1"/>
  <c r="X374" i="1"/>
  <c r="W96" i="13"/>
  <c r="G134" i="1" s="1"/>
  <c r="X302" i="1"/>
  <c r="W96" i="7"/>
  <c r="G122" i="1" s="1"/>
  <c r="X230" i="1"/>
  <c r="W96" i="32"/>
  <c r="G172" i="1" s="1"/>
  <c r="X530" i="1"/>
  <c r="W96" i="28"/>
  <c r="G164" i="1" s="1"/>
  <c r="X482" i="1"/>
  <c r="W96" i="24"/>
  <c r="G156" i="1" s="1"/>
  <c r="X434" i="1"/>
  <c r="W96" i="20"/>
  <c r="G148" i="1" s="1"/>
  <c r="X386" i="1"/>
  <c r="W96" i="16"/>
  <c r="G140" i="1" s="1"/>
  <c r="X338" i="1"/>
  <c r="W96" i="12"/>
  <c r="G132" i="1" s="1"/>
  <c r="X290" i="1"/>
  <c r="W96" i="8"/>
  <c r="G124" i="1" s="1"/>
  <c r="X242" i="1"/>
  <c r="W96" i="6"/>
  <c r="G120" i="1" s="1"/>
  <c r="X218" i="1"/>
  <c r="W87" i="32"/>
  <c r="G171" i="1" s="1"/>
  <c r="X524" i="1"/>
  <c r="W87" i="30"/>
  <c r="G167" i="1" s="1"/>
  <c r="X500" i="1"/>
  <c r="W87" i="28"/>
  <c r="G163" i="1" s="1"/>
  <c r="X476" i="1"/>
  <c r="W87" i="26"/>
  <c r="G159" i="1" s="1"/>
  <c r="X452" i="1"/>
  <c r="W87" i="24"/>
  <c r="G155" i="1" s="1"/>
  <c r="X428" i="1"/>
  <c r="W87" i="22"/>
  <c r="G151" i="1" s="1"/>
  <c r="X404" i="1"/>
  <c r="W87" i="20"/>
  <c r="G147" i="1" s="1"/>
  <c r="X380" i="1"/>
  <c r="W87" i="18"/>
  <c r="G143" i="1" s="1"/>
  <c r="X356" i="1"/>
  <c r="W87" i="16"/>
  <c r="G139" i="1" s="1"/>
  <c r="X332" i="1"/>
  <c r="W87" i="14"/>
  <c r="G135" i="1" s="1"/>
  <c r="X308" i="1"/>
  <c r="W87" i="12"/>
  <c r="G131" i="1" s="1"/>
  <c r="X284" i="1"/>
  <c r="W87" i="10"/>
  <c r="G127" i="1" s="1"/>
  <c r="X260" i="1"/>
  <c r="W87" i="8"/>
  <c r="G123" i="1" s="1"/>
  <c r="X236" i="1"/>
  <c r="W87" i="6"/>
  <c r="G119" i="1" s="1"/>
  <c r="X212" i="1"/>
  <c r="W87" i="4"/>
  <c r="G115" i="1" s="1"/>
  <c r="X188"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J315" i="2"/>
  <c r="J297" i="2"/>
  <c r="J283" i="2"/>
  <c r="J269" i="2"/>
  <c r="J255" i="2"/>
  <c r="J241" i="2"/>
  <c r="J227" i="2"/>
  <c r="J209" i="2"/>
  <c r="J195" i="2"/>
  <c r="J181" i="2"/>
  <c r="J167" i="2"/>
  <c r="I315" i="2"/>
  <c r="I297" i="2"/>
  <c r="I283" i="2"/>
  <c r="I269" i="2"/>
  <c r="I255" i="2"/>
  <c r="I241" i="2"/>
  <c r="I227" i="2"/>
  <c r="I209" i="2"/>
  <c r="I195" i="2"/>
  <c r="I181" i="2"/>
  <c r="I167" i="2"/>
  <c r="H315" i="2"/>
  <c r="H297" i="2"/>
  <c r="H283" i="2"/>
  <c r="H269" i="2"/>
  <c r="H255" i="2"/>
  <c r="H241" i="2"/>
  <c r="H227" i="2"/>
  <c r="H209" i="2"/>
  <c r="H195" i="2"/>
  <c r="H181" i="2"/>
  <c r="H167" i="2"/>
  <c r="G315" i="2"/>
  <c r="G297" i="2"/>
  <c r="G283" i="2"/>
  <c r="G269" i="2"/>
  <c r="G255" i="2"/>
  <c r="G241" i="2"/>
  <c r="G227" i="2"/>
  <c r="G209" i="2"/>
  <c r="G195" i="2"/>
  <c r="G181" i="2"/>
  <c r="G167" i="2"/>
  <c r="F315" i="2"/>
  <c r="F297" i="2"/>
  <c r="F283" i="2"/>
  <c r="F269" i="2"/>
  <c r="F255" i="2"/>
  <c r="F241" i="2"/>
  <c r="F227" i="2"/>
  <c r="F209" i="2"/>
  <c r="F195" i="2"/>
  <c r="F181" i="2"/>
  <c r="F167" i="2"/>
  <c r="J313" i="2"/>
  <c r="J295" i="2"/>
  <c r="J281" i="2"/>
  <c r="J267" i="2"/>
  <c r="J253" i="2"/>
  <c r="J239" i="2"/>
  <c r="J225" i="2"/>
  <c r="J207" i="2"/>
  <c r="J193" i="2"/>
  <c r="J179" i="2"/>
  <c r="J165" i="2"/>
  <c r="I313" i="2"/>
  <c r="I295" i="2"/>
  <c r="I281" i="2"/>
  <c r="I267" i="2"/>
  <c r="I253" i="2"/>
  <c r="I239" i="2"/>
  <c r="I225" i="2"/>
  <c r="I207" i="2"/>
  <c r="I193" i="2"/>
  <c r="I179" i="2"/>
  <c r="I165" i="2"/>
  <c r="H313" i="2"/>
  <c r="H295" i="2"/>
  <c r="H281" i="2"/>
  <c r="H267" i="2"/>
  <c r="H253" i="2"/>
  <c r="H239" i="2"/>
  <c r="H225" i="2"/>
  <c r="H207" i="2"/>
  <c r="H193" i="2"/>
  <c r="H179" i="2"/>
  <c r="H165" i="2"/>
  <c r="G313" i="2"/>
  <c r="G295" i="2"/>
  <c r="G281" i="2"/>
  <c r="G267" i="2"/>
  <c r="G253" i="2"/>
  <c r="G239" i="2"/>
  <c r="G225" i="2"/>
  <c r="G207" i="2"/>
  <c r="G193" i="2"/>
  <c r="G179" i="2"/>
  <c r="G165" i="2"/>
  <c r="F313" i="2"/>
  <c r="F295" i="2"/>
  <c r="F281" i="2"/>
  <c r="F267" i="2"/>
  <c r="F253" i="2"/>
  <c r="F239" i="2"/>
  <c r="F225" i="2"/>
  <c r="F207" i="2"/>
  <c r="F193" i="2"/>
  <c r="F179" i="2"/>
  <c r="F165" i="2"/>
  <c r="J311" i="2"/>
  <c r="J293" i="2"/>
  <c r="J279" i="2"/>
  <c r="J265" i="2"/>
  <c r="J251" i="2"/>
  <c r="J237" i="2"/>
  <c r="J223" i="2"/>
  <c r="J205" i="2"/>
  <c r="J191" i="2"/>
  <c r="J177" i="2"/>
  <c r="J163" i="2"/>
  <c r="I311" i="2"/>
  <c r="I293" i="2"/>
  <c r="I279" i="2"/>
  <c r="I265" i="2"/>
  <c r="I251" i="2"/>
  <c r="I237" i="2"/>
  <c r="I223" i="2"/>
  <c r="I205" i="2"/>
  <c r="I191" i="2"/>
  <c r="I177" i="2"/>
  <c r="I163" i="2"/>
  <c r="H311" i="2"/>
  <c r="H293" i="2"/>
  <c r="H279" i="2"/>
  <c r="H265" i="2"/>
  <c r="H251" i="2"/>
  <c r="H237" i="2"/>
  <c r="H223" i="2"/>
  <c r="H205" i="2"/>
  <c r="H191" i="2"/>
  <c r="H177" i="2"/>
  <c r="H163" i="2"/>
  <c r="G311" i="2"/>
  <c r="G293" i="2"/>
  <c r="G279" i="2"/>
  <c r="G265" i="2"/>
  <c r="G251" i="2"/>
  <c r="G237" i="2"/>
  <c r="G223" i="2"/>
  <c r="G205" i="2"/>
  <c r="G191" i="2"/>
  <c r="G177" i="2"/>
  <c r="G163" i="2"/>
  <c r="F311" i="2"/>
  <c r="F293" i="2"/>
  <c r="F279" i="2"/>
  <c r="F265" i="2"/>
  <c r="F251" i="2"/>
  <c r="F237" i="2"/>
  <c r="F223" i="2"/>
  <c r="F205" i="2"/>
  <c r="F191" i="2"/>
  <c r="F177" i="2"/>
  <c r="F163" i="2"/>
  <c r="J309" i="2"/>
  <c r="J291" i="2"/>
  <c r="J277" i="2"/>
  <c r="J263" i="2"/>
  <c r="J249" i="2"/>
  <c r="J235" i="2"/>
  <c r="J221" i="2"/>
  <c r="J203" i="2"/>
  <c r="J189" i="2"/>
  <c r="J175" i="2"/>
  <c r="J161" i="2"/>
  <c r="I309" i="2"/>
  <c r="I291" i="2"/>
  <c r="I277" i="2"/>
  <c r="I263" i="2"/>
  <c r="I249" i="2"/>
  <c r="I235" i="2"/>
  <c r="I221" i="2"/>
  <c r="I203" i="2"/>
  <c r="I189" i="2"/>
  <c r="I175" i="2"/>
  <c r="I161" i="2"/>
  <c r="H309" i="2"/>
  <c r="H291" i="2"/>
  <c r="H277" i="2"/>
  <c r="H263" i="2"/>
  <c r="H249" i="2"/>
  <c r="H235" i="2"/>
  <c r="H221" i="2"/>
  <c r="H203" i="2"/>
  <c r="H189" i="2"/>
  <c r="H175" i="2"/>
  <c r="H161" i="2"/>
  <c r="G309" i="2"/>
  <c r="G291" i="2"/>
  <c r="G277" i="2"/>
  <c r="G263" i="2"/>
  <c r="G249" i="2"/>
  <c r="G235" i="2"/>
  <c r="G221" i="2"/>
  <c r="G203" i="2"/>
  <c r="G189" i="2"/>
  <c r="G175" i="2"/>
  <c r="G161" i="2"/>
  <c r="F309" i="2"/>
  <c r="F291" i="2"/>
  <c r="F277" i="2"/>
  <c r="F263" i="2"/>
  <c r="F249" i="2"/>
  <c r="F235" i="2"/>
  <c r="F221" i="2"/>
  <c r="F203" i="2"/>
  <c r="F189" i="2"/>
  <c r="F175" i="2"/>
  <c r="F161" i="2"/>
  <c r="J307" i="2"/>
  <c r="J289" i="2"/>
  <c r="J275" i="2"/>
  <c r="J261" i="2"/>
  <c r="J247" i="2"/>
  <c r="J233" i="2"/>
  <c r="J219" i="2"/>
  <c r="J201" i="2"/>
  <c r="J187" i="2"/>
  <c r="J173" i="2"/>
  <c r="J159" i="2"/>
  <c r="I307" i="2"/>
  <c r="I289" i="2"/>
  <c r="I275" i="2"/>
  <c r="I261" i="2"/>
  <c r="I247" i="2"/>
  <c r="I233" i="2"/>
  <c r="I219" i="2"/>
  <c r="I201" i="2"/>
  <c r="I187" i="2"/>
  <c r="I173" i="2"/>
  <c r="I159" i="2"/>
  <c r="H307" i="2"/>
  <c r="H289" i="2"/>
  <c r="H275" i="2"/>
  <c r="H261" i="2"/>
  <c r="H247" i="2"/>
  <c r="H233" i="2"/>
  <c r="H219" i="2"/>
  <c r="H201" i="2"/>
  <c r="H187" i="2"/>
  <c r="H173" i="2"/>
  <c r="H159" i="2"/>
  <c r="G307" i="2"/>
  <c r="G289" i="2"/>
  <c r="G275" i="2"/>
  <c r="G261" i="2"/>
  <c r="G247" i="2"/>
  <c r="G233" i="2"/>
  <c r="G219" i="2"/>
  <c r="G201" i="2"/>
  <c r="G187" i="2"/>
  <c r="G173" i="2"/>
  <c r="G159" i="2"/>
  <c r="F307" i="2"/>
  <c r="F289" i="2"/>
  <c r="F275" i="2"/>
  <c r="F261" i="2"/>
  <c r="F247" i="2"/>
  <c r="F233" i="2"/>
  <c r="F219" i="2"/>
  <c r="F201" i="2"/>
  <c r="F187" i="2"/>
  <c r="F173" i="2"/>
  <c r="F159" i="2"/>
  <c r="J305" i="2"/>
  <c r="J287" i="2"/>
  <c r="J273" i="2"/>
  <c r="J259" i="2"/>
  <c r="J245" i="2"/>
  <c r="J231" i="2"/>
  <c r="J217" i="2"/>
  <c r="J199" i="2"/>
  <c r="J185" i="2"/>
  <c r="J171" i="2"/>
  <c r="J157" i="2"/>
  <c r="I305" i="2"/>
  <c r="I287" i="2"/>
  <c r="I273" i="2"/>
  <c r="I259" i="2"/>
  <c r="I245" i="2"/>
  <c r="I231" i="2"/>
  <c r="I217" i="2"/>
  <c r="I199" i="2"/>
  <c r="I185" i="2"/>
  <c r="I171" i="2"/>
  <c r="I157" i="2"/>
  <c r="H305" i="2"/>
  <c r="H287" i="2"/>
  <c r="H273" i="2"/>
  <c r="H259" i="2"/>
  <c r="H245" i="2"/>
  <c r="H231" i="2"/>
  <c r="H217" i="2"/>
  <c r="H199" i="2"/>
  <c r="H185" i="2"/>
  <c r="H171" i="2"/>
  <c r="H157" i="2"/>
  <c r="G305" i="2"/>
  <c r="G287" i="2"/>
  <c r="G273" i="2"/>
  <c r="G259" i="2"/>
  <c r="G245" i="2"/>
  <c r="G231" i="2"/>
  <c r="G217" i="2"/>
  <c r="G199" i="2"/>
  <c r="G185" i="2"/>
  <c r="G171" i="2"/>
  <c r="G157" i="2"/>
  <c r="BE80" i="1"/>
  <c r="BD80" i="1"/>
  <c r="I125" i="2" l="1"/>
  <c r="D1" i="1" l="1"/>
  <c r="O20" i="36" l="1"/>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19" i="36"/>
  <c r="K2" i="2" l="1"/>
  <c r="P76" i="1" l="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AM80" i="1"/>
  <c r="BJ80" i="1"/>
  <c r="BI80" i="1"/>
  <c r="S80" i="1"/>
  <c r="N48" i="36" l="1"/>
  <c r="N47" i="36"/>
  <c r="N46" i="36"/>
  <c r="N45" i="36"/>
  <c r="N44" i="36"/>
  <c r="N43" i="36"/>
  <c r="N42" i="36"/>
  <c r="N41" i="36"/>
  <c r="N40" i="36"/>
  <c r="N39" i="36"/>
  <c r="N38" i="36"/>
  <c r="N37" i="36"/>
  <c r="N36" i="36"/>
  <c r="N35" i="36"/>
  <c r="N34" i="36"/>
  <c r="N33" i="36"/>
  <c r="N32" i="36"/>
  <c r="N31" i="36"/>
  <c r="N30" i="36"/>
  <c r="N29" i="36"/>
  <c r="N28" i="36"/>
  <c r="N27" i="36"/>
  <c r="N26" i="36"/>
  <c r="N25" i="36"/>
  <c r="N24" i="36"/>
  <c r="N23" i="36"/>
  <c r="N22" i="36"/>
  <c r="N21" i="36"/>
  <c r="N20" i="36"/>
  <c r="N19" i="36"/>
  <c r="P48" i="36"/>
  <c r="J107" i="2" s="1"/>
  <c r="P47" i="36"/>
  <c r="I107" i="2" s="1"/>
  <c r="P46" i="36"/>
  <c r="H107" i="2" s="1"/>
  <c r="P45" i="36"/>
  <c r="G107" i="2" s="1"/>
  <c r="P44" i="36"/>
  <c r="F107" i="2" s="1"/>
  <c r="P43" i="36"/>
  <c r="J105" i="2" s="1"/>
  <c r="P42" i="36"/>
  <c r="I105" i="2" s="1"/>
  <c r="P41" i="36"/>
  <c r="H105" i="2" s="1"/>
  <c r="P40" i="36"/>
  <c r="G105" i="2" s="1"/>
  <c r="P39" i="36"/>
  <c r="F105" i="2" s="1"/>
  <c r="P38" i="36"/>
  <c r="J103" i="2" s="1"/>
  <c r="P37" i="36"/>
  <c r="I103" i="2" s="1"/>
  <c r="P36" i="36"/>
  <c r="H103" i="2" s="1"/>
  <c r="P35" i="36"/>
  <c r="G103" i="2" s="1"/>
  <c r="P34" i="36"/>
  <c r="F103" i="2" s="1"/>
  <c r="P33" i="36"/>
  <c r="J101" i="2" s="1"/>
  <c r="P32" i="36"/>
  <c r="I101" i="2" s="1"/>
  <c r="P31" i="36"/>
  <c r="H101" i="2" s="1"/>
  <c r="P30" i="36"/>
  <c r="G101" i="2" s="1"/>
  <c r="P29" i="36"/>
  <c r="F101" i="2" s="1"/>
  <c r="P28" i="36"/>
  <c r="J99" i="2" s="1"/>
  <c r="P27" i="36"/>
  <c r="I99" i="2" s="1"/>
  <c r="P26" i="36"/>
  <c r="H99" i="2" s="1"/>
  <c r="P25" i="36"/>
  <c r="G99" i="2" s="1"/>
  <c r="P24" i="36"/>
  <c r="F99" i="2" s="1"/>
  <c r="P23" i="36"/>
  <c r="J97" i="2" s="1"/>
  <c r="P22" i="36"/>
  <c r="I97" i="2" s="1"/>
  <c r="P21" i="36"/>
  <c r="H97" i="2" s="1"/>
  <c r="P20" i="36"/>
  <c r="G97" i="2" s="1"/>
  <c r="P19" i="36"/>
  <c r="F97" i="2" s="1"/>
  <c r="AD80" i="1" l="1"/>
  <c r="K5" i="38" l="1"/>
  <c r="H5" i="38"/>
  <c r="F5" i="38"/>
  <c r="D5" i="38"/>
  <c r="B5" i="38"/>
  <c r="K4" i="38"/>
  <c r="B4" i="38"/>
  <c r="K2" i="38"/>
  <c r="H2" i="38"/>
  <c r="E2" i="38"/>
  <c r="A2" i="38"/>
  <c r="I36" i="3" l="1"/>
  <c r="I33" i="3"/>
  <c r="J1014" i="34"/>
  <c r="M1014" i="34" s="1"/>
  <c r="L1014" i="34"/>
  <c r="L1013" i="34"/>
  <c r="J1013" i="34"/>
  <c r="L1012" i="34"/>
  <c r="J1012" i="34"/>
  <c r="L1011" i="34"/>
  <c r="J1011" i="34"/>
  <c r="L1010" i="34"/>
  <c r="J1010" i="34"/>
  <c r="L1009" i="34"/>
  <c r="J1009" i="34"/>
  <c r="L1008" i="34"/>
  <c r="J1008" i="34"/>
  <c r="L1007" i="34"/>
  <c r="J1007" i="34"/>
  <c r="L1006" i="34"/>
  <c r="J1006" i="34"/>
  <c r="L1005" i="34"/>
  <c r="J1005" i="34"/>
  <c r="L1004" i="34"/>
  <c r="J1004" i="34"/>
  <c r="L1003" i="34"/>
  <c r="J1003" i="34"/>
  <c r="L1002" i="34"/>
  <c r="J1002" i="34"/>
  <c r="L1001" i="34"/>
  <c r="J1001" i="34"/>
  <c r="L1000" i="34"/>
  <c r="J1000" i="34"/>
  <c r="L999" i="34"/>
  <c r="J999" i="34"/>
  <c r="L998" i="34"/>
  <c r="J998" i="34"/>
  <c r="L997" i="34"/>
  <c r="J997" i="34"/>
  <c r="L996" i="34"/>
  <c r="J996" i="34"/>
  <c r="L995" i="34"/>
  <c r="J995" i="34"/>
  <c r="L994" i="34"/>
  <c r="J994" i="34"/>
  <c r="L993" i="34"/>
  <c r="J993" i="34"/>
  <c r="L992" i="34"/>
  <c r="J992" i="34"/>
  <c r="L991" i="34"/>
  <c r="J991" i="34"/>
  <c r="L990" i="34"/>
  <c r="J990" i="34"/>
  <c r="L989" i="34"/>
  <c r="J989" i="34"/>
  <c r="L988" i="34"/>
  <c r="J988" i="34"/>
  <c r="L987" i="34"/>
  <c r="J987" i="34"/>
  <c r="L986" i="34"/>
  <c r="J986" i="34"/>
  <c r="L985" i="34"/>
  <c r="J985" i="34"/>
  <c r="L984" i="34"/>
  <c r="J984" i="34"/>
  <c r="L983" i="34"/>
  <c r="J983" i="34"/>
  <c r="L982" i="34"/>
  <c r="J982" i="34"/>
  <c r="L981" i="34"/>
  <c r="J981" i="34"/>
  <c r="L980" i="34"/>
  <c r="J980" i="34"/>
  <c r="L979" i="34"/>
  <c r="J979" i="34"/>
  <c r="L978" i="34"/>
  <c r="J978" i="34"/>
  <c r="L977" i="34"/>
  <c r="J977" i="34"/>
  <c r="L976" i="34"/>
  <c r="J976" i="34"/>
  <c r="L975" i="34"/>
  <c r="J975" i="34"/>
  <c r="L974" i="34"/>
  <c r="J974" i="34"/>
  <c r="L973" i="34"/>
  <c r="J973" i="34"/>
  <c r="L972" i="34"/>
  <c r="J972" i="34"/>
  <c r="L971" i="34"/>
  <c r="J971" i="34"/>
  <c r="L970" i="34"/>
  <c r="J970" i="34"/>
  <c r="L969" i="34"/>
  <c r="J969" i="34"/>
  <c r="L968" i="34"/>
  <c r="J968" i="34"/>
  <c r="L967" i="34"/>
  <c r="J967" i="34"/>
  <c r="L966" i="34"/>
  <c r="J966" i="34"/>
  <c r="L965" i="34"/>
  <c r="J965" i="34"/>
  <c r="L964" i="34"/>
  <c r="J964" i="34"/>
  <c r="L963" i="34"/>
  <c r="J963" i="34"/>
  <c r="L962" i="34"/>
  <c r="J962" i="34"/>
  <c r="L961" i="34"/>
  <c r="J961" i="34"/>
  <c r="L960" i="34"/>
  <c r="J960" i="34"/>
  <c r="L959" i="34"/>
  <c r="J959" i="34"/>
  <c r="L958" i="34"/>
  <c r="J958" i="34"/>
  <c r="L957" i="34"/>
  <c r="J957" i="34"/>
  <c r="L956" i="34"/>
  <c r="J956" i="34"/>
  <c r="L955" i="34"/>
  <c r="J955" i="34"/>
  <c r="L954" i="34"/>
  <c r="J954" i="34"/>
  <c r="L953" i="34"/>
  <c r="J953" i="34"/>
  <c r="L952" i="34"/>
  <c r="J952" i="34"/>
  <c r="L951" i="34"/>
  <c r="J951" i="34"/>
  <c r="L950" i="34"/>
  <c r="J950" i="34"/>
  <c r="L949" i="34"/>
  <c r="J949" i="34"/>
  <c r="L948" i="34"/>
  <c r="J948" i="34"/>
  <c r="L947" i="34"/>
  <c r="J947" i="34"/>
  <c r="L946" i="34"/>
  <c r="J946" i="34"/>
  <c r="L945" i="34"/>
  <c r="J945" i="34"/>
  <c r="L944" i="34"/>
  <c r="J944" i="34"/>
  <c r="L943" i="34"/>
  <c r="J943" i="34"/>
  <c r="L942" i="34"/>
  <c r="J942" i="34"/>
  <c r="L941" i="34"/>
  <c r="J941" i="34"/>
  <c r="L940" i="34"/>
  <c r="J940" i="34"/>
  <c r="L939" i="34"/>
  <c r="J939" i="34"/>
  <c r="L938" i="34"/>
  <c r="J938" i="34"/>
  <c r="L937" i="34"/>
  <c r="J937" i="34"/>
  <c r="L936" i="34"/>
  <c r="J936" i="34"/>
  <c r="L935" i="34"/>
  <c r="J935" i="34"/>
  <c r="L934" i="34"/>
  <c r="J934" i="34"/>
  <c r="L933" i="34"/>
  <c r="J933" i="34"/>
  <c r="L932" i="34"/>
  <c r="J932" i="34"/>
  <c r="L931" i="34"/>
  <c r="J931" i="34"/>
  <c r="L930" i="34"/>
  <c r="J930" i="34"/>
  <c r="L929" i="34"/>
  <c r="J929" i="34"/>
  <c r="L928" i="34"/>
  <c r="J928" i="34"/>
  <c r="L927" i="34"/>
  <c r="J927" i="34"/>
  <c r="L926" i="34"/>
  <c r="J926" i="34"/>
  <c r="L925" i="34"/>
  <c r="J925" i="34"/>
  <c r="L924" i="34"/>
  <c r="J924" i="34"/>
  <c r="L923" i="34"/>
  <c r="J923" i="34"/>
  <c r="L922" i="34"/>
  <c r="J922" i="34"/>
  <c r="L921" i="34"/>
  <c r="J921" i="34"/>
  <c r="L920" i="34"/>
  <c r="J920" i="34"/>
  <c r="L919" i="34"/>
  <c r="J919" i="34"/>
  <c r="L918" i="34"/>
  <c r="J918" i="34"/>
  <c r="L917" i="34"/>
  <c r="J917" i="34"/>
  <c r="L916" i="34"/>
  <c r="J916" i="34"/>
  <c r="L915" i="34"/>
  <c r="J915" i="34"/>
  <c r="L914" i="34"/>
  <c r="J914" i="34"/>
  <c r="L913" i="34"/>
  <c r="J913" i="34"/>
  <c r="L912" i="34"/>
  <c r="J912" i="34"/>
  <c r="L911" i="34"/>
  <c r="J911" i="34"/>
  <c r="L910" i="34"/>
  <c r="J910" i="34"/>
  <c r="L909" i="34"/>
  <c r="J909" i="34"/>
  <c r="L908" i="34"/>
  <c r="J908" i="34"/>
  <c r="L907" i="34"/>
  <c r="J907" i="34"/>
  <c r="L906" i="34"/>
  <c r="J906" i="34"/>
  <c r="L905" i="34"/>
  <c r="J905" i="34"/>
  <c r="L904" i="34"/>
  <c r="J904" i="34"/>
  <c r="L903" i="34"/>
  <c r="J903" i="34"/>
  <c r="L902" i="34"/>
  <c r="J902" i="34"/>
  <c r="L901" i="34"/>
  <c r="J901" i="34"/>
  <c r="L900" i="34"/>
  <c r="J900" i="34"/>
  <c r="L899" i="34"/>
  <c r="J899" i="34"/>
  <c r="L898" i="34"/>
  <c r="J898" i="34"/>
  <c r="L897" i="34"/>
  <c r="J897" i="34"/>
  <c r="L896" i="34"/>
  <c r="J896" i="34"/>
  <c r="L895" i="34"/>
  <c r="J895" i="34"/>
  <c r="L894" i="34"/>
  <c r="J894" i="34"/>
  <c r="L893" i="34"/>
  <c r="J893" i="34"/>
  <c r="L892" i="34"/>
  <c r="J892" i="34"/>
  <c r="L891" i="34"/>
  <c r="J891" i="34"/>
  <c r="L890" i="34"/>
  <c r="J890" i="34"/>
  <c r="L889" i="34"/>
  <c r="J889" i="34"/>
  <c r="L888" i="34"/>
  <c r="J888" i="34"/>
  <c r="L887" i="34"/>
  <c r="J887" i="34"/>
  <c r="L886" i="34"/>
  <c r="J886" i="34"/>
  <c r="L885" i="34"/>
  <c r="J885" i="34"/>
  <c r="L884" i="34"/>
  <c r="J884" i="34"/>
  <c r="L883" i="34"/>
  <c r="J883" i="34"/>
  <c r="L882" i="34"/>
  <c r="J882" i="34"/>
  <c r="L881" i="34"/>
  <c r="J881" i="34"/>
  <c r="L880" i="34"/>
  <c r="J880" i="34"/>
  <c r="L879" i="34"/>
  <c r="J879" i="34"/>
  <c r="L878" i="34"/>
  <c r="J878" i="34"/>
  <c r="L877" i="34"/>
  <c r="J877" i="34"/>
  <c r="L876" i="34"/>
  <c r="J876" i="34"/>
  <c r="L875" i="34"/>
  <c r="J875" i="34"/>
  <c r="L874" i="34"/>
  <c r="J874" i="34"/>
  <c r="L873" i="34"/>
  <c r="J873" i="34"/>
  <c r="L872" i="34"/>
  <c r="J872" i="34"/>
  <c r="L871" i="34"/>
  <c r="J871" i="34"/>
  <c r="L870" i="34"/>
  <c r="J870" i="34"/>
  <c r="L869" i="34"/>
  <c r="J869" i="34"/>
  <c r="L868" i="34"/>
  <c r="J868" i="34"/>
  <c r="L867" i="34"/>
  <c r="J867" i="34"/>
  <c r="L866" i="34"/>
  <c r="J866" i="34"/>
  <c r="L865" i="34"/>
  <c r="J865" i="34"/>
  <c r="L864" i="34"/>
  <c r="J864" i="34"/>
  <c r="L863" i="34"/>
  <c r="J863" i="34"/>
  <c r="L862" i="34"/>
  <c r="J862" i="34"/>
  <c r="L861" i="34"/>
  <c r="J861" i="34"/>
  <c r="L860" i="34"/>
  <c r="J860" i="34"/>
  <c r="L859" i="34"/>
  <c r="J859" i="34"/>
  <c r="L858" i="34"/>
  <c r="J858" i="34"/>
  <c r="L857" i="34"/>
  <c r="J857" i="34"/>
  <c r="L856" i="34"/>
  <c r="J856" i="34"/>
  <c r="L855" i="34"/>
  <c r="J855" i="34"/>
  <c r="L854" i="34"/>
  <c r="J854" i="34"/>
  <c r="L853" i="34"/>
  <c r="J853" i="34"/>
  <c r="L852" i="34"/>
  <c r="J852" i="34"/>
  <c r="L851" i="34"/>
  <c r="J851" i="34"/>
  <c r="L850" i="34"/>
  <c r="J850" i="34"/>
  <c r="L849" i="34"/>
  <c r="J849" i="34"/>
  <c r="L848" i="34"/>
  <c r="J848" i="34"/>
  <c r="L847" i="34"/>
  <c r="J847" i="34"/>
  <c r="L846" i="34"/>
  <c r="J846" i="34"/>
  <c r="L845" i="34"/>
  <c r="J845" i="34"/>
  <c r="L844" i="34"/>
  <c r="J844" i="34"/>
  <c r="L843" i="34"/>
  <c r="J843" i="34"/>
  <c r="L842" i="34"/>
  <c r="J842" i="34"/>
  <c r="L841" i="34"/>
  <c r="J841" i="34"/>
  <c r="L840" i="34"/>
  <c r="J840" i="34"/>
  <c r="L839" i="34"/>
  <c r="J839" i="34"/>
  <c r="L838" i="34"/>
  <c r="J838" i="34"/>
  <c r="L837" i="34"/>
  <c r="J837" i="34"/>
  <c r="L836" i="34"/>
  <c r="J836" i="34"/>
  <c r="L835" i="34"/>
  <c r="J835" i="34"/>
  <c r="L834" i="34"/>
  <c r="J834" i="34"/>
  <c r="L833" i="34"/>
  <c r="J833" i="34"/>
  <c r="L832" i="34"/>
  <c r="J832" i="34"/>
  <c r="L831" i="34"/>
  <c r="J831" i="34"/>
  <c r="L830" i="34"/>
  <c r="J830" i="34"/>
  <c r="L829" i="34"/>
  <c r="J829" i="34"/>
  <c r="L828" i="34"/>
  <c r="J828" i="34"/>
  <c r="L827" i="34"/>
  <c r="J827" i="34"/>
  <c r="L826" i="34"/>
  <c r="J826" i="34"/>
  <c r="L825" i="34"/>
  <c r="J825" i="34"/>
  <c r="L824" i="34"/>
  <c r="J824" i="34"/>
  <c r="L823" i="34"/>
  <c r="J823" i="34"/>
  <c r="L822" i="34"/>
  <c r="J822" i="34"/>
  <c r="L821" i="34"/>
  <c r="J821" i="34"/>
  <c r="L820" i="34"/>
  <c r="J820" i="34"/>
  <c r="L819" i="34"/>
  <c r="J819" i="34"/>
  <c r="L818" i="34"/>
  <c r="J818" i="34"/>
  <c r="L817" i="34"/>
  <c r="J817" i="34"/>
  <c r="L816" i="34"/>
  <c r="J816" i="34"/>
  <c r="L815" i="34"/>
  <c r="J815" i="34"/>
  <c r="L814" i="34"/>
  <c r="J814" i="34"/>
  <c r="L813" i="34"/>
  <c r="J813" i="34"/>
  <c r="L812" i="34"/>
  <c r="J812" i="34"/>
  <c r="L811" i="34"/>
  <c r="J811" i="34"/>
  <c r="L810" i="34"/>
  <c r="J810" i="34"/>
  <c r="L809" i="34"/>
  <c r="J809" i="34"/>
  <c r="L808" i="34"/>
  <c r="J808" i="34"/>
  <c r="L807" i="34"/>
  <c r="J807" i="34"/>
  <c r="L806" i="34"/>
  <c r="J806" i="34"/>
  <c r="L805" i="34"/>
  <c r="J805" i="34"/>
  <c r="L804" i="34"/>
  <c r="J804" i="34"/>
  <c r="L803" i="34"/>
  <c r="J803" i="34"/>
  <c r="L802" i="34"/>
  <c r="J802" i="34"/>
  <c r="L801" i="34"/>
  <c r="J801" i="34"/>
  <c r="L800" i="34"/>
  <c r="J800" i="34"/>
  <c r="L799" i="34"/>
  <c r="J799" i="34"/>
  <c r="L798" i="34"/>
  <c r="J798" i="34"/>
  <c r="L797" i="34"/>
  <c r="J797" i="34"/>
  <c r="L796" i="34"/>
  <c r="J796" i="34"/>
  <c r="L795" i="34"/>
  <c r="J795" i="34"/>
  <c r="L794" i="34"/>
  <c r="J794" i="34"/>
  <c r="L793" i="34"/>
  <c r="J793" i="34"/>
  <c r="L792" i="34"/>
  <c r="J792" i="34"/>
  <c r="L791" i="34"/>
  <c r="J791" i="34"/>
  <c r="L790" i="34"/>
  <c r="J790" i="34"/>
  <c r="L789" i="34"/>
  <c r="J789" i="34"/>
  <c r="L788" i="34"/>
  <c r="J788" i="34"/>
  <c r="L787" i="34"/>
  <c r="J787" i="34"/>
  <c r="L786" i="34"/>
  <c r="J786" i="34"/>
  <c r="L785" i="34"/>
  <c r="J785" i="34"/>
  <c r="L784" i="34"/>
  <c r="J784" i="34"/>
  <c r="L783" i="34"/>
  <c r="J783" i="34"/>
  <c r="L782" i="34"/>
  <c r="J782" i="34"/>
  <c r="L781" i="34"/>
  <c r="J781" i="34"/>
  <c r="L780" i="34"/>
  <c r="J780" i="34"/>
  <c r="L779" i="34"/>
  <c r="J779" i="34"/>
  <c r="L778" i="34"/>
  <c r="J778" i="34"/>
  <c r="L777" i="34"/>
  <c r="J777" i="34"/>
  <c r="L776" i="34"/>
  <c r="J776" i="34"/>
  <c r="L775" i="34"/>
  <c r="J775" i="34"/>
  <c r="L774" i="34"/>
  <c r="J774" i="34"/>
  <c r="L773" i="34"/>
  <c r="J773" i="34"/>
  <c r="L772" i="34"/>
  <c r="J772" i="34"/>
  <c r="L771" i="34"/>
  <c r="J771" i="34"/>
  <c r="L770" i="34"/>
  <c r="J770" i="34"/>
  <c r="L769" i="34"/>
  <c r="J769" i="34"/>
  <c r="L768" i="34"/>
  <c r="J768" i="34"/>
  <c r="L767" i="34"/>
  <c r="J767" i="34"/>
  <c r="L766" i="34"/>
  <c r="J766" i="34"/>
  <c r="L765" i="34"/>
  <c r="J765" i="34"/>
  <c r="L764" i="34"/>
  <c r="J764" i="34"/>
  <c r="L763" i="34"/>
  <c r="J763" i="34"/>
  <c r="L762" i="34"/>
  <c r="J762" i="34"/>
  <c r="L761" i="34"/>
  <c r="J761" i="34"/>
  <c r="L760" i="34"/>
  <c r="J760" i="34"/>
  <c r="L759" i="34"/>
  <c r="J759" i="34"/>
  <c r="L758" i="34"/>
  <c r="J758" i="34"/>
  <c r="L757" i="34"/>
  <c r="J757" i="34"/>
  <c r="L756" i="34"/>
  <c r="J756" i="34"/>
  <c r="L755" i="34"/>
  <c r="J755" i="34"/>
  <c r="L754" i="34"/>
  <c r="J754" i="34"/>
  <c r="L753" i="34"/>
  <c r="J753" i="34"/>
  <c r="L752" i="34"/>
  <c r="J752" i="34"/>
  <c r="L751" i="34"/>
  <c r="J751" i="34"/>
  <c r="L750" i="34"/>
  <c r="J750" i="34"/>
  <c r="L749" i="34"/>
  <c r="J749" i="34"/>
  <c r="L748" i="34"/>
  <c r="J748" i="34"/>
  <c r="L747" i="34"/>
  <c r="J747" i="34"/>
  <c r="L746" i="34"/>
  <c r="J746" i="34"/>
  <c r="L745" i="34"/>
  <c r="J745" i="34"/>
  <c r="L744" i="34"/>
  <c r="J744" i="34"/>
  <c r="L743" i="34"/>
  <c r="J743" i="34"/>
  <c r="L742" i="34"/>
  <c r="J742" i="34"/>
  <c r="L741" i="34"/>
  <c r="J741" i="34"/>
  <c r="L740" i="34"/>
  <c r="J740" i="34"/>
  <c r="L739" i="34"/>
  <c r="J739" i="34"/>
  <c r="L738" i="34"/>
  <c r="J738" i="34"/>
  <c r="L737" i="34"/>
  <c r="J737" i="34"/>
  <c r="L736" i="34"/>
  <c r="J736" i="34"/>
  <c r="L735" i="34"/>
  <c r="J735" i="34"/>
  <c r="L734" i="34"/>
  <c r="J734" i="34"/>
  <c r="L733" i="34"/>
  <c r="J733" i="34"/>
  <c r="L732" i="34"/>
  <c r="J732" i="34"/>
  <c r="L731" i="34"/>
  <c r="J731" i="34"/>
  <c r="L730" i="34"/>
  <c r="J730" i="34"/>
  <c r="L729" i="34"/>
  <c r="J729" i="34"/>
  <c r="L728" i="34"/>
  <c r="J728" i="34"/>
  <c r="L727" i="34"/>
  <c r="J727" i="34"/>
  <c r="L726" i="34"/>
  <c r="J726" i="34"/>
  <c r="L725" i="34"/>
  <c r="J725" i="34"/>
  <c r="L724" i="34"/>
  <c r="J724" i="34"/>
  <c r="L723" i="34"/>
  <c r="J723" i="34"/>
  <c r="L722" i="34"/>
  <c r="J722" i="34"/>
  <c r="L721" i="34"/>
  <c r="J721" i="34"/>
  <c r="L720" i="34"/>
  <c r="J720" i="34"/>
  <c r="L719" i="34"/>
  <c r="J719" i="34"/>
  <c r="L718" i="34"/>
  <c r="J718" i="34"/>
  <c r="L717" i="34"/>
  <c r="J717" i="34"/>
  <c r="L716" i="34"/>
  <c r="J716" i="34"/>
  <c r="L715" i="34"/>
  <c r="J715" i="34"/>
  <c r="L714" i="34"/>
  <c r="J714" i="34"/>
  <c r="L713" i="34"/>
  <c r="J713" i="34"/>
  <c r="L712" i="34"/>
  <c r="J712" i="34"/>
  <c r="L711" i="34"/>
  <c r="J711" i="34"/>
  <c r="L710" i="34"/>
  <c r="J710" i="34"/>
  <c r="L709" i="34"/>
  <c r="J709" i="34"/>
  <c r="L708" i="34"/>
  <c r="J708" i="34"/>
  <c r="L707" i="34"/>
  <c r="J707" i="34"/>
  <c r="L706" i="34"/>
  <c r="J706" i="34"/>
  <c r="L705" i="34"/>
  <c r="J705" i="34"/>
  <c r="L704" i="34"/>
  <c r="J704" i="34"/>
  <c r="L703" i="34"/>
  <c r="J703" i="34"/>
  <c r="L702" i="34"/>
  <c r="J702" i="34"/>
  <c r="L701" i="34"/>
  <c r="J701" i="34"/>
  <c r="L700" i="34"/>
  <c r="J700" i="34"/>
  <c r="L699" i="34"/>
  <c r="J699" i="34"/>
  <c r="L698" i="34"/>
  <c r="J698" i="34"/>
  <c r="L697" i="34"/>
  <c r="J697" i="34"/>
  <c r="L696" i="34"/>
  <c r="J696" i="34"/>
  <c r="L695" i="34"/>
  <c r="J695" i="34"/>
  <c r="L694" i="34"/>
  <c r="J694" i="34"/>
  <c r="L693" i="34"/>
  <c r="J693" i="34"/>
  <c r="L692" i="34"/>
  <c r="J692" i="34"/>
  <c r="L691" i="34"/>
  <c r="J691" i="34"/>
  <c r="L690" i="34"/>
  <c r="J690" i="34"/>
  <c r="L689" i="34"/>
  <c r="J689" i="34"/>
  <c r="L688" i="34"/>
  <c r="J688" i="34"/>
  <c r="L687" i="34"/>
  <c r="J687" i="34"/>
  <c r="L686" i="34"/>
  <c r="J686" i="34"/>
  <c r="L685" i="34"/>
  <c r="J685" i="34"/>
  <c r="L684" i="34"/>
  <c r="J684" i="34"/>
  <c r="L683" i="34"/>
  <c r="J683" i="34"/>
  <c r="L682" i="34"/>
  <c r="J682" i="34"/>
  <c r="L681" i="34"/>
  <c r="J681" i="34"/>
  <c r="L680" i="34"/>
  <c r="J680" i="34"/>
  <c r="L679" i="34"/>
  <c r="J679" i="34"/>
  <c r="L678" i="34"/>
  <c r="J678" i="34"/>
  <c r="L677" i="34"/>
  <c r="J677" i="34"/>
  <c r="L676" i="34"/>
  <c r="J676" i="34"/>
  <c r="L675" i="34"/>
  <c r="J675" i="34"/>
  <c r="L674" i="34"/>
  <c r="J674" i="34"/>
  <c r="L673" i="34"/>
  <c r="J673" i="34"/>
  <c r="L672" i="34"/>
  <c r="J672" i="34"/>
  <c r="L671" i="34"/>
  <c r="J671" i="34"/>
  <c r="L670" i="34"/>
  <c r="J670" i="34"/>
  <c r="L669" i="34"/>
  <c r="J669" i="34"/>
  <c r="L668" i="34"/>
  <c r="J668" i="34"/>
  <c r="L667" i="34"/>
  <c r="J667" i="34"/>
  <c r="L666" i="34"/>
  <c r="J666" i="34"/>
  <c r="L665" i="34"/>
  <c r="J665" i="34"/>
  <c r="L664" i="34"/>
  <c r="J664" i="34"/>
  <c r="L663" i="34"/>
  <c r="J663" i="34"/>
  <c r="L662" i="34"/>
  <c r="J662" i="34"/>
  <c r="L661" i="34"/>
  <c r="J661" i="34"/>
  <c r="L660" i="34"/>
  <c r="J660" i="34"/>
  <c r="L659" i="34"/>
  <c r="J659" i="34"/>
  <c r="L658" i="34"/>
  <c r="J658" i="34"/>
  <c r="L657" i="34"/>
  <c r="J657" i="34"/>
  <c r="L656" i="34"/>
  <c r="J656" i="34"/>
  <c r="L655" i="34"/>
  <c r="J655" i="34"/>
  <c r="L654" i="34"/>
  <c r="J654" i="34"/>
  <c r="L653" i="34"/>
  <c r="J653" i="34"/>
  <c r="L652" i="34"/>
  <c r="J652" i="34"/>
  <c r="L651" i="34"/>
  <c r="J651" i="34"/>
  <c r="L650" i="34"/>
  <c r="J650" i="34"/>
  <c r="L649" i="34"/>
  <c r="J649" i="34"/>
  <c r="L648" i="34"/>
  <c r="J648" i="34"/>
  <c r="L647" i="34"/>
  <c r="J647" i="34"/>
  <c r="L646" i="34"/>
  <c r="J646" i="34"/>
  <c r="L645" i="34"/>
  <c r="J645" i="34"/>
  <c r="L644" i="34"/>
  <c r="J644" i="34"/>
  <c r="L643" i="34"/>
  <c r="J643" i="34"/>
  <c r="L642" i="34"/>
  <c r="J642" i="34"/>
  <c r="L641" i="34"/>
  <c r="J641" i="34"/>
  <c r="L640" i="34"/>
  <c r="J640" i="34"/>
  <c r="L639" i="34"/>
  <c r="J639" i="34"/>
  <c r="L638" i="34"/>
  <c r="J638" i="34"/>
  <c r="L637" i="34"/>
  <c r="J637" i="34"/>
  <c r="L636" i="34"/>
  <c r="J636" i="34"/>
  <c r="L635" i="34"/>
  <c r="J635" i="34"/>
  <c r="L634" i="34"/>
  <c r="J634" i="34"/>
  <c r="L633" i="34"/>
  <c r="J633" i="34"/>
  <c r="L632" i="34"/>
  <c r="J632" i="34"/>
  <c r="L631" i="34"/>
  <c r="J631" i="34"/>
  <c r="L630" i="34"/>
  <c r="J630" i="34"/>
  <c r="L629" i="34"/>
  <c r="J629" i="34"/>
  <c r="L628" i="34"/>
  <c r="J628" i="34"/>
  <c r="L627" i="34"/>
  <c r="J627" i="34"/>
  <c r="L626" i="34"/>
  <c r="J626" i="34"/>
  <c r="L625" i="34"/>
  <c r="J625" i="34"/>
  <c r="L624" i="34"/>
  <c r="J624" i="34"/>
  <c r="L623" i="34"/>
  <c r="J623" i="34"/>
  <c r="L622" i="34"/>
  <c r="J622" i="34"/>
  <c r="L621" i="34"/>
  <c r="J621" i="34"/>
  <c r="L620" i="34"/>
  <c r="J620" i="34"/>
  <c r="L619" i="34"/>
  <c r="J619" i="34"/>
  <c r="L618" i="34"/>
  <c r="J618" i="34"/>
  <c r="L617" i="34"/>
  <c r="J617" i="34"/>
  <c r="L616" i="34"/>
  <c r="J616" i="34"/>
  <c r="L615" i="34"/>
  <c r="J615" i="34"/>
  <c r="L614" i="34"/>
  <c r="J614" i="34"/>
  <c r="L613" i="34"/>
  <c r="J613" i="34"/>
  <c r="L612" i="34"/>
  <c r="J612" i="34"/>
  <c r="L611" i="34"/>
  <c r="J611" i="34"/>
  <c r="L610" i="34"/>
  <c r="J610" i="34"/>
  <c r="L609" i="34"/>
  <c r="J609" i="34"/>
  <c r="L608" i="34"/>
  <c r="J608" i="34"/>
  <c r="L607" i="34"/>
  <c r="J607" i="34"/>
  <c r="L606" i="34"/>
  <c r="J606" i="34"/>
  <c r="L605" i="34"/>
  <c r="J605" i="34"/>
  <c r="L604" i="34"/>
  <c r="J604" i="34"/>
  <c r="L603" i="34"/>
  <c r="J603" i="34"/>
  <c r="L602" i="34"/>
  <c r="J602" i="34"/>
  <c r="L601" i="34"/>
  <c r="J601" i="34"/>
  <c r="L600" i="34"/>
  <c r="J600" i="34"/>
  <c r="L599" i="34"/>
  <c r="J599" i="34"/>
  <c r="L598" i="34"/>
  <c r="J598" i="34"/>
  <c r="L597" i="34"/>
  <c r="J597" i="34"/>
  <c r="L596" i="34"/>
  <c r="J596" i="34"/>
  <c r="L595" i="34"/>
  <c r="J595" i="34"/>
  <c r="L594" i="34"/>
  <c r="J594" i="34"/>
  <c r="L593" i="34"/>
  <c r="J593" i="34"/>
  <c r="L592" i="34"/>
  <c r="J592" i="34"/>
  <c r="L591" i="34"/>
  <c r="J591" i="34"/>
  <c r="L590" i="34"/>
  <c r="J590" i="34"/>
  <c r="L589" i="34"/>
  <c r="J589" i="34"/>
  <c r="L588" i="34"/>
  <c r="J588" i="34"/>
  <c r="L587" i="34"/>
  <c r="J587" i="34"/>
  <c r="L586" i="34"/>
  <c r="J586" i="34"/>
  <c r="L585" i="34"/>
  <c r="J585" i="34"/>
  <c r="L584" i="34"/>
  <c r="J584" i="34"/>
  <c r="L583" i="34"/>
  <c r="J583" i="34"/>
  <c r="L582" i="34"/>
  <c r="J582" i="34"/>
  <c r="L581" i="34"/>
  <c r="J581" i="34"/>
  <c r="L580" i="34"/>
  <c r="J580" i="34"/>
  <c r="L579" i="34"/>
  <c r="J579" i="34"/>
  <c r="L578" i="34"/>
  <c r="J578" i="34"/>
  <c r="L577" i="34"/>
  <c r="J577" i="34"/>
  <c r="L576" i="34"/>
  <c r="J576" i="34"/>
  <c r="L575" i="34"/>
  <c r="J575" i="34"/>
  <c r="L574" i="34"/>
  <c r="J574" i="34"/>
  <c r="L573" i="34"/>
  <c r="J573" i="34"/>
  <c r="L572" i="34"/>
  <c r="J572" i="34"/>
  <c r="L571" i="34"/>
  <c r="J571" i="34"/>
  <c r="L570" i="34"/>
  <c r="J570" i="34"/>
  <c r="L569" i="34"/>
  <c r="J569" i="34"/>
  <c r="L568" i="34"/>
  <c r="J568" i="34"/>
  <c r="L567" i="34"/>
  <c r="J567" i="34"/>
  <c r="L566" i="34"/>
  <c r="J566" i="34"/>
  <c r="L565" i="34"/>
  <c r="J565" i="34"/>
  <c r="L564" i="34"/>
  <c r="J564" i="34"/>
  <c r="L563" i="34"/>
  <c r="J563" i="34"/>
  <c r="L562" i="34"/>
  <c r="J562" i="34"/>
  <c r="L561" i="34"/>
  <c r="J561" i="34"/>
  <c r="L560" i="34"/>
  <c r="J560" i="34"/>
  <c r="L559" i="34"/>
  <c r="J559" i="34"/>
  <c r="L558" i="34"/>
  <c r="J558" i="34"/>
  <c r="L557" i="34"/>
  <c r="J557" i="34"/>
  <c r="L556" i="34"/>
  <c r="J556" i="34"/>
  <c r="L555" i="34"/>
  <c r="J555" i="34"/>
  <c r="L554" i="34"/>
  <c r="J554" i="34"/>
  <c r="L553" i="34"/>
  <c r="J553" i="34"/>
  <c r="L552" i="34"/>
  <c r="J552" i="34"/>
  <c r="L551" i="34"/>
  <c r="J551" i="34"/>
  <c r="L550" i="34"/>
  <c r="J550" i="34"/>
  <c r="L549" i="34"/>
  <c r="J549" i="34"/>
  <c r="L548" i="34"/>
  <c r="J548" i="34"/>
  <c r="L547" i="34"/>
  <c r="J547" i="34"/>
  <c r="L546" i="34"/>
  <c r="J546" i="34"/>
  <c r="L545" i="34"/>
  <c r="J545" i="34"/>
  <c r="L544" i="34"/>
  <c r="J544" i="34"/>
  <c r="L543" i="34"/>
  <c r="J543" i="34"/>
  <c r="L542" i="34"/>
  <c r="J542" i="34"/>
  <c r="L541" i="34"/>
  <c r="J541" i="34"/>
  <c r="L540" i="34"/>
  <c r="J540" i="34"/>
  <c r="L539" i="34"/>
  <c r="J539" i="34"/>
  <c r="L538" i="34"/>
  <c r="J538" i="34"/>
  <c r="L537" i="34"/>
  <c r="J537" i="34"/>
  <c r="L536" i="34"/>
  <c r="J536" i="34"/>
  <c r="L535" i="34"/>
  <c r="J535" i="34"/>
  <c r="L534" i="34"/>
  <c r="J534" i="34"/>
  <c r="L533" i="34"/>
  <c r="J533" i="34"/>
  <c r="L532" i="34"/>
  <c r="J532" i="34"/>
  <c r="L531" i="34"/>
  <c r="J531" i="34"/>
  <c r="L530" i="34"/>
  <c r="J530" i="34"/>
  <c r="L529" i="34"/>
  <c r="J529" i="34"/>
  <c r="L528" i="34"/>
  <c r="J528" i="34"/>
  <c r="L527" i="34"/>
  <c r="J527" i="34"/>
  <c r="L526" i="34"/>
  <c r="J526" i="34"/>
  <c r="L525" i="34"/>
  <c r="J525" i="34"/>
  <c r="L524" i="34"/>
  <c r="J524" i="34"/>
  <c r="L523" i="34"/>
  <c r="J523" i="34"/>
  <c r="L522" i="34"/>
  <c r="J522" i="34"/>
  <c r="L521" i="34"/>
  <c r="J521" i="34"/>
  <c r="L520" i="34"/>
  <c r="J520" i="34"/>
  <c r="L519" i="34"/>
  <c r="J519" i="34"/>
  <c r="L518" i="34"/>
  <c r="J518" i="34"/>
  <c r="L517" i="34"/>
  <c r="J517" i="34"/>
  <c r="L516" i="34"/>
  <c r="J516" i="34"/>
  <c r="L515" i="34"/>
  <c r="J515" i="34"/>
  <c r="L514" i="34"/>
  <c r="J514" i="34"/>
  <c r="L513" i="34"/>
  <c r="J513" i="34"/>
  <c r="L512" i="34"/>
  <c r="J512" i="34"/>
  <c r="L511" i="34"/>
  <c r="J511" i="34"/>
  <c r="L510" i="34"/>
  <c r="J510" i="34"/>
  <c r="L509" i="34"/>
  <c r="J509" i="34"/>
  <c r="L508" i="34"/>
  <c r="J508" i="34"/>
  <c r="L507" i="34"/>
  <c r="J507" i="34"/>
  <c r="L506" i="34"/>
  <c r="J506" i="34"/>
  <c r="L505" i="34"/>
  <c r="J505" i="34"/>
  <c r="L504" i="34"/>
  <c r="J504" i="34"/>
  <c r="L503" i="34"/>
  <c r="J503" i="34"/>
  <c r="L502" i="34"/>
  <c r="J502" i="34"/>
  <c r="L501" i="34"/>
  <c r="J501" i="34"/>
  <c r="L500" i="34"/>
  <c r="J500" i="34"/>
  <c r="L499" i="34"/>
  <c r="J499" i="34"/>
  <c r="L498" i="34"/>
  <c r="J498" i="34"/>
  <c r="L497" i="34"/>
  <c r="J497" i="34"/>
  <c r="L496" i="34"/>
  <c r="J496" i="34"/>
  <c r="L495" i="34"/>
  <c r="J495" i="34"/>
  <c r="L494" i="34"/>
  <c r="J494" i="34"/>
  <c r="L493" i="34"/>
  <c r="J493" i="34"/>
  <c r="L492" i="34"/>
  <c r="J492" i="34"/>
  <c r="L491" i="34"/>
  <c r="J491" i="34"/>
  <c r="L490" i="34"/>
  <c r="J490" i="34"/>
  <c r="L489" i="34"/>
  <c r="J489" i="34"/>
  <c r="L488" i="34"/>
  <c r="J488" i="34"/>
  <c r="L487" i="34"/>
  <c r="J487" i="34"/>
  <c r="L486" i="34"/>
  <c r="J486" i="34"/>
  <c r="L485" i="34"/>
  <c r="J485" i="34"/>
  <c r="L484" i="34"/>
  <c r="J484" i="34"/>
  <c r="L483" i="34"/>
  <c r="J483" i="34"/>
  <c r="L482" i="34"/>
  <c r="J482" i="34"/>
  <c r="L481" i="34"/>
  <c r="J481" i="34"/>
  <c r="L480" i="34"/>
  <c r="J480" i="34"/>
  <c r="L479" i="34"/>
  <c r="J479" i="34"/>
  <c r="L478" i="34"/>
  <c r="J478" i="34"/>
  <c r="L477" i="34"/>
  <c r="J477" i="34"/>
  <c r="L476" i="34"/>
  <c r="J476" i="34"/>
  <c r="L475" i="34"/>
  <c r="J475" i="34"/>
  <c r="L474" i="34"/>
  <c r="J474" i="34"/>
  <c r="L473" i="34"/>
  <c r="J473" i="34"/>
  <c r="L472" i="34"/>
  <c r="J472" i="34"/>
  <c r="L471" i="34"/>
  <c r="J471" i="34"/>
  <c r="L470" i="34"/>
  <c r="J470" i="34"/>
  <c r="L469" i="34"/>
  <c r="J469" i="34"/>
  <c r="L468" i="34"/>
  <c r="J468" i="34"/>
  <c r="L467" i="34"/>
  <c r="J467" i="34"/>
  <c r="L466" i="34"/>
  <c r="J466" i="34"/>
  <c r="L465" i="34"/>
  <c r="J465" i="34"/>
  <c r="L464" i="34"/>
  <c r="J464" i="34"/>
  <c r="L463" i="34"/>
  <c r="J463" i="34"/>
  <c r="L462" i="34"/>
  <c r="J462" i="34"/>
  <c r="L461" i="34"/>
  <c r="J461" i="34"/>
  <c r="L460" i="34"/>
  <c r="J460" i="34"/>
  <c r="L459" i="34"/>
  <c r="J459" i="34"/>
  <c r="L458" i="34"/>
  <c r="J458" i="34"/>
  <c r="L457" i="34"/>
  <c r="J457" i="34"/>
  <c r="L456" i="34"/>
  <c r="J456" i="34"/>
  <c r="L455" i="34"/>
  <c r="J455" i="34"/>
  <c r="L454" i="34"/>
  <c r="J454" i="34"/>
  <c r="L453" i="34"/>
  <c r="J453" i="34"/>
  <c r="L452" i="34"/>
  <c r="J452" i="34"/>
  <c r="L451" i="34"/>
  <c r="J451" i="34"/>
  <c r="L450" i="34"/>
  <c r="J450" i="34"/>
  <c r="L449" i="34"/>
  <c r="J449" i="34"/>
  <c r="L448" i="34"/>
  <c r="J448" i="34"/>
  <c r="L447" i="34"/>
  <c r="J447" i="34"/>
  <c r="L446" i="34"/>
  <c r="J446" i="34"/>
  <c r="L445" i="34"/>
  <c r="J445" i="34"/>
  <c r="L444" i="34"/>
  <c r="J444" i="34"/>
  <c r="L443" i="34"/>
  <c r="J443" i="34"/>
  <c r="L442" i="34"/>
  <c r="J442" i="34"/>
  <c r="L441" i="34"/>
  <c r="J441" i="34"/>
  <c r="L440" i="34"/>
  <c r="J440" i="34"/>
  <c r="L439" i="34"/>
  <c r="J439" i="34"/>
  <c r="L438" i="34"/>
  <c r="J438" i="34"/>
  <c r="L437" i="34"/>
  <c r="J437" i="34"/>
  <c r="L436" i="34"/>
  <c r="J436" i="34"/>
  <c r="L435" i="34"/>
  <c r="J435" i="34"/>
  <c r="L434" i="34"/>
  <c r="J434" i="34"/>
  <c r="L433" i="34"/>
  <c r="J433" i="34"/>
  <c r="L432" i="34"/>
  <c r="J432" i="34"/>
  <c r="L431" i="34"/>
  <c r="J431" i="34"/>
  <c r="L430" i="34"/>
  <c r="J430" i="34"/>
  <c r="L429" i="34"/>
  <c r="J429" i="34"/>
  <c r="L428" i="34"/>
  <c r="J428" i="34"/>
  <c r="L427" i="34"/>
  <c r="J427" i="34"/>
  <c r="L426" i="34"/>
  <c r="J426" i="34"/>
  <c r="L425" i="34"/>
  <c r="J425" i="34"/>
  <c r="L424" i="34"/>
  <c r="J424" i="34"/>
  <c r="L423" i="34"/>
  <c r="J423" i="34"/>
  <c r="L422" i="34"/>
  <c r="J422" i="34"/>
  <c r="L421" i="34"/>
  <c r="J421" i="34"/>
  <c r="L420" i="34"/>
  <c r="J420" i="34"/>
  <c r="L419" i="34"/>
  <c r="J419" i="34"/>
  <c r="L418" i="34"/>
  <c r="J418" i="34"/>
  <c r="L417" i="34"/>
  <c r="J417" i="34"/>
  <c r="L416" i="34"/>
  <c r="J416" i="34"/>
  <c r="L415" i="34"/>
  <c r="J415" i="34"/>
  <c r="L414" i="34"/>
  <c r="J414" i="34"/>
  <c r="L413" i="34"/>
  <c r="J413" i="34"/>
  <c r="L412" i="34"/>
  <c r="J412" i="34"/>
  <c r="L411" i="34"/>
  <c r="J411" i="34"/>
  <c r="L410" i="34"/>
  <c r="J410" i="34"/>
  <c r="L409" i="34"/>
  <c r="J409" i="34"/>
  <c r="L408" i="34"/>
  <c r="J408" i="34"/>
  <c r="L407" i="34"/>
  <c r="J407" i="34"/>
  <c r="L406" i="34"/>
  <c r="J406" i="34"/>
  <c r="L405" i="34"/>
  <c r="J405" i="34"/>
  <c r="L404" i="34"/>
  <c r="J404" i="34"/>
  <c r="L403" i="34"/>
  <c r="J403" i="34"/>
  <c r="L402" i="34"/>
  <c r="J402" i="34"/>
  <c r="L401" i="34"/>
  <c r="J401" i="34"/>
  <c r="L400" i="34"/>
  <c r="J400" i="34"/>
  <c r="L399" i="34"/>
  <c r="J399" i="34"/>
  <c r="L398" i="34"/>
  <c r="J398" i="34"/>
  <c r="L397" i="34"/>
  <c r="J397" i="34"/>
  <c r="L396" i="34"/>
  <c r="J396" i="34"/>
  <c r="L395" i="34"/>
  <c r="J395" i="34"/>
  <c r="L394" i="34"/>
  <c r="J394" i="34"/>
  <c r="L393" i="34"/>
  <c r="J393" i="34"/>
  <c r="L392" i="34"/>
  <c r="J392" i="34"/>
  <c r="L391" i="34"/>
  <c r="J391" i="34"/>
  <c r="L390" i="34"/>
  <c r="J390" i="34"/>
  <c r="L389" i="34"/>
  <c r="J389" i="34"/>
  <c r="L388" i="34"/>
  <c r="J388" i="34"/>
  <c r="L387" i="34"/>
  <c r="J387" i="34"/>
  <c r="L386" i="34"/>
  <c r="J386" i="34"/>
  <c r="L385" i="34"/>
  <c r="J385" i="34"/>
  <c r="L384" i="34"/>
  <c r="J384" i="34"/>
  <c r="L383" i="34"/>
  <c r="J383" i="34"/>
  <c r="L382" i="34"/>
  <c r="J382" i="34"/>
  <c r="L381" i="34"/>
  <c r="J381" i="34"/>
  <c r="L380" i="34"/>
  <c r="J380" i="34"/>
  <c r="L379" i="34"/>
  <c r="J379" i="34"/>
  <c r="L378" i="34"/>
  <c r="J378" i="34"/>
  <c r="L377" i="34"/>
  <c r="J377" i="34"/>
  <c r="L376" i="34"/>
  <c r="J376" i="34"/>
  <c r="L375" i="34"/>
  <c r="J375" i="34"/>
  <c r="L374" i="34"/>
  <c r="J374" i="34"/>
  <c r="L373" i="34"/>
  <c r="J373" i="34"/>
  <c r="L372" i="34"/>
  <c r="J372" i="34"/>
  <c r="L371" i="34"/>
  <c r="J371" i="34"/>
  <c r="L370" i="34"/>
  <c r="J370" i="34"/>
  <c r="L369" i="34"/>
  <c r="J369" i="34"/>
  <c r="L368" i="34"/>
  <c r="J368" i="34"/>
  <c r="L367" i="34"/>
  <c r="J367" i="34"/>
  <c r="L366" i="34"/>
  <c r="J366" i="34"/>
  <c r="L365" i="34"/>
  <c r="J365" i="34"/>
  <c r="L364" i="34"/>
  <c r="J364" i="34"/>
  <c r="L363" i="34"/>
  <c r="J363" i="34"/>
  <c r="L362" i="34"/>
  <c r="J362" i="34"/>
  <c r="L361" i="34"/>
  <c r="J361" i="34"/>
  <c r="L360" i="34"/>
  <c r="J360" i="34"/>
  <c r="L359" i="34"/>
  <c r="J359" i="34"/>
  <c r="L358" i="34"/>
  <c r="J358" i="34"/>
  <c r="L357" i="34"/>
  <c r="J357" i="34"/>
  <c r="L356" i="34"/>
  <c r="J356" i="34"/>
  <c r="L355" i="34"/>
  <c r="J355" i="34"/>
  <c r="L354" i="34"/>
  <c r="J354" i="34"/>
  <c r="L353" i="34"/>
  <c r="J353" i="34"/>
  <c r="L352" i="34"/>
  <c r="J352" i="34"/>
  <c r="L351" i="34"/>
  <c r="J351" i="34"/>
  <c r="L350" i="34"/>
  <c r="J350" i="34"/>
  <c r="L349" i="34"/>
  <c r="J349" i="34"/>
  <c r="L348" i="34"/>
  <c r="J348" i="34"/>
  <c r="L347" i="34"/>
  <c r="J347" i="34"/>
  <c r="L346" i="34"/>
  <c r="J346" i="34"/>
  <c r="L345" i="34"/>
  <c r="J345" i="34"/>
  <c r="L344" i="34"/>
  <c r="J344" i="34"/>
  <c r="L343" i="34"/>
  <c r="J343" i="34"/>
  <c r="L342" i="34"/>
  <c r="J342" i="34"/>
  <c r="L341" i="34"/>
  <c r="J341" i="34"/>
  <c r="L340" i="34"/>
  <c r="J340" i="34"/>
  <c r="L339" i="34"/>
  <c r="J339" i="34"/>
  <c r="L338" i="34"/>
  <c r="J338" i="34"/>
  <c r="L337" i="34"/>
  <c r="J337" i="34"/>
  <c r="L336" i="34"/>
  <c r="J336" i="34"/>
  <c r="L335" i="34"/>
  <c r="J335" i="34"/>
  <c r="L334" i="34"/>
  <c r="J334" i="34"/>
  <c r="L333" i="34"/>
  <c r="J333" i="34"/>
  <c r="L332" i="34"/>
  <c r="J332" i="34"/>
  <c r="L331" i="34"/>
  <c r="J331" i="34"/>
  <c r="L330" i="34"/>
  <c r="J330" i="34"/>
  <c r="L329" i="34"/>
  <c r="J329" i="34"/>
  <c r="L328" i="34"/>
  <c r="J328" i="34"/>
  <c r="L327" i="34"/>
  <c r="J327" i="34"/>
  <c r="L326" i="34"/>
  <c r="J326" i="34"/>
  <c r="L325" i="34"/>
  <c r="J325" i="34"/>
  <c r="L324" i="34"/>
  <c r="J324" i="34"/>
  <c r="L323" i="34"/>
  <c r="J323" i="34"/>
  <c r="L322" i="34"/>
  <c r="J322" i="34"/>
  <c r="L321" i="34"/>
  <c r="J321" i="34"/>
  <c r="L320" i="34"/>
  <c r="J320" i="34"/>
  <c r="L319" i="34"/>
  <c r="J319" i="34"/>
  <c r="L318" i="34"/>
  <c r="J318" i="34"/>
  <c r="L317" i="34"/>
  <c r="J317" i="34"/>
  <c r="L316" i="34"/>
  <c r="J316" i="34"/>
  <c r="L315" i="34"/>
  <c r="J315" i="34"/>
  <c r="L314" i="34"/>
  <c r="J314" i="34"/>
  <c r="L313" i="34"/>
  <c r="J313" i="34"/>
  <c r="M313" i="34" l="1"/>
  <c r="M314" i="34"/>
  <c r="M315" i="34"/>
  <c r="M316" i="34"/>
  <c r="M317" i="34"/>
  <c r="M318" i="34"/>
  <c r="M319" i="34"/>
  <c r="M320" i="34"/>
  <c r="M321" i="34"/>
  <c r="M322" i="34"/>
  <c r="M323" i="34"/>
  <c r="M324" i="34"/>
  <c r="M325" i="34"/>
  <c r="M326" i="34"/>
  <c r="M327" i="34"/>
  <c r="M328" i="34"/>
  <c r="M329" i="34"/>
  <c r="M330" i="34"/>
  <c r="M331" i="34"/>
  <c r="M332" i="34"/>
  <c r="M333" i="34"/>
  <c r="M334" i="34"/>
  <c r="M335" i="34"/>
  <c r="M336" i="34"/>
  <c r="M337" i="34"/>
  <c r="M338" i="34"/>
  <c r="M339" i="34"/>
  <c r="M340" i="34"/>
  <c r="M341" i="34"/>
  <c r="M342" i="34"/>
  <c r="M343" i="34"/>
  <c r="M344" i="34"/>
  <c r="M345" i="34"/>
  <c r="M346" i="34"/>
  <c r="M347" i="34"/>
  <c r="M348" i="34"/>
  <c r="M349" i="34"/>
  <c r="M350" i="34"/>
  <c r="M351" i="34"/>
  <c r="M352" i="34"/>
  <c r="M353" i="34"/>
  <c r="M354" i="34"/>
  <c r="M355" i="34"/>
  <c r="M356" i="34"/>
  <c r="M357" i="34"/>
  <c r="M358" i="34"/>
  <c r="M359" i="34"/>
  <c r="M360" i="34"/>
  <c r="M361" i="34"/>
  <c r="M362" i="34"/>
  <c r="M363" i="34"/>
  <c r="M364" i="34"/>
  <c r="M365" i="34"/>
  <c r="M366" i="34"/>
  <c r="M367" i="34"/>
  <c r="M368" i="34"/>
  <c r="M369" i="34"/>
  <c r="M370" i="34"/>
  <c r="M371" i="34"/>
  <c r="M372" i="34"/>
  <c r="M373" i="34"/>
  <c r="M374" i="34"/>
  <c r="M375" i="34"/>
  <c r="M376" i="34"/>
  <c r="M377" i="34"/>
  <c r="M378" i="34"/>
  <c r="M379" i="34"/>
  <c r="M380" i="34"/>
  <c r="M381" i="34"/>
  <c r="M382" i="34"/>
  <c r="M383" i="34"/>
  <c r="M384" i="34"/>
  <c r="M385" i="34"/>
  <c r="M386" i="34"/>
  <c r="M387" i="34"/>
  <c r="M388" i="34"/>
  <c r="M389" i="34"/>
  <c r="M390" i="34"/>
  <c r="M391" i="34"/>
  <c r="M392" i="34"/>
  <c r="M393" i="34"/>
  <c r="M394" i="34"/>
  <c r="M395" i="34"/>
  <c r="M396" i="34"/>
  <c r="M397" i="34"/>
  <c r="M398" i="34"/>
  <c r="M399" i="34"/>
  <c r="M400" i="34"/>
  <c r="M401" i="34"/>
  <c r="M402" i="34"/>
  <c r="M403" i="34"/>
  <c r="M404" i="34"/>
  <c r="M405" i="34"/>
  <c r="M406" i="34"/>
  <c r="M407" i="34"/>
  <c r="M408" i="34"/>
  <c r="M409" i="34"/>
  <c r="M410" i="34"/>
  <c r="M411" i="34"/>
  <c r="M412" i="34"/>
  <c r="M413" i="34"/>
  <c r="M414" i="34"/>
  <c r="M415" i="34"/>
  <c r="M416" i="34"/>
  <c r="M417" i="34"/>
  <c r="M418" i="34"/>
  <c r="M419" i="34"/>
  <c r="M420" i="34"/>
  <c r="M421" i="34"/>
  <c r="M422" i="34"/>
  <c r="M423" i="34"/>
  <c r="M424" i="34"/>
  <c r="M425" i="34"/>
  <c r="M426" i="34"/>
  <c r="M427" i="34"/>
  <c r="M428" i="34"/>
  <c r="M429" i="34"/>
  <c r="M430" i="34"/>
  <c r="M431" i="34"/>
  <c r="M432" i="34"/>
  <c r="M433" i="34"/>
  <c r="M434" i="34"/>
  <c r="M435" i="34"/>
  <c r="M436" i="34"/>
  <c r="M437" i="34"/>
  <c r="M438" i="34"/>
  <c r="M439" i="34"/>
  <c r="M440" i="34"/>
  <c r="M441" i="34"/>
  <c r="M442" i="34"/>
  <c r="M443" i="34"/>
  <c r="M444" i="34"/>
  <c r="M445" i="34"/>
  <c r="M446" i="34"/>
  <c r="M447" i="34"/>
  <c r="M448" i="34"/>
  <c r="M449" i="34"/>
  <c r="M450" i="34"/>
  <c r="M451" i="34"/>
  <c r="M452" i="34"/>
  <c r="M453" i="34"/>
  <c r="M454" i="34"/>
  <c r="M455" i="34"/>
  <c r="M456" i="34"/>
  <c r="M457" i="34"/>
  <c r="M458" i="34"/>
  <c r="M459" i="34"/>
  <c r="M460" i="34"/>
  <c r="M461" i="34"/>
  <c r="M462" i="34"/>
  <c r="M463" i="34"/>
  <c r="M464" i="34"/>
  <c r="M465" i="34"/>
  <c r="M466" i="34"/>
  <c r="M467" i="34"/>
  <c r="M468" i="34"/>
  <c r="M469" i="34"/>
  <c r="M470" i="34"/>
  <c r="M471" i="34"/>
  <c r="M472" i="34"/>
  <c r="M473" i="34"/>
  <c r="M474" i="34"/>
  <c r="M475" i="34"/>
  <c r="M476" i="34"/>
  <c r="M477" i="34"/>
  <c r="M478" i="34"/>
  <c r="M479" i="34"/>
  <c r="M480" i="34"/>
  <c r="M481" i="34"/>
  <c r="M482" i="34"/>
  <c r="M483" i="34"/>
  <c r="M484" i="34"/>
  <c r="M485" i="34"/>
  <c r="M486" i="34"/>
  <c r="M487" i="34"/>
  <c r="M488" i="34"/>
  <c r="M489" i="34"/>
  <c r="M490" i="34"/>
  <c r="M491" i="34"/>
  <c r="M492" i="34"/>
  <c r="M493" i="34"/>
  <c r="M494" i="34"/>
  <c r="M495" i="34"/>
  <c r="M496" i="34"/>
  <c r="M497" i="34"/>
  <c r="M498" i="34"/>
  <c r="M499" i="34"/>
  <c r="M500" i="34"/>
  <c r="M501" i="34"/>
  <c r="M502" i="34"/>
  <c r="M503" i="34"/>
  <c r="M504" i="34"/>
  <c r="M505" i="34"/>
  <c r="M506" i="34"/>
  <c r="M507" i="34"/>
  <c r="M508" i="34"/>
  <c r="M509" i="34"/>
  <c r="M510" i="34"/>
  <c r="M511" i="34"/>
  <c r="M512" i="34"/>
  <c r="M513" i="34"/>
  <c r="M514" i="34"/>
  <c r="M515" i="34"/>
  <c r="M516" i="34"/>
  <c r="M517" i="34"/>
  <c r="M518" i="34"/>
  <c r="M519" i="34"/>
  <c r="M520" i="34"/>
  <c r="M521" i="34"/>
  <c r="M522" i="34"/>
  <c r="M523" i="34"/>
  <c r="M524" i="34"/>
  <c r="M525" i="34"/>
  <c r="M526" i="34"/>
  <c r="M527" i="34"/>
  <c r="M528" i="34"/>
  <c r="M529" i="34"/>
  <c r="M530" i="34"/>
  <c r="M531" i="34"/>
  <c r="M532" i="34"/>
  <c r="M533" i="34"/>
  <c r="M534" i="34"/>
  <c r="M535" i="34"/>
  <c r="M536" i="34"/>
  <c r="M537" i="34"/>
  <c r="M538" i="34"/>
  <c r="M539" i="34"/>
  <c r="M540" i="34"/>
  <c r="M541" i="34"/>
  <c r="M542" i="34"/>
  <c r="M543" i="34"/>
  <c r="M544" i="34"/>
  <c r="M545" i="34"/>
  <c r="M546" i="34"/>
  <c r="M547" i="34"/>
  <c r="M548" i="34"/>
  <c r="M549" i="34"/>
  <c r="M550" i="34"/>
  <c r="M551" i="34"/>
  <c r="M552" i="34"/>
  <c r="M553" i="34"/>
  <c r="M554" i="34"/>
  <c r="M555" i="34"/>
  <c r="M556" i="34"/>
  <c r="M557" i="34"/>
  <c r="M558" i="34"/>
  <c r="M559" i="34"/>
  <c r="M560" i="34"/>
  <c r="M561" i="34"/>
  <c r="M562" i="34"/>
  <c r="M563" i="34"/>
  <c r="M564" i="34"/>
  <c r="M565" i="34"/>
  <c r="M566" i="34"/>
  <c r="M567" i="34"/>
  <c r="M568" i="34"/>
  <c r="M569" i="34"/>
  <c r="M570" i="34"/>
  <c r="M571" i="34"/>
  <c r="M572" i="34"/>
  <c r="M573" i="34"/>
  <c r="M574" i="34"/>
  <c r="M575" i="34"/>
  <c r="M576" i="34"/>
  <c r="M577" i="34"/>
  <c r="M578" i="34"/>
  <c r="M579" i="34"/>
  <c r="M580" i="34"/>
  <c r="M581" i="34"/>
  <c r="M582" i="34"/>
  <c r="M583" i="34"/>
  <c r="M584" i="34"/>
  <c r="M585" i="34"/>
  <c r="M586" i="34"/>
  <c r="M587" i="34"/>
  <c r="M588" i="34"/>
  <c r="M589" i="34"/>
  <c r="M590" i="34"/>
  <c r="M591" i="34"/>
  <c r="M592" i="34"/>
  <c r="M593" i="34"/>
  <c r="M594" i="34"/>
  <c r="M595" i="34"/>
  <c r="M596" i="34"/>
  <c r="M597" i="34"/>
  <c r="M598" i="34"/>
  <c r="M599" i="34"/>
  <c r="M600" i="34"/>
  <c r="M601" i="34"/>
  <c r="M602" i="34"/>
  <c r="M603" i="34"/>
  <c r="M604" i="34"/>
  <c r="M605" i="34"/>
  <c r="M606" i="34"/>
  <c r="M607" i="34"/>
  <c r="M608" i="34"/>
  <c r="M609" i="34"/>
  <c r="M610" i="34"/>
  <c r="M611" i="34"/>
  <c r="M612" i="34"/>
  <c r="M613" i="34"/>
  <c r="M614" i="34"/>
  <c r="M615" i="34"/>
  <c r="M616" i="34"/>
  <c r="M617" i="34"/>
  <c r="M618" i="34"/>
  <c r="M619" i="34"/>
  <c r="M620" i="34"/>
  <c r="M621" i="34"/>
  <c r="M622" i="34"/>
  <c r="M623" i="34"/>
  <c r="M624" i="34"/>
  <c r="M625" i="34"/>
  <c r="M626" i="34"/>
  <c r="M627" i="34"/>
  <c r="M628" i="34"/>
  <c r="M629" i="34"/>
  <c r="M630" i="34"/>
  <c r="M631" i="34"/>
  <c r="M632" i="34"/>
  <c r="M633" i="34"/>
  <c r="M634" i="34"/>
  <c r="M635" i="34"/>
  <c r="M636" i="34"/>
  <c r="M637" i="34"/>
  <c r="M638" i="34"/>
  <c r="M639" i="34"/>
  <c r="M640" i="34"/>
  <c r="M641" i="34"/>
  <c r="M642" i="34"/>
  <c r="M643" i="34"/>
  <c r="M644" i="34"/>
  <c r="M645" i="34"/>
  <c r="M646" i="34"/>
  <c r="M647" i="34"/>
  <c r="M648" i="34"/>
  <c r="M649" i="34"/>
  <c r="M650" i="34"/>
  <c r="M651" i="34"/>
  <c r="M652" i="34"/>
  <c r="M653" i="34"/>
  <c r="M654" i="34"/>
  <c r="M655" i="34"/>
  <c r="M656" i="34"/>
  <c r="M657" i="34"/>
  <c r="M658" i="34"/>
  <c r="M659" i="34"/>
  <c r="M660" i="34"/>
  <c r="M661" i="34"/>
  <c r="M662" i="34"/>
  <c r="M663" i="34"/>
  <c r="M664" i="34"/>
  <c r="M665" i="34"/>
  <c r="M666" i="34"/>
  <c r="M667" i="34"/>
  <c r="M668" i="34"/>
  <c r="M669" i="34"/>
  <c r="M670" i="34"/>
  <c r="M671" i="34"/>
  <c r="M672" i="34"/>
  <c r="M673" i="34"/>
  <c r="M674" i="34"/>
  <c r="M675" i="34"/>
  <c r="M676" i="34"/>
  <c r="M677" i="34"/>
  <c r="M678" i="34"/>
  <c r="M679" i="34"/>
  <c r="M680" i="34"/>
  <c r="M681" i="34"/>
  <c r="M682" i="34"/>
  <c r="M683" i="34"/>
  <c r="M684" i="34"/>
  <c r="M685" i="34"/>
  <c r="M686" i="34"/>
  <c r="M687" i="34"/>
  <c r="M688" i="34"/>
  <c r="M689" i="34"/>
  <c r="M690" i="34"/>
  <c r="M691" i="34"/>
  <c r="M692" i="34"/>
  <c r="M693" i="34"/>
  <c r="M694" i="34"/>
  <c r="M695" i="34"/>
  <c r="M696" i="34"/>
  <c r="M697" i="34"/>
  <c r="M698" i="34"/>
  <c r="M699" i="34"/>
  <c r="M700" i="34"/>
  <c r="M701" i="34"/>
  <c r="M702" i="34"/>
  <c r="M703" i="34"/>
  <c r="M704" i="34"/>
  <c r="M705" i="34"/>
  <c r="M706" i="34"/>
  <c r="M707" i="34"/>
  <c r="M708" i="34"/>
  <c r="M709" i="34"/>
  <c r="M710" i="34"/>
  <c r="M711" i="34"/>
  <c r="M712" i="34"/>
  <c r="M713" i="34"/>
  <c r="M714" i="34"/>
  <c r="M715" i="34"/>
  <c r="M716" i="34"/>
  <c r="M717" i="34"/>
  <c r="M718" i="34"/>
  <c r="M719" i="34"/>
  <c r="M720" i="34"/>
  <c r="M721" i="34"/>
  <c r="M722" i="34"/>
  <c r="M723" i="34"/>
  <c r="M724" i="34"/>
  <c r="M725" i="34"/>
  <c r="M726" i="34"/>
  <c r="M727" i="34"/>
  <c r="M728" i="34"/>
  <c r="M729" i="34"/>
  <c r="M730" i="34"/>
  <c r="M731" i="34"/>
  <c r="M732" i="34"/>
  <c r="M733" i="34"/>
  <c r="M734" i="34"/>
  <c r="M735" i="34"/>
  <c r="M736" i="34"/>
  <c r="M737" i="34"/>
  <c r="M738" i="34"/>
  <c r="M739" i="34"/>
  <c r="M740" i="34"/>
  <c r="M741" i="34"/>
  <c r="M742" i="34"/>
  <c r="M743" i="34"/>
  <c r="M744" i="34"/>
  <c r="M745" i="34"/>
  <c r="M746" i="34"/>
  <c r="M747" i="34"/>
  <c r="M748" i="34"/>
  <c r="M749" i="34"/>
  <c r="M750" i="34"/>
  <c r="M751" i="34"/>
  <c r="M752" i="34"/>
  <c r="M753" i="34"/>
  <c r="M754" i="34"/>
  <c r="M755" i="34"/>
  <c r="M756" i="34"/>
  <c r="M757" i="34"/>
  <c r="M758" i="34"/>
  <c r="M759" i="34"/>
  <c r="M760" i="34"/>
  <c r="M761" i="34"/>
  <c r="M762" i="34"/>
  <c r="M763" i="34"/>
  <c r="M764" i="34"/>
  <c r="M765" i="34"/>
  <c r="M766" i="34"/>
  <c r="M767" i="34"/>
  <c r="M768" i="34"/>
  <c r="M769" i="34"/>
  <c r="M770" i="34"/>
  <c r="M771" i="34"/>
  <c r="M772" i="34"/>
  <c r="M773" i="34"/>
  <c r="M774" i="34"/>
  <c r="M775" i="34"/>
  <c r="M776" i="34"/>
  <c r="M777" i="34"/>
  <c r="M778" i="34"/>
  <c r="M779" i="34"/>
  <c r="M780" i="34"/>
  <c r="M781" i="34"/>
  <c r="M782" i="34"/>
  <c r="M783" i="34"/>
  <c r="M784" i="34"/>
  <c r="M785" i="34"/>
  <c r="M786" i="34"/>
  <c r="M787" i="34"/>
  <c r="M788" i="34"/>
  <c r="M789" i="34"/>
  <c r="M790" i="34"/>
  <c r="M791" i="34"/>
  <c r="M792" i="34"/>
  <c r="M793" i="34"/>
  <c r="M794" i="34"/>
  <c r="M795" i="34"/>
  <c r="M796" i="34"/>
  <c r="M797" i="34"/>
  <c r="M798" i="34"/>
  <c r="M799" i="34"/>
  <c r="M800" i="34"/>
  <c r="M801" i="34"/>
  <c r="M802" i="34"/>
  <c r="M803" i="34"/>
  <c r="M804" i="34"/>
  <c r="M805" i="34"/>
  <c r="M806" i="34"/>
  <c r="M807" i="34"/>
  <c r="M808" i="34"/>
  <c r="M809" i="34"/>
  <c r="M810" i="34"/>
  <c r="M811" i="34"/>
  <c r="M812" i="34"/>
  <c r="M813" i="34"/>
  <c r="M814" i="34"/>
  <c r="M815" i="34"/>
  <c r="M816" i="34"/>
  <c r="M817" i="34"/>
  <c r="M818" i="34"/>
  <c r="M819" i="34"/>
  <c r="M820" i="34"/>
  <c r="M821" i="34"/>
  <c r="M822" i="34"/>
  <c r="M823" i="34"/>
  <c r="M824" i="34"/>
  <c r="M825" i="34"/>
  <c r="M826" i="34"/>
  <c r="M827" i="34"/>
  <c r="M828" i="34"/>
  <c r="M829" i="34"/>
  <c r="M830" i="34"/>
  <c r="M831" i="34"/>
  <c r="M832" i="34"/>
  <c r="M833" i="34"/>
  <c r="M834" i="34"/>
  <c r="M835" i="34"/>
  <c r="M836" i="34"/>
  <c r="M837" i="34"/>
  <c r="M838" i="34"/>
  <c r="M839" i="34"/>
  <c r="M840" i="34"/>
  <c r="M841" i="34"/>
  <c r="M842" i="34"/>
  <c r="M843" i="34"/>
  <c r="M844" i="34"/>
  <c r="M845" i="34"/>
  <c r="M846" i="34"/>
  <c r="M847" i="34"/>
  <c r="M848" i="34"/>
  <c r="M849" i="34"/>
  <c r="M850" i="34"/>
  <c r="M851" i="34"/>
  <c r="M852" i="34"/>
  <c r="M853" i="34"/>
  <c r="M854" i="34"/>
  <c r="M855" i="34"/>
  <c r="M856" i="34"/>
  <c r="M857" i="34"/>
  <c r="M858" i="34"/>
  <c r="M859" i="34"/>
  <c r="M860" i="34"/>
  <c r="M861" i="34"/>
  <c r="M862" i="34"/>
  <c r="M863" i="34"/>
  <c r="M864" i="34"/>
  <c r="M865" i="34"/>
  <c r="M866" i="34"/>
  <c r="M867" i="34"/>
  <c r="M868" i="34"/>
  <c r="M869" i="34"/>
  <c r="M870" i="34"/>
  <c r="M871" i="34"/>
  <c r="M872" i="34"/>
  <c r="M873" i="34"/>
  <c r="M874" i="34"/>
  <c r="M875" i="34"/>
  <c r="M876" i="34"/>
  <c r="M877" i="34"/>
  <c r="M878" i="34"/>
  <c r="M879" i="34"/>
  <c r="M880" i="34"/>
  <c r="M881" i="34"/>
  <c r="M882" i="34"/>
  <c r="M883" i="34"/>
  <c r="M884" i="34"/>
  <c r="M885" i="34"/>
  <c r="M886" i="34"/>
  <c r="M887" i="34"/>
  <c r="M888" i="34"/>
  <c r="M889" i="34"/>
  <c r="M890" i="34"/>
  <c r="M891" i="34"/>
  <c r="M892" i="34"/>
  <c r="M893" i="34"/>
  <c r="M894" i="34"/>
  <c r="M895" i="34"/>
  <c r="M896" i="34"/>
  <c r="M897" i="34"/>
  <c r="M898" i="34"/>
  <c r="M899" i="34"/>
  <c r="M900" i="34"/>
  <c r="M901" i="34"/>
  <c r="M902" i="34"/>
  <c r="M903" i="34"/>
  <c r="M904" i="34"/>
  <c r="M905" i="34"/>
  <c r="M906" i="34"/>
  <c r="M907" i="34"/>
  <c r="M908" i="34"/>
  <c r="M909" i="34"/>
  <c r="M910" i="34"/>
  <c r="M911" i="34"/>
  <c r="M912" i="34"/>
  <c r="M913" i="34"/>
  <c r="M914" i="34"/>
  <c r="M915" i="34"/>
  <c r="M916" i="34"/>
  <c r="M917" i="34"/>
  <c r="M918" i="34"/>
  <c r="M919" i="34"/>
  <c r="M920" i="34"/>
  <c r="M921" i="34"/>
  <c r="M922" i="34"/>
  <c r="M923" i="34"/>
  <c r="M924" i="34"/>
  <c r="M925" i="34"/>
  <c r="M926" i="34"/>
  <c r="M927" i="34"/>
  <c r="M928" i="34"/>
  <c r="M929" i="34"/>
  <c r="M930" i="34"/>
  <c r="M931" i="34"/>
  <c r="M932" i="34"/>
  <c r="M933" i="34"/>
  <c r="M934" i="34"/>
  <c r="M935" i="34"/>
  <c r="M936" i="34"/>
  <c r="M937" i="34"/>
  <c r="M938" i="34"/>
  <c r="M939" i="34"/>
  <c r="M940" i="34"/>
  <c r="M941" i="34"/>
  <c r="M942" i="34"/>
  <c r="M943" i="34"/>
  <c r="M944" i="34"/>
  <c r="M945" i="34"/>
  <c r="M946" i="34"/>
  <c r="M947" i="34"/>
  <c r="M948" i="34"/>
  <c r="M949" i="34"/>
  <c r="M950" i="34"/>
  <c r="M951" i="34"/>
  <c r="M952" i="34"/>
  <c r="M953" i="34"/>
  <c r="M954" i="34"/>
  <c r="M955" i="34"/>
  <c r="M956" i="34"/>
  <c r="M957" i="34"/>
  <c r="M958" i="34"/>
  <c r="M959" i="34"/>
  <c r="M960" i="34"/>
  <c r="M961" i="34"/>
  <c r="M962" i="34"/>
  <c r="M963" i="34"/>
  <c r="M964" i="34"/>
  <c r="M965" i="34"/>
  <c r="M966" i="34"/>
  <c r="M967" i="34"/>
  <c r="M968" i="34"/>
  <c r="M969" i="34"/>
  <c r="M970" i="34"/>
  <c r="M971" i="34"/>
  <c r="M972" i="34"/>
  <c r="M973" i="34"/>
  <c r="M974" i="34"/>
  <c r="M975" i="34"/>
  <c r="M976" i="34"/>
  <c r="M977" i="34"/>
  <c r="M978" i="34"/>
  <c r="M979" i="34"/>
  <c r="M980" i="34"/>
  <c r="M981" i="34"/>
  <c r="M982" i="34"/>
  <c r="M983" i="34"/>
  <c r="M984" i="34"/>
  <c r="M985" i="34"/>
  <c r="M986" i="34"/>
  <c r="M987" i="34"/>
  <c r="M988" i="34"/>
  <c r="M989" i="34"/>
  <c r="M990" i="34"/>
  <c r="M991" i="34"/>
  <c r="M992" i="34"/>
  <c r="M993" i="34"/>
  <c r="M994" i="34"/>
  <c r="M995" i="34"/>
  <c r="M996" i="34"/>
  <c r="M997" i="34"/>
  <c r="M998" i="34"/>
  <c r="M999" i="34"/>
  <c r="M1000" i="34"/>
  <c r="M1001" i="34"/>
  <c r="M1002" i="34"/>
  <c r="M1003" i="34"/>
  <c r="M1004" i="34"/>
  <c r="M1005" i="34"/>
  <c r="M1006" i="34"/>
  <c r="M1007" i="34"/>
  <c r="M1008" i="34"/>
  <c r="M1009" i="34"/>
  <c r="M1010" i="34"/>
  <c r="M1011" i="34"/>
  <c r="M1012" i="34"/>
  <c r="M1013" i="34"/>
  <c r="Y187" i="1" l="1"/>
  <c r="W187" i="1"/>
  <c r="U187" i="1"/>
  <c r="R187" i="1"/>
  <c r="P187" i="1"/>
  <c r="N187" i="1"/>
  <c r="L187" i="1"/>
  <c r="J187" i="1"/>
  <c r="H187" i="1"/>
  <c r="F187" i="1"/>
  <c r="E187" i="1"/>
  <c r="D187" i="1"/>
  <c r="Y181" i="1"/>
  <c r="W181" i="1"/>
  <c r="U181" i="1"/>
  <c r="R181" i="1"/>
  <c r="P181" i="1"/>
  <c r="N181" i="1"/>
  <c r="L181" i="1"/>
  <c r="J181" i="1"/>
  <c r="H181" i="1"/>
  <c r="F181" i="1"/>
  <c r="E181" i="1"/>
  <c r="D181" i="1"/>
  <c r="BH80" i="1"/>
  <c r="BG80" i="1"/>
  <c r="J76" i="1" l="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P11" i="1"/>
  <c r="C109" i="1"/>
  <c r="B109" i="1"/>
  <c r="C108" i="1"/>
  <c r="B108" i="1"/>
  <c r="C107" i="1"/>
  <c r="B107" i="1"/>
  <c r="C106" i="1"/>
  <c r="B106" i="1"/>
  <c r="C105" i="1"/>
  <c r="B105" i="1"/>
  <c r="C104" i="1"/>
  <c r="B104" i="1"/>
  <c r="C103" i="1"/>
  <c r="B103" i="1"/>
  <c r="C102" i="1"/>
  <c r="B102" i="1"/>
  <c r="C101" i="1"/>
  <c r="B101" i="1"/>
  <c r="C100" i="1"/>
  <c r="B100" i="1"/>
  <c r="C99" i="1"/>
  <c r="B99" i="1"/>
  <c r="C98" i="1"/>
  <c r="B98" i="1"/>
  <c r="C97" i="1"/>
  <c r="B97" i="1"/>
  <c r="C96" i="1"/>
  <c r="B96" i="1"/>
  <c r="C95" i="1"/>
  <c r="B95" i="1"/>
  <c r="C94" i="1"/>
  <c r="B94" i="1"/>
  <c r="C93" i="1"/>
  <c r="B93" i="1"/>
  <c r="C92" i="1"/>
  <c r="B92" i="1"/>
  <c r="C91" i="1"/>
  <c r="B91" i="1"/>
  <c r="C90" i="1"/>
  <c r="B90" i="1"/>
  <c r="C89" i="1"/>
  <c r="B89" i="1"/>
  <c r="C88" i="1"/>
  <c r="B88" i="1"/>
  <c r="C87" i="1"/>
  <c r="B87" i="1"/>
  <c r="C86" i="1"/>
  <c r="B86" i="1"/>
  <c r="C85" i="1"/>
  <c r="B85" i="1"/>
  <c r="C84" i="1"/>
  <c r="B84" i="1"/>
  <c r="C83" i="1"/>
  <c r="B83" i="1"/>
  <c r="C82" i="1"/>
  <c r="B82" i="1"/>
  <c r="C81" i="1"/>
  <c r="B81" i="1"/>
  <c r="C80" i="1"/>
  <c r="B80" i="1"/>
  <c r="I5" i="36"/>
  <c r="I4" i="36"/>
  <c r="J5" i="35"/>
  <c r="J4" i="35"/>
  <c r="K5" i="34"/>
  <c r="K4" i="34"/>
  <c r="J5" i="33"/>
  <c r="J4" i="33"/>
  <c r="J5" i="2"/>
  <c r="J4" i="2"/>
  <c r="J56" i="1"/>
  <c r="J55" i="1"/>
  <c r="J54" i="1"/>
  <c r="J53" i="1"/>
  <c r="J52" i="1"/>
  <c r="J51" i="1"/>
  <c r="J50" i="1"/>
  <c r="J49" i="1"/>
  <c r="I56" i="1"/>
  <c r="I55" i="1"/>
  <c r="I54" i="1"/>
  <c r="I53" i="1"/>
  <c r="I52" i="1"/>
  <c r="I51" i="1"/>
  <c r="I50" i="1"/>
  <c r="I49" i="1"/>
  <c r="I48" i="1"/>
  <c r="I47" i="1"/>
  <c r="J48" i="1" l="1"/>
  <c r="J47" i="1"/>
  <c r="E5" i="35"/>
  <c r="I109" i="2" l="1"/>
  <c r="AU11" i="1" s="1"/>
  <c r="G109" i="2"/>
  <c r="AT11" i="1" s="1"/>
  <c r="V96" i="3"/>
  <c r="S96" i="3"/>
  <c r="V87" i="3"/>
  <c r="S87" i="3"/>
  <c r="Q95" i="3"/>
  <c r="S187" i="1" s="1"/>
  <c r="O95" i="3"/>
  <c r="Q187" i="1" s="1"/>
  <c r="M95" i="3"/>
  <c r="O187" i="1" s="1"/>
  <c r="K95" i="3"/>
  <c r="M187" i="1" s="1"/>
  <c r="I95" i="3"/>
  <c r="G95" i="3"/>
  <c r="E95" i="3"/>
  <c r="Q86" i="3"/>
  <c r="S181" i="1" s="1"/>
  <c r="O86" i="3"/>
  <c r="Q181" i="1" s="1"/>
  <c r="M86" i="3"/>
  <c r="O181" i="1" s="1"/>
  <c r="K86" i="3"/>
  <c r="M181" i="1" s="1"/>
  <c r="I86" i="3"/>
  <c r="G86" i="3"/>
  <c r="E86" i="3"/>
  <c r="R95" i="3" l="1"/>
  <c r="T187" i="1" s="1"/>
  <c r="R86" i="3"/>
  <c r="T181" i="1" s="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E47" i="1"/>
  <c r="F47" i="1"/>
  <c r="E48" i="1"/>
  <c r="F48" i="1"/>
  <c r="E49" i="1"/>
  <c r="F49" i="1"/>
  <c r="E50" i="1"/>
  <c r="F50" i="1"/>
  <c r="E51" i="1"/>
  <c r="F51" i="1"/>
  <c r="E52" i="1"/>
  <c r="F52" i="1"/>
  <c r="E53" i="1"/>
  <c r="F53" i="1"/>
  <c r="E54" i="1"/>
  <c r="F54" i="1"/>
  <c r="E55" i="1"/>
  <c r="F55" i="1"/>
  <c r="E56" i="1"/>
  <c r="F56" i="1"/>
  <c r="E57" i="1"/>
  <c r="F57" i="1"/>
  <c r="E58" i="1"/>
  <c r="F58" i="1"/>
  <c r="E59" i="1"/>
  <c r="F59" i="1"/>
  <c r="E60" i="1"/>
  <c r="F60" i="1"/>
  <c r="E61" i="1"/>
  <c r="F61" i="1"/>
  <c r="E62" i="1"/>
  <c r="F62" i="1"/>
  <c r="E63" i="1"/>
  <c r="F63" i="1"/>
  <c r="E64" i="1"/>
  <c r="F64" i="1"/>
  <c r="E65" i="1"/>
  <c r="F65" i="1"/>
  <c r="E66" i="1"/>
  <c r="F66" i="1"/>
  <c r="E67" i="1"/>
  <c r="F67" i="1"/>
  <c r="E68" i="1"/>
  <c r="F68" i="1"/>
  <c r="E69" i="1"/>
  <c r="F69" i="1"/>
  <c r="E70" i="1"/>
  <c r="F70" i="1"/>
  <c r="E71" i="1"/>
  <c r="F71" i="1"/>
  <c r="E72" i="1"/>
  <c r="F72" i="1"/>
  <c r="E73" i="1"/>
  <c r="F73" i="1"/>
  <c r="E74" i="1"/>
  <c r="F74" i="1"/>
  <c r="E75" i="1"/>
  <c r="F75" i="1"/>
  <c r="E76" i="1"/>
  <c r="F76"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47" i="1"/>
  <c r="H5" i="34"/>
  <c r="G5" i="33"/>
  <c r="G5" i="35"/>
  <c r="U95" i="3" l="1"/>
  <c r="V187" i="1" s="1"/>
  <c r="U86" i="3"/>
  <c r="V181" i="1" s="1"/>
  <c r="H11" i="1"/>
  <c r="W95" i="3" l="1"/>
  <c r="X187" i="1" s="1"/>
  <c r="W86" i="3"/>
  <c r="X181" i="1" s="1"/>
  <c r="J11" i="1"/>
  <c r="I11" i="1"/>
  <c r="E5" i="33"/>
  <c r="C5" i="33"/>
  <c r="C5" i="35"/>
  <c r="F5" i="36"/>
  <c r="L312" i="34" l="1"/>
  <c r="J312" i="34"/>
  <c r="L311" i="34"/>
  <c r="J311" i="34"/>
  <c r="L310" i="34"/>
  <c r="J310" i="34"/>
  <c r="L309" i="34"/>
  <c r="J309" i="34"/>
  <c r="L308" i="34"/>
  <c r="J308" i="34"/>
  <c r="L307" i="34"/>
  <c r="J307" i="34"/>
  <c r="L306" i="34"/>
  <c r="J306" i="34"/>
  <c r="L305" i="34"/>
  <c r="J305" i="34"/>
  <c r="L304" i="34"/>
  <c r="J304" i="34"/>
  <c r="L303" i="34"/>
  <c r="J303" i="34"/>
  <c r="L302" i="34"/>
  <c r="J302" i="34"/>
  <c r="L301" i="34"/>
  <c r="J301" i="34"/>
  <c r="L300" i="34"/>
  <c r="J300" i="34"/>
  <c r="L299" i="34"/>
  <c r="J299" i="34"/>
  <c r="L298" i="34"/>
  <c r="J298" i="34"/>
  <c r="L297" i="34"/>
  <c r="J297" i="34"/>
  <c r="L296" i="34"/>
  <c r="J296" i="34"/>
  <c r="L295" i="34"/>
  <c r="J295" i="34"/>
  <c r="L294" i="34"/>
  <c r="J294" i="34"/>
  <c r="L293" i="34"/>
  <c r="J293" i="34"/>
  <c r="L292" i="34"/>
  <c r="J292" i="34"/>
  <c r="L291" i="34"/>
  <c r="J291" i="34"/>
  <c r="L290" i="34"/>
  <c r="J290" i="34"/>
  <c r="L289" i="34"/>
  <c r="J289" i="34"/>
  <c r="L288" i="34"/>
  <c r="J288" i="34"/>
  <c r="L287" i="34"/>
  <c r="J287" i="34"/>
  <c r="L286" i="34"/>
  <c r="J286" i="34"/>
  <c r="L285" i="34"/>
  <c r="J285" i="34"/>
  <c r="L284" i="34"/>
  <c r="J284" i="34"/>
  <c r="L283" i="34"/>
  <c r="J283" i="34"/>
  <c r="L282" i="34"/>
  <c r="J282" i="34"/>
  <c r="L281" i="34"/>
  <c r="J281" i="34"/>
  <c r="L280" i="34"/>
  <c r="J280" i="34"/>
  <c r="L279" i="34"/>
  <c r="J279" i="34"/>
  <c r="L278" i="34"/>
  <c r="J278" i="34"/>
  <c r="L277" i="34"/>
  <c r="J277" i="34"/>
  <c r="L276" i="34"/>
  <c r="J276" i="34"/>
  <c r="L275" i="34"/>
  <c r="J275" i="34"/>
  <c r="L274" i="34"/>
  <c r="J274" i="34"/>
  <c r="L273" i="34"/>
  <c r="J273" i="34"/>
  <c r="L272" i="34"/>
  <c r="J272" i="34"/>
  <c r="L271" i="34"/>
  <c r="J271" i="34"/>
  <c r="L270" i="34"/>
  <c r="J270" i="34"/>
  <c r="L269" i="34"/>
  <c r="J269" i="34"/>
  <c r="L268" i="34"/>
  <c r="J268" i="34"/>
  <c r="L267" i="34"/>
  <c r="J267" i="34"/>
  <c r="L266" i="34"/>
  <c r="J266" i="34"/>
  <c r="L265" i="34"/>
  <c r="J265" i="34"/>
  <c r="L264" i="34"/>
  <c r="J264" i="34"/>
  <c r="L263" i="34"/>
  <c r="J263" i="34"/>
  <c r="L262" i="34"/>
  <c r="J262" i="34"/>
  <c r="L261" i="34"/>
  <c r="J261" i="34"/>
  <c r="L260" i="34"/>
  <c r="J260" i="34"/>
  <c r="L259" i="34"/>
  <c r="J259" i="34"/>
  <c r="L258" i="34"/>
  <c r="J258" i="34"/>
  <c r="L257" i="34"/>
  <c r="J257" i="34"/>
  <c r="L256" i="34"/>
  <c r="J256" i="34"/>
  <c r="L255" i="34"/>
  <c r="J255" i="34"/>
  <c r="L254" i="34"/>
  <c r="J254" i="34"/>
  <c r="L253" i="34"/>
  <c r="J253" i="34"/>
  <c r="L252" i="34"/>
  <c r="J252" i="34"/>
  <c r="L251" i="34"/>
  <c r="J251" i="34"/>
  <c r="L250" i="34"/>
  <c r="J250" i="34"/>
  <c r="L249" i="34"/>
  <c r="J249" i="34"/>
  <c r="L248" i="34"/>
  <c r="J248" i="34"/>
  <c r="L247" i="34"/>
  <c r="J247" i="34"/>
  <c r="L246" i="34"/>
  <c r="J246" i="34"/>
  <c r="L245" i="34"/>
  <c r="J245" i="34"/>
  <c r="L244" i="34"/>
  <c r="J244" i="34"/>
  <c r="L243" i="34"/>
  <c r="J243" i="34"/>
  <c r="L242" i="34"/>
  <c r="J242" i="34"/>
  <c r="L241" i="34"/>
  <c r="J241" i="34"/>
  <c r="L240" i="34"/>
  <c r="J240" i="34"/>
  <c r="L239" i="34"/>
  <c r="J239" i="34"/>
  <c r="L238" i="34"/>
  <c r="J238" i="34"/>
  <c r="L237" i="34"/>
  <c r="J237" i="34"/>
  <c r="L236" i="34"/>
  <c r="J236" i="34"/>
  <c r="L235" i="34"/>
  <c r="J235" i="34"/>
  <c r="L234" i="34"/>
  <c r="J234" i="34"/>
  <c r="L233" i="34"/>
  <c r="J233" i="34"/>
  <c r="L232" i="34"/>
  <c r="J232" i="34"/>
  <c r="L231" i="34"/>
  <c r="J231" i="34"/>
  <c r="L230" i="34"/>
  <c r="J230" i="34"/>
  <c r="L229" i="34"/>
  <c r="J229" i="34"/>
  <c r="L228" i="34"/>
  <c r="J228" i="34"/>
  <c r="L227" i="34"/>
  <c r="J227" i="34"/>
  <c r="L226" i="34"/>
  <c r="J226" i="34"/>
  <c r="L225" i="34"/>
  <c r="J225" i="34"/>
  <c r="L224" i="34"/>
  <c r="J224" i="34"/>
  <c r="L223" i="34"/>
  <c r="J223" i="34"/>
  <c r="L222" i="34"/>
  <c r="J222" i="34"/>
  <c r="L221" i="34"/>
  <c r="J221" i="34"/>
  <c r="L220" i="34"/>
  <c r="J220" i="34"/>
  <c r="L219" i="34"/>
  <c r="J219" i="34"/>
  <c r="L218" i="34"/>
  <c r="J218" i="34"/>
  <c r="L217" i="34"/>
  <c r="J217" i="34"/>
  <c r="L216" i="34"/>
  <c r="J216" i="34"/>
  <c r="L215" i="34"/>
  <c r="J215" i="34"/>
  <c r="L214" i="34"/>
  <c r="J214" i="34"/>
  <c r="L213" i="34"/>
  <c r="J213" i="34"/>
  <c r="L212" i="34"/>
  <c r="J212" i="34"/>
  <c r="L211" i="34"/>
  <c r="J211" i="34"/>
  <c r="L210" i="34"/>
  <c r="J210" i="34"/>
  <c r="L209" i="34"/>
  <c r="J209" i="34"/>
  <c r="L208" i="34"/>
  <c r="J208" i="34"/>
  <c r="L207" i="34"/>
  <c r="J207" i="34"/>
  <c r="L206" i="34"/>
  <c r="J206" i="34"/>
  <c r="L205" i="34"/>
  <c r="J205" i="34"/>
  <c r="L204" i="34"/>
  <c r="J204" i="34"/>
  <c r="L203" i="34"/>
  <c r="J203" i="34"/>
  <c r="L202" i="34"/>
  <c r="J202" i="34"/>
  <c r="L201" i="34"/>
  <c r="J201" i="34"/>
  <c r="L200" i="34"/>
  <c r="J200" i="34"/>
  <c r="L199" i="34"/>
  <c r="J199" i="34"/>
  <c r="L198" i="34"/>
  <c r="J198" i="34"/>
  <c r="L197" i="34"/>
  <c r="J197" i="34"/>
  <c r="L196" i="34"/>
  <c r="J196" i="34"/>
  <c r="L195" i="34"/>
  <c r="J195" i="34"/>
  <c r="L194" i="34"/>
  <c r="J194" i="34"/>
  <c r="L193" i="34"/>
  <c r="J193" i="34"/>
  <c r="L192" i="34"/>
  <c r="J192" i="34"/>
  <c r="L191" i="34"/>
  <c r="J191" i="34"/>
  <c r="L190" i="34"/>
  <c r="J190" i="34"/>
  <c r="L189" i="34"/>
  <c r="J189" i="34"/>
  <c r="L188" i="34"/>
  <c r="J188" i="34"/>
  <c r="L187" i="34"/>
  <c r="J187" i="34"/>
  <c r="L186" i="34"/>
  <c r="J186" i="34"/>
  <c r="L185" i="34"/>
  <c r="J185" i="34"/>
  <c r="L184" i="34"/>
  <c r="J184" i="34"/>
  <c r="L183" i="34"/>
  <c r="J183" i="34"/>
  <c r="L182" i="34"/>
  <c r="J182" i="34"/>
  <c r="L181" i="34"/>
  <c r="J181" i="34"/>
  <c r="L180" i="34"/>
  <c r="J180" i="34"/>
  <c r="L179" i="34"/>
  <c r="J179" i="34"/>
  <c r="L178" i="34"/>
  <c r="J178" i="34"/>
  <c r="L177" i="34"/>
  <c r="J177" i="34"/>
  <c r="L176" i="34"/>
  <c r="J176" i="34"/>
  <c r="L175" i="34"/>
  <c r="J175" i="34"/>
  <c r="L174" i="34"/>
  <c r="J174" i="34"/>
  <c r="L173" i="34"/>
  <c r="J173" i="34"/>
  <c r="L172" i="34"/>
  <c r="J172" i="34"/>
  <c r="L171" i="34"/>
  <c r="J171" i="34"/>
  <c r="L170" i="34"/>
  <c r="J170" i="34"/>
  <c r="L169" i="34"/>
  <c r="J169" i="34"/>
  <c r="L168" i="34"/>
  <c r="J168" i="34"/>
  <c r="L167" i="34"/>
  <c r="J167" i="34"/>
  <c r="L166" i="34"/>
  <c r="J166" i="34"/>
  <c r="L165" i="34"/>
  <c r="J165" i="34"/>
  <c r="L164" i="34"/>
  <c r="J164" i="34"/>
  <c r="L163" i="34"/>
  <c r="J163" i="34"/>
  <c r="L162" i="34"/>
  <c r="J162" i="34"/>
  <c r="L161" i="34"/>
  <c r="J161" i="34"/>
  <c r="L160" i="34"/>
  <c r="J160" i="34"/>
  <c r="L159" i="34"/>
  <c r="J159" i="34"/>
  <c r="L158" i="34"/>
  <c r="J158" i="34"/>
  <c r="L157" i="34"/>
  <c r="J157" i="34"/>
  <c r="L156" i="34"/>
  <c r="J156" i="34"/>
  <c r="L155" i="34"/>
  <c r="J155" i="34"/>
  <c r="L154" i="34"/>
  <c r="J154" i="34"/>
  <c r="L153" i="34"/>
  <c r="J153" i="34"/>
  <c r="L152" i="34"/>
  <c r="J152" i="34"/>
  <c r="L151" i="34"/>
  <c r="J151" i="34"/>
  <c r="L150" i="34"/>
  <c r="J150" i="34"/>
  <c r="L149" i="34"/>
  <c r="J149" i="34"/>
  <c r="L148" i="34"/>
  <c r="J148" i="34"/>
  <c r="L147" i="34"/>
  <c r="J147" i="34"/>
  <c r="L146" i="34"/>
  <c r="J146" i="34"/>
  <c r="L145" i="34"/>
  <c r="J145" i="34"/>
  <c r="L144" i="34"/>
  <c r="J144" i="34"/>
  <c r="L143" i="34"/>
  <c r="J143" i="34"/>
  <c r="L142" i="34"/>
  <c r="J142" i="34"/>
  <c r="L141" i="34"/>
  <c r="J141" i="34"/>
  <c r="L140" i="34"/>
  <c r="J140" i="34"/>
  <c r="L139" i="34"/>
  <c r="J139" i="34"/>
  <c r="L138" i="34"/>
  <c r="J138" i="34"/>
  <c r="L137" i="34"/>
  <c r="J137" i="34"/>
  <c r="L136" i="34"/>
  <c r="J136" i="34"/>
  <c r="L135" i="34"/>
  <c r="J135" i="34"/>
  <c r="L134" i="34"/>
  <c r="J134" i="34"/>
  <c r="L133" i="34"/>
  <c r="J133" i="34"/>
  <c r="L132" i="34"/>
  <c r="J132" i="34"/>
  <c r="L131" i="34"/>
  <c r="J131" i="34"/>
  <c r="L130" i="34"/>
  <c r="J130" i="34"/>
  <c r="L129" i="34"/>
  <c r="J129" i="34"/>
  <c r="L128" i="34"/>
  <c r="J128" i="34"/>
  <c r="L127" i="34"/>
  <c r="J127" i="34"/>
  <c r="L126" i="34"/>
  <c r="J126" i="34"/>
  <c r="L125" i="34"/>
  <c r="J125" i="34"/>
  <c r="L124" i="34"/>
  <c r="J124" i="34"/>
  <c r="L123" i="34"/>
  <c r="J123" i="34"/>
  <c r="L122" i="34"/>
  <c r="J122" i="34"/>
  <c r="L121" i="34"/>
  <c r="J121" i="34"/>
  <c r="L120" i="34"/>
  <c r="J120" i="34"/>
  <c r="L119" i="34"/>
  <c r="J119" i="34"/>
  <c r="L118" i="34"/>
  <c r="J118" i="34"/>
  <c r="L117" i="34"/>
  <c r="J117" i="34"/>
  <c r="L116" i="34"/>
  <c r="J116" i="34"/>
  <c r="L115" i="34"/>
  <c r="J115" i="34"/>
  <c r="L114" i="34"/>
  <c r="J114" i="34"/>
  <c r="L113" i="34"/>
  <c r="J113" i="34"/>
  <c r="L112" i="34"/>
  <c r="J112" i="34"/>
  <c r="L111" i="34"/>
  <c r="J111" i="34"/>
  <c r="L110" i="34"/>
  <c r="J110" i="34"/>
  <c r="L109" i="34"/>
  <c r="J109" i="34"/>
  <c r="L108" i="34"/>
  <c r="J108" i="34"/>
  <c r="L107" i="34"/>
  <c r="J107" i="34"/>
  <c r="L106" i="34"/>
  <c r="J106" i="34"/>
  <c r="L105" i="34"/>
  <c r="J105" i="34"/>
  <c r="L104" i="34"/>
  <c r="J104" i="34"/>
  <c r="L103" i="34"/>
  <c r="J103" i="34"/>
  <c r="L102" i="34"/>
  <c r="J102" i="34"/>
  <c r="L101" i="34"/>
  <c r="J101" i="34"/>
  <c r="L100" i="34"/>
  <c r="J100" i="34"/>
  <c r="L99" i="34"/>
  <c r="J99" i="34"/>
  <c r="L98" i="34"/>
  <c r="J98" i="34"/>
  <c r="L97" i="34"/>
  <c r="J97" i="34"/>
  <c r="L96" i="34"/>
  <c r="J96" i="34"/>
  <c r="L95" i="34"/>
  <c r="J95" i="34"/>
  <c r="L94" i="34"/>
  <c r="J94" i="34"/>
  <c r="L93" i="34"/>
  <c r="J93" i="34"/>
  <c r="L92" i="34"/>
  <c r="J92" i="34"/>
  <c r="L91" i="34"/>
  <c r="J91" i="34"/>
  <c r="L90" i="34"/>
  <c r="J90" i="34"/>
  <c r="L89" i="34"/>
  <c r="J89" i="34"/>
  <c r="L88" i="34"/>
  <c r="J88" i="34"/>
  <c r="L87" i="34"/>
  <c r="J87" i="34"/>
  <c r="L86" i="34"/>
  <c r="J86" i="34"/>
  <c r="L85" i="34"/>
  <c r="J85" i="34"/>
  <c r="L84" i="34"/>
  <c r="J84" i="34"/>
  <c r="L83" i="34"/>
  <c r="J83" i="34"/>
  <c r="L82" i="34"/>
  <c r="J82" i="34"/>
  <c r="L81" i="34"/>
  <c r="J81" i="34"/>
  <c r="L80" i="34"/>
  <c r="J80" i="34"/>
  <c r="L79" i="34"/>
  <c r="J79" i="34"/>
  <c r="L78" i="34"/>
  <c r="J78" i="34"/>
  <c r="L77" i="34"/>
  <c r="J77" i="34"/>
  <c r="L76" i="34"/>
  <c r="J76" i="34"/>
  <c r="L75" i="34"/>
  <c r="J75" i="34"/>
  <c r="L74" i="34"/>
  <c r="J74" i="34"/>
  <c r="L73" i="34"/>
  <c r="J73" i="34"/>
  <c r="L72" i="34"/>
  <c r="J72" i="34"/>
  <c r="L71" i="34"/>
  <c r="J71" i="34"/>
  <c r="L70" i="34"/>
  <c r="J70" i="34"/>
  <c r="L69" i="34"/>
  <c r="J69" i="34"/>
  <c r="L68" i="34"/>
  <c r="J68" i="34"/>
  <c r="L67" i="34"/>
  <c r="J67" i="34"/>
  <c r="L66" i="34"/>
  <c r="J66" i="34"/>
  <c r="L65" i="34"/>
  <c r="J65" i="34"/>
  <c r="L64" i="34"/>
  <c r="J64" i="34"/>
  <c r="L63" i="34"/>
  <c r="J63" i="34"/>
  <c r="L62" i="34"/>
  <c r="J62" i="34"/>
  <c r="L61" i="34"/>
  <c r="J61" i="34"/>
  <c r="L60" i="34"/>
  <c r="J60" i="34"/>
  <c r="L59" i="34"/>
  <c r="J59" i="34"/>
  <c r="L58" i="34"/>
  <c r="J58" i="34"/>
  <c r="L57" i="34"/>
  <c r="J57" i="34"/>
  <c r="L56" i="34"/>
  <c r="J56" i="34"/>
  <c r="L55" i="34"/>
  <c r="J55" i="34"/>
  <c r="L54" i="34"/>
  <c r="J54" i="34"/>
  <c r="L53" i="34"/>
  <c r="J53" i="34"/>
  <c r="L52" i="34"/>
  <c r="J52" i="34"/>
  <c r="L51" i="34"/>
  <c r="J51" i="34"/>
  <c r="L50" i="34"/>
  <c r="J50" i="34"/>
  <c r="L49" i="34"/>
  <c r="J49" i="34"/>
  <c r="L48" i="34"/>
  <c r="J48" i="34"/>
  <c r="L47" i="34"/>
  <c r="J47" i="34"/>
  <c r="L46" i="34"/>
  <c r="J46" i="34"/>
  <c r="L45" i="34"/>
  <c r="J45" i="34"/>
  <c r="L44" i="34"/>
  <c r="J44" i="34"/>
  <c r="L43" i="34"/>
  <c r="J43" i="34"/>
  <c r="L42" i="34"/>
  <c r="J42" i="34"/>
  <c r="L41" i="34"/>
  <c r="J41" i="34"/>
  <c r="L40" i="34"/>
  <c r="J40" i="34"/>
  <c r="L39" i="34"/>
  <c r="J39" i="34"/>
  <c r="L38" i="34"/>
  <c r="J38" i="34"/>
  <c r="L37" i="34"/>
  <c r="J37" i="34"/>
  <c r="L36" i="34"/>
  <c r="J36" i="34"/>
  <c r="L35" i="34"/>
  <c r="J35" i="34"/>
  <c r="L34" i="34"/>
  <c r="J34" i="34"/>
  <c r="L33" i="34"/>
  <c r="J33" i="34"/>
  <c r="L32" i="34"/>
  <c r="J32" i="34"/>
  <c r="L31" i="34"/>
  <c r="J31" i="34"/>
  <c r="L30" i="34"/>
  <c r="J30" i="34"/>
  <c r="L29" i="34"/>
  <c r="J29" i="34"/>
  <c r="L28" i="34"/>
  <c r="J28" i="34"/>
  <c r="L27" i="34"/>
  <c r="J27" i="34"/>
  <c r="L26" i="34"/>
  <c r="J26" i="34"/>
  <c r="L25" i="34"/>
  <c r="J25" i="34"/>
  <c r="L24" i="34"/>
  <c r="J24" i="34"/>
  <c r="L23" i="34"/>
  <c r="J23" i="34"/>
  <c r="L22" i="34"/>
  <c r="J22" i="34"/>
  <c r="L21" i="34"/>
  <c r="J21" i="34"/>
  <c r="L20" i="34"/>
  <c r="J20" i="34"/>
  <c r="L19" i="34"/>
  <c r="J19" i="34"/>
  <c r="L18" i="34"/>
  <c r="J18" i="34"/>
  <c r="L17" i="34"/>
  <c r="J17" i="34"/>
  <c r="L16" i="34"/>
  <c r="J16" i="34"/>
  <c r="L15" i="34"/>
  <c r="J15" i="34"/>
  <c r="L14" i="34"/>
  <c r="J14" i="34"/>
  <c r="M15" i="34" l="1"/>
  <c r="M16" i="34"/>
  <c r="M17" i="34"/>
  <c r="M18" i="34"/>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44" i="34"/>
  <c r="M45" i="34"/>
  <c r="M46" i="34"/>
  <c r="M47" i="34"/>
  <c r="M48" i="34"/>
  <c r="M49" i="34"/>
  <c r="M50" i="34"/>
  <c r="M51" i="34"/>
  <c r="M52" i="34"/>
  <c r="M53" i="34"/>
  <c r="M54" i="34"/>
  <c r="M55" i="34"/>
  <c r="M56" i="34"/>
  <c r="M57" i="34"/>
  <c r="M58" i="34"/>
  <c r="M59" i="34"/>
  <c r="M60" i="34"/>
  <c r="M61" i="34"/>
  <c r="M62" i="34"/>
  <c r="M63" i="34"/>
  <c r="M64" i="34"/>
  <c r="M65" i="34"/>
  <c r="M66" i="34"/>
  <c r="M67" i="34"/>
  <c r="M68" i="34"/>
  <c r="M69" i="34"/>
  <c r="M70" i="34"/>
  <c r="M71" i="34"/>
  <c r="M72" i="34"/>
  <c r="M73" i="34"/>
  <c r="M74" i="34"/>
  <c r="M75" i="34"/>
  <c r="M76" i="34"/>
  <c r="M77" i="34"/>
  <c r="M78" i="34"/>
  <c r="M79" i="34"/>
  <c r="M80" i="34"/>
  <c r="M81" i="34"/>
  <c r="M82" i="34"/>
  <c r="M83" i="34"/>
  <c r="M84" i="34"/>
  <c r="M85" i="34"/>
  <c r="M86" i="34"/>
  <c r="M87" i="34"/>
  <c r="M88" i="34"/>
  <c r="M89" i="34"/>
  <c r="M90" i="34"/>
  <c r="M91" i="34"/>
  <c r="M92" i="34"/>
  <c r="M93" i="34"/>
  <c r="M94" i="34"/>
  <c r="M95" i="34"/>
  <c r="M96" i="34"/>
  <c r="M97" i="34"/>
  <c r="M98" i="34"/>
  <c r="M99" i="34"/>
  <c r="M100" i="34"/>
  <c r="M101" i="34"/>
  <c r="M102" i="34"/>
  <c r="M103" i="34"/>
  <c r="M104" i="34"/>
  <c r="M105" i="34"/>
  <c r="M106" i="34"/>
  <c r="M107" i="34"/>
  <c r="M108" i="34"/>
  <c r="M109" i="34"/>
  <c r="M110" i="34"/>
  <c r="M111" i="34"/>
  <c r="M112" i="34"/>
  <c r="M113" i="34"/>
  <c r="M114" i="34"/>
  <c r="M115" i="34"/>
  <c r="M116" i="34"/>
  <c r="M117" i="34"/>
  <c r="M118" i="34"/>
  <c r="M119" i="34"/>
  <c r="M120" i="34"/>
  <c r="M121" i="34"/>
  <c r="M122" i="34"/>
  <c r="M123" i="34"/>
  <c r="M124" i="34"/>
  <c r="M125" i="34"/>
  <c r="M126" i="34"/>
  <c r="M127" i="34"/>
  <c r="M128" i="34"/>
  <c r="M129" i="34"/>
  <c r="M130" i="34"/>
  <c r="M131" i="34"/>
  <c r="M132" i="34"/>
  <c r="M133" i="34"/>
  <c r="M134" i="34"/>
  <c r="M135" i="34"/>
  <c r="M136" i="34"/>
  <c r="M137" i="34"/>
  <c r="M138" i="34"/>
  <c r="M139" i="34"/>
  <c r="M140" i="34"/>
  <c r="M141" i="34"/>
  <c r="M142" i="34"/>
  <c r="M143" i="34"/>
  <c r="M144" i="34"/>
  <c r="M145" i="34"/>
  <c r="M146" i="34"/>
  <c r="M147" i="34"/>
  <c r="M148" i="34"/>
  <c r="M149" i="34"/>
  <c r="M150" i="34"/>
  <c r="M151" i="34"/>
  <c r="M152" i="34"/>
  <c r="M153" i="34"/>
  <c r="M154" i="34"/>
  <c r="M155" i="34"/>
  <c r="M156" i="34"/>
  <c r="M157" i="34"/>
  <c r="M158" i="34"/>
  <c r="M159" i="34"/>
  <c r="M160" i="34"/>
  <c r="M161" i="34"/>
  <c r="M162" i="34"/>
  <c r="M163" i="34"/>
  <c r="M164" i="34"/>
  <c r="M165" i="34"/>
  <c r="M166" i="34"/>
  <c r="M167" i="34"/>
  <c r="M168" i="34"/>
  <c r="M169" i="34"/>
  <c r="M170" i="34"/>
  <c r="M171" i="34"/>
  <c r="M172" i="34"/>
  <c r="M173" i="34"/>
  <c r="M174" i="34"/>
  <c r="M175" i="34"/>
  <c r="M176" i="34"/>
  <c r="M177" i="34"/>
  <c r="M178" i="34"/>
  <c r="M179" i="34"/>
  <c r="M180" i="34"/>
  <c r="M181" i="34"/>
  <c r="M182" i="34"/>
  <c r="M183" i="34"/>
  <c r="M184" i="34"/>
  <c r="M185" i="34"/>
  <c r="M186" i="34"/>
  <c r="M187" i="34"/>
  <c r="M188" i="34"/>
  <c r="M189" i="34"/>
  <c r="M190" i="34"/>
  <c r="M191" i="34"/>
  <c r="M192" i="34"/>
  <c r="M193" i="34"/>
  <c r="M194" i="34"/>
  <c r="M195" i="34"/>
  <c r="M196" i="34"/>
  <c r="M197" i="34"/>
  <c r="M198" i="34"/>
  <c r="M199" i="34"/>
  <c r="M200" i="34"/>
  <c r="M201" i="34"/>
  <c r="M202" i="34"/>
  <c r="M203" i="34"/>
  <c r="M204" i="34"/>
  <c r="M205" i="34"/>
  <c r="M206" i="34"/>
  <c r="M207" i="34"/>
  <c r="M208" i="34"/>
  <c r="M209" i="34"/>
  <c r="M210" i="34"/>
  <c r="M211" i="34"/>
  <c r="M212" i="34"/>
  <c r="M213" i="34"/>
  <c r="M214" i="34"/>
  <c r="M215" i="34"/>
  <c r="M216" i="34"/>
  <c r="M217" i="34"/>
  <c r="M218" i="34"/>
  <c r="M219" i="34"/>
  <c r="M220" i="34"/>
  <c r="M221" i="34"/>
  <c r="M222" i="34"/>
  <c r="M223" i="34"/>
  <c r="M224" i="34"/>
  <c r="M225" i="34"/>
  <c r="M226" i="34"/>
  <c r="M227" i="34"/>
  <c r="M228" i="34"/>
  <c r="M229" i="34"/>
  <c r="M230" i="34"/>
  <c r="M231" i="34"/>
  <c r="M232" i="34"/>
  <c r="M233" i="34"/>
  <c r="M234" i="34"/>
  <c r="M235" i="34"/>
  <c r="M236" i="34"/>
  <c r="M237" i="34"/>
  <c r="M238" i="34"/>
  <c r="M239" i="34"/>
  <c r="M240" i="34"/>
  <c r="M241" i="34"/>
  <c r="M242" i="34"/>
  <c r="M243" i="34"/>
  <c r="M244" i="34"/>
  <c r="M245" i="34"/>
  <c r="M246" i="34"/>
  <c r="M247" i="34"/>
  <c r="M248" i="34"/>
  <c r="M249" i="34"/>
  <c r="M250" i="34"/>
  <c r="M251" i="34"/>
  <c r="M252" i="34"/>
  <c r="M253" i="34"/>
  <c r="M254" i="34"/>
  <c r="M255" i="34"/>
  <c r="M256" i="34"/>
  <c r="M257" i="34"/>
  <c r="M258" i="34"/>
  <c r="M259" i="34"/>
  <c r="M260" i="34"/>
  <c r="M261" i="34"/>
  <c r="M262" i="34"/>
  <c r="M263" i="34"/>
  <c r="M264" i="34"/>
  <c r="M265" i="34"/>
  <c r="M266" i="34"/>
  <c r="M267" i="34"/>
  <c r="M268" i="34"/>
  <c r="M269" i="34"/>
  <c r="M270" i="34"/>
  <c r="M271" i="34"/>
  <c r="M272" i="34"/>
  <c r="M273" i="34"/>
  <c r="M274" i="34"/>
  <c r="M275" i="34"/>
  <c r="M276" i="34"/>
  <c r="M277" i="34"/>
  <c r="M278" i="34"/>
  <c r="M279" i="34"/>
  <c r="M280" i="34"/>
  <c r="M281" i="34"/>
  <c r="M282" i="34"/>
  <c r="M283" i="34"/>
  <c r="M284" i="34"/>
  <c r="M285" i="34"/>
  <c r="M286" i="34"/>
  <c r="M287" i="34"/>
  <c r="M288" i="34"/>
  <c r="M289" i="34"/>
  <c r="M290" i="34"/>
  <c r="M291" i="34"/>
  <c r="M292" i="34"/>
  <c r="M293" i="34"/>
  <c r="M294" i="34"/>
  <c r="M295" i="34"/>
  <c r="M296" i="34"/>
  <c r="M297" i="34"/>
  <c r="M298" i="34"/>
  <c r="M299" i="34"/>
  <c r="M300" i="34"/>
  <c r="M301" i="34"/>
  <c r="M302" i="34"/>
  <c r="M303" i="34"/>
  <c r="M304" i="34"/>
  <c r="M305" i="34"/>
  <c r="M306" i="34"/>
  <c r="M307" i="34"/>
  <c r="M308" i="34"/>
  <c r="M309" i="34"/>
  <c r="M310" i="34"/>
  <c r="M311" i="34"/>
  <c r="M312" i="34"/>
  <c r="M14" i="34"/>
  <c r="BF80" i="1"/>
  <c r="BC80" i="1"/>
  <c r="BA80" i="1"/>
  <c r="AY80" i="1"/>
  <c r="AX80" i="1"/>
  <c r="AV80" i="1"/>
  <c r="AT80" i="1"/>
  <c r="AS80" i="1"/>
  <c r="AQ80" i="1"/>
  <c r="AO80" i="1"/>
  <c r="AN80" i="1"/>
  <c r="AK80" i="1"/>
  <c r="AH80" i="1"/>
  <c r="AG80" i="1"/>
  <c r="AF80" i="1"/>
  <c r="AE80" i="1"/>
  <c r="AB80" i="1"/>
  <c r="X80" i="1"/>
  <c r="W80" i="1"/>
  <c r="K80" i="1"/>
  <c r="J80" i="1"/>
  <c r="I80" i="1"/>
  <c r="B76" i="1"/>
  <c r="A76" i="1"/>
  <c r="B75" i="1"/>
  <c r="A75" i="1"/>
  <c r="B74" i="1"/>
  <c r="A74" i="1"/>
  <c r="B73" i="1"/>
  <c r="A73" i="1"/>
  <c r="B72" i="1"/>
  <c r="A72" i="1"/>
  <c r="B71" i="1"/>
  <c r="A71" i="1"/>
  <c r="B70" i="1"/>
  <c r="A70" i="1"/>
  <c r="B69" i="1"/>
  <c r="A69" i="1"/>
  <c r="B68" i="1"/>
  <c r="A68" i="1"/>
  <c r="B67" i="1"/>
  <c r="A67" i="1"/>
  <c r="B66" i="1"/>
  <c r="A66" i="1"/>
  <c r="B65" i="1"/>
  <c r="A65" i="1"/>
  <c r="B64" i="1"/>
  <c r="A64" i="1"/>
  <c r="B63" i="1"/>
  <c r="A63" i="1"/>
  <c r="B62" i="1"/>
  <c r="A62" i="1"/>
  <c r="B61" i="1"/>
  <c r="A61" i="1"/>
  <c r="B60" i="1"/>
  <c r="A60" i="1"/>
  <c r="B59" i="1"/>
  <c r="A59" i="1"/>
  <c r="B58" i="1"/>
  <c r="A58" i="1"/>
  <c r="B57" i="1"/>
  <c r="A57" i="1"/>
  <c r="B56" i="1"/>
  <c r="A56" i="1"/>
  <c r="B55" i="1"/>
  <c r="A55" i="1"/>
  <c r="B54" i="1"/>
  <c r="A54" i="1"/>
  <c r="B53" i="1"/>
  <c r="A53" i="1"/>
  <c r="B52" i="1"/>
  <c r="A52" i="1"/>
  <c r="B51" i="1"/>
  <c r="A51" i="1"/>
  <c r="B50" i="1"/>
  <c r="A50" i="1"/>
  <c r="B49" i="1"/>
  <c r="A49" i="1"/>
  <c r="B48" i="1"/>
  <c r="A48" i="1"/>
  <c r="B47" i="1"/>
  <c r="A47" i="1"/>
  <c r="X43" i="1"/>
  <c r="W43" i="1"/>
  <c r="V43" i="1"/>
  <c r="U43" i="1"/>
  <c r="T43" i="1"/>
  <c r="S43" i="1"/>
  <c r="R43" i="1"/>
  <c r="Q43" i="1"/>
  <c r="P43" i="1"/>
  <c r="O43" i="1"/>
  <c r="N43" i="1"/>
  <c r="M43" i="1"/>
  <c r="L43" i="1"/>
  <c r="K43" i="1"/>
  <c r="J43" i="1"/>
  <c r="I43" i="1"/>
  <c r="H43" i="1"/>
  <c r="G43" i="1"/>
  <c r="F43" i="1"/>
  <c r="E43" i="1"/>
  <c r="D43" i="1"/>
  <c r="C43" i="1"/>
  <c r="B43" i="1"/>
  <c r="X42" i="1"/>
  <c r="W42" i="1"/>
  <c r="V42" i="1"/>
  <c r="U42" i="1"/>
  <c r="T42" i="1"/>
  <c r="S42" i="1"/>
  <c r="R42" i="1"/>
  <c r="Q42" i="1"/>
  <c r="P42" i="1"/>
  <c r="O42" i="1"/>
  <c r="N42" i="1"/>
  <c r="M42" i="1"/>
  <c r="L42" i="1"/>
  <c r="K42" i="1"/>
  <c r="J42" i="1"/>
  <c r="I42" i="1"/>
  <c r="H42" i="1"/>
  <c r="G42" i="1"/>
  <c r="F42" i="1"/>
  <c r="E42" i="1"/>
  <c r="D42" i="1"/>
  <c r="C42" i="1"/>
  <c r="B42" i="1"/>
  <c r="X41" i="1"/>
  <c r="W41" i="1"/>
  <c r="V41" i="1"/>
  <c r="U41" i="1"/>
  <c r="T41" i="1"/>
  <c r="S41" i="1"/>
  <c r="R41" i="1"/>
  <c r="Q41" i="1"/>
  <c r="P41" i="1"/>
  <c r="O41" i="1"/>
  <c r="N41" i="1"/>
  <c r="M41" i="1"/>
  <c r="L41" i="1"/>
  <c r="K41" i="1"/>
  <c r="J41" i="1"/>
  <c r="I41" i="1"/>
  <c r="H41" i="1"/>
  <c r="G41" i="1"/>
  <c r="F41" i="1"/>
  <c r="E41" i="1"/>
  <c r="D41" i="1"/>
  <c r="C41" i="1"/>
  <c r="B41" i="1"/>
  <c r="X40" i="1"/>
  <c r="W40" i="1"/>
  <c r="V40" i="1"/>
  <c r="U40" i="1"/>
  <c r="T40" i="1"/>
  <c r="S40" i="1"/>
  <c r="R40" i="1"/>
  <c r="Q40" i="1"/>
  <c r="P40" i="1"/>
  <c r="O40" i="1"/>
  <c r="N40" i="1"/>
  <c r="M40" i="1"/>
  <c r="L40" i="1"/>
  <c r="K40" i="1"/>
  <c r="J40" i="1"/>
  <c r="I40" i="1"/>
  <c r="H40" i="1"/>
  <c r="G40" i="1"/>
  <c r="F40" i="1"/>
  <c r="E40" i="1"/>
  <c r="D40" i="1"/>
  <c r="C40" i="1"/>
  <c r="B40" i="1"/>
  <c r="X39" i="1"/>
  <c r="W39" i="1"/>
  <c r="V39" i="1"/>
  <c r="U39" i="1"/>
  <c r="T39" i="1"/>
  <c r="S39" i="1"/>
  <c r="R39" i="1"/>
  <c r="Q39" i="1"/>
  <c r="P39" i="1"/>
  <c r="O39" i="1"/>
  <c r="N39" i="1"/>
  <c r="M39" i="1"/>
  <c r="L39" i="1"/>
  <c r="K39" i="1"/>
  <c r="J39" i="1"/>
  <c r="I39" i="1"/>
  <c r="H39" i="1"/>
  <c r="G39" i="1"/>
  <c r="F39" i="1"/>
  <c r="E39" i="1"/>
  <c r="D39" i="1"/>
  <c r="C39" i="1"/>
  <c r="B39" i="1"/>
  <c r="X38" i="1"/>
  <c r="W38" i="1"/>
  <c r="V38" i="1"/>
  <c r="U38" i="1"/>
  <c r="T38" i="1"/>
  <c r="S38" i="1"/>
  <c r="R38" i="1"/>
  <c r="Q38" i="1"/>
  <c r="P38" i="1"/>
  <c r="O38" i="1"/>
  <c r="N38" i="1"/>
  <c r="M38" i="1"/>
  <c r="L38" i="1"/>
  <c r="K38" i="1"/>
  <c r="J38" i="1"/>
  <c r="I38" i="1"/>
  <c r="H38" i="1"/>
  <c r="G38" i="1"/>
  <c r="F38" i="1"/>
  <c r="E38" i="1"/>
  <c r="D38" i="1"/>
  <c r="C38" i="1"/>
  <c r="B38" i="1"/>
  <c r="X37" i="1"/>
  <c r="W37" i="1"/>
  <c r="V37" i="1"/>
  <c r="U37" i="1"/>
  <c r="T37" i="1"/>
  <c r="S37" i="1"/>
  <c r="R37" i="1"/>
  <c r="Q37" i="1"/>
  <c r="P37" i="1"/>
  <c r="O37" i="1"/>
  <c r="N37" i="1"/>
  <c r="M37" i="1"/>
  <c r="L37" i="1"/>
  <c r="K37" i="1"/>
  <c r="J37" i="1"/>
  <c r="I37" i="1"/>
  <c r="H37" i="1"/>
  <c r="G37" i="1"/>
  <c r="F37" i="1"/>
  <c r="E37" i="1"/>
  <c r="D37" i="1"/>
  <c r="C37" i="1"/>
  <c r="B37" i="1"/>
  <c r="X36" i="1"/>
  <c r="W36" i="1"/>
  <c r="V36" i="1"/>
  <c r="U36" i="1"/>
  <c r="T36" i="1"/>
  <c r="S36" i="1"/>
  <c r="R36" i="1"/>
  <c r="Q36" i="1"/>
  <c r="P36" i="1"/>
  <c r="O36" i="1"/>
  <c r="N36" i="1"/>
  <c r="M36" i="1"/>
  <c r="L36" i="1"/>
  <c r="K36" i="1"/>
  <c r="J36" i="1"/>
  <c r="I36" i="1"/>
  <c r="H36" i="1"/>
  <c r="G36" i="1"/>
  <c r="F36" i="1"/>
  <c r="E36" i="1"/>
  <c r="D36" i="1"/>
  <c r="C36" i="1"/>
  <c r="B36" i="1"/>
  <c r="X35" i="1"/>
  <c r="W35" i="1"/>
  <c r="V35" i="1"/>
  <c r="U35" i="1"/>
  <c r="T35" i="1"/>
  <c r="S35" i="1"/>
  <c r="R35" i="1"/>
  <c r="Q35" i="1"/>
  <c r="P35" i="1"/>
  <c r="O35" i="1"/>
  <c r="N35" i="1"/>
  <c r="M35" i="1"/>
  <c r="L35" i="1"/>
  <c r="K35" i="1"/>
  <c r="J35" i="1"/>
  <c r="I35" i="1"/>
  <c r="H35" i="1"/>
  <c r="G35" i="1"/>
  <c r="F35" i="1"/>
  <c r="E35" i="1"/>
  <c r="D35" i="1"/>
  <c r="C35" i="1"/>
  <c r="B35" i="1"/>
  <c r="X34" i="1"/>
  <c r="W34" i="1"/>
  <c r="V34" i="1"/>
  <c r="U34" i="1"/>
  <c r="T34" i="1"/>
  <c r="S34" i="1"/>
  <c r="R34" i="1"/>
  <c r="Q34" i="1"/>
  <c r="P34" i="1"/>
  <c r="O34" i="1"/>
  <c r="N34" i="1"/>
  <c r="M34" i="1"/>
  <c r="L34" i="1"/>
  <c r="K34" i="1"/>
  <c r="J34" i="1"/>
  <c r="I34" i="1"/>
  <c r="H34" i="1"/>
  <c r="G34" i="1"/>
  <c r="F34" i="1"/>
  <c r="E34" i="1"/>
  <c r="D34" i="1"/>
  <c r="C34" i="1"/>
  <c r="B34" i="1"/>
  <c r="X33" i="1"/>
  <c r="W33" i="1"/>
  <c r="V33" i="1"/>
  <c r="U33" i="1"/>
  <c r="T33" i="1"/>
  <c r="S33" i="1"/>
  <c r="R33" i="1"/>
  <c r="Q33" i="1"/>
  <c r="P33" i="1"/>
  <c r="O33" i="1"/>
  <c r="N33" i="1"/>
  <c r="M33" i="1"/>
  <c r="L33" i="1"/>
  <c r="K33" i="1"/>
  <c r="J33" i="1"/>
  <c r="I33" i="1"/>
  <c r="H33" i="1"/>
  <c r="G33" i="1"/>
  <c r="F33" i="1"/>
  <c r="E33" i="1"/>
  <c r="D33" i="1"/>
  <c r="C33" i="1"/>
  <c r="B33" i="1"/>
  <c r="X32" i="1"/>
  <c r="W32" i="1"/>
  <c r="V32" i="1"/>
  <c r="U32" i="1"/>
  <c r="T32" i="1"/>
  <c r="S32" i="1"/>
  <c r="R32" i="1"/>
  <c r="Q32" i="1"/>
  <c r="P32" i="1"/>
  <c r="O32" i="1"/>
  <c r="N32" i="1"/>
  <c r="M32" i="1"/>
  <c r="L32" i="1"/>
  <c r="K32" i="1"/>
  <c r="J32" i="1"/>
  <c r="I32" i="1"/>
  <c r="H32" i="1"/>
  <c r="G32" i="1"/>
  <c r="F32" i="1"/>
  <c r="E32" i="1"/>
  <c r="D32" i="1"/>
  <c r="C32" i="1"/>
  <c r="B32" i="1"/>
  <c r="D24" i="1"/>
  <c r="C24" i="1"/>
  <c r="B24" i="1"/>
  <c r="A24" i="1"/>
  <c r="D23" i="1"/>
  <c r="C23" i="1"/>
  <c r="B23" i="1"/>
  <c r="A23" i="1"/>
  <c r="D22" i="1"/>
  <c r="C22" i="1"/>
  <c r="B22" i="1"/>
  <c r="A22" i="1"/>
  <c r="D21" i="1"/>
  <c r="C21" i="1"/>
  <c r="B21" i="1"/>
  <c r="A21" i="1"/>
  <c r="D20" i="1"/>
  <c r="C20" i="1"/>
  <c r="B20" i="1"/>
  <c r="A20" i="1"/>
  <c r="D19" i="1"/>
  <c r="C19" i="1"/>
  <c r="B19" i="1"/>
  <c r="A19" i="1"/>
  <c r="D18" i="1"/>
  <c r="C18" i="1"/>
  <c r="B18" i="1"/>
  <c r="A18" i="1"/>
  <c r="D17" i="1"/>
  <c r="C17" i="1"/>
  <c r="B17" i="1"/>
  <c r="A17" i="1"/>
  <c r="D16" i="1"/>
  <c r="C16" i="1"/>
  <c r="B16" i="1"/>
  <c r="A16" i="1"/>
  <c r="D15" i="1"/>
  <c r="C15" i="1"/>
  <c r="B15" i="1"/>
  <c r="A15" i="1"/>
  <c r="CQ11" i="1"/>
  <c r="CF11" i="1"/>
  <c r="CC11" i="1"/>
  <c r="BZ11" i="1"/>
  <c r="BW11" i="1"/>
  <c r="BR11" i="1"/>
  <c r="BO11" i="1"/>
  <c r="BL11" i="1"/>
  <c r="BI11" i="1"/>
  <c r="BF11" i="1"/>
  <c r="BE11" i="1"/>
  <c r="BC11" i="1"/>
  <c r="BB11" i="1"/>
  <c r="AZ11" i="1"/>
  <c r="AY11" i="1"/>
  <c r="AP11" i="1"/>
  <c r="AM11" i="1"/>
  <c r="AJ11" i="1"/>
  <c r="R11" i="1"/>
  <c r="Q11" i="1"/>
  <c r="L11" i="1"/>
  <c r="K11" i="1"/>
  <c r="E11" i="1"/>
  <c r="D11" i="1"/>
  <c r="C11" i="1"/>
  <c r="B11" i="1"/>
  <c r="A11" i="1"/>
  <c r="B7" i="1"/>
  <c r="J6" i="34" l="1"/>
  <c r="G11" i="1"/>
  <c r="BD11" i="1" l="1"/>
  <c r="I2" i="36" l="1"/>
  <c r="I2" i="35"/>
  <c r="J2" i="34"/>
  <c r="Y180" i="1"/>
  <c r="W180" i="1"/>
  <c r="U180" i="1"/>
  <c r="R180" i="1"/>
  <c r="P180" i="1"/>
  <c r="N180" i="1"/>
  <c r="L180" i="1"/>
  <c r="J180" i="1"/>
  <c r="H180" i="1"/>
  <c r="F180" i="1"/>
  <c r="E180" i="1"/>
  <c r="D180" i="1"/>
  <c r="Y179" i="1"/>
  <c r="W179" i="1"/>
  <c r="U179" i="1"/>
  <c r="R179" i="1"/>
  <c r="P179" i="1"/>
  <c r="N179" i="1"/>
  <c r="L179" i="1"/>
  <c r="J179" i="1"/>
  <c r="H179" i="1"/>
  <c r="F179" i="1"/>
  <c r="E179" i="1"/>
  <c r="D179" i="1"/>
  <c r="Y178" i="1"/>
  <c r="W178" i="1"/>
  <c r="U178" i="1"/>
  <c r="R178" i="1"/>
  <c r="P178" i="1"/>
  <c r="N178" i="1"/>
  <c r="L178" i="1"/>
  <c r="J178" i="1"/>
  <c r="H178" i="1"/>
  <c r="F178" i="1"/>
  <c r="E178" i="1"/>
  <c r="D178" i="1"/>
  <c r="Y177" i="1"/>
  <c r="W177" i="1"/>
  <c r="U177" i="1"/>
  <c r="R177" i="1"/>
  <c r="P177" i="1"/>
  <c r="N177" i="1"/>
  <c r="L177" i="1"/>
  <c r="J177" i="1"/>
  <c r="H177" i="1"/>
  <c r="F177" i="1"/>
  <c r="E177" i="1"/>
  <c r="D177" i="1"/>
  <c r="Y176" i="1"/>
  <c r="W176" i="1"/>
  <c r="U176" i="1"/>
  <c r="R176" i="1"/>
  <c r="P176" i="1"/>
  <c r="N176" i="1"/>
  <c r="L176" i="1"/>
  <c r="J176" i="1"/>
  <c r="H176" i="1"/>
  <c r="F176" i="1"/>
  <c r="E176" i="1"/>
  <c r="D176" i="1"/>
  <c r="F5" i="34" l="1"/>
  <c r="D5" i="34"/>
  <c r="B5" i="34"/>
  <c r="B4" i="34"/>
  <c r="K8" i="3" l="1"/>
  <c r="I16" i="3" s="1"/>
  <c r="Y80" i="1" s="1"/>
  <c r="AJ80" i="1" l="1"/>
  <c r="K125" i="2"/>
  <c r="I2" i="33"/>
  <c r="B5" i="33"/>
  <c r="B4" i="33"/>
  <c r="AL80" i="1"/>
  <c r="AA30" i="3"/>
  <c r="AA29" i="3"/>
  <c r="Z80" i="1" l="1"/>
  <c r="I29" i="3"/>
  <c r="AI80" i="1" s="1"/>
  <c r="AX11" i="1"/>
  <c r="Y186" i="1"/>
  <c r="W186" i="1"/>
  <c r="U186" i="1"/>
  <c r="R186" i="1"/>
  <c r="P186" i="1"/>
  <c r="N186" i="1"/>
  <c r="L186" i="1"/>
  <c r="J186" i="1"/>
  <c r="H186" i="1"/>
  <c r="F186" i="1"/>
  <c r="E186" i="1"/>
  <c r="D186" i="1"/>
  <c r="Y185" i="1"/>
  <c r="W185" i="1"/>
  <c r="U185" i="1"/>
  <c r="R185" i="1"/>
  <c r="P185" i="1"/>
  <c r="N185" i="1"/>
  <c r="L185" i="1"/>
  <c r="J185" i="1"/>
  <c r="H185" i="1"/>
  <c r="F185" i="1"/>
  <c r="E185" i="1"/>
  <c r="D185" i="1"/>
  <c r="Y184" i="1"/>
  <c r="W184" i="1"/>
  <c r="U184" i="1"/>
  <c r="R184" i="1"/>
  <c r="P184" i="1"/>
  <c r="N184" i="1"/>
  <c r="L184" i="1"/>
  <c r="J184" i="1"/>
  <c r="H184" i="1"/>
  <c r="F184" i="1"/>
  <c r="E184" i="1"/>
  <c r="D184" i="1"/>
  <c r="Y183" i="1"/>
  <c r="W183" i="1"/>
  <c r="U183" i="1"/>
  <c r="R183" i="1"/>
  <c r="P183" i="1"/>
  <c r="N183" i="1"/>
  <c r="L183" i="1"/>
  <c r="J183" i="1"/>
  <c r="H183" i="1"/>
  <c r="F183" i="1"/>
  <c r="E183" i="1"/>
  <c r="D183" i="1"/>
  <c r="Y182" i="1"/>
  <c r="W182" i="1"/>
  <c r="U182" i="1"/>
  <c r="R182" i="1"/>
  <c r="P182" i="1"/>
  <c r="N182" i="1"/>
  <c r="L182" i="1"/>
  <c r="J182" i="1"/>
  <c r="H182" i="1"/>
  <c r="F182" i="1"/>
  <c r="E182" i="1"/>
  <c r="D182" i="1"/>
  <c r="BB80" i="1"/>
  <c r="AZ80" i="1"/>
  <c r="AW80" i="1"/>
  <c r="AU80" i="1"/>
  <c r="AR80" i="1"/>
  <c r="AP80" i="1"/>
  <c r="V80" i="1"/>
  <c r="U80" i="1"/>
  <c r="T80" i="1"/>
  <c r="R80" i="1"/>
  <c r="Q80" i="1"/>
  <c r="P80" i="1"/>
  <c r="O80" i="1"/>
  <c r="N80" i="1"/>
  <c r="L80" i="1"/>
  <c r="M80" i="1"/>
  <c r="C48" i="1" l="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47" i="1"/>
  <c r="AA11" i="1" l="1"/>
  <c r="Z11" i="1"/>
  <c r="Y11" i="1"/>
  <c r="X11" i="1"/>
  <c r="W11" i="1"/>
  <c r="V11" i="1"/>
  <c r="U11" i="1"/>
  <c r="T11" i="1"/>
  <c r="F11" i="1"/>
  <c r="C3" i="1"/>
  <c r="J93" i="2" l="1"/>
  <c r="J79" i="2"/>
  <c r="I93" i="2"/>
  <c r="I79" i="2"/>
  <c r="H93" i="2"/>
  <c r="H79" i="2"/>
  <c r="G93" i="2"/>
  <c r="G79" i="2"/>
  <c r="F93" i="2"/>
  <c r="F79" i="2"/>
  <c r="J91" i="2"/>
  <c r="J77" i="2"/>
  <c r="I91" i="2"/>
  <c r="I77" i="2"/>
  <c r="H91" i="2"/>
  <c r="H77" i="2"/>
  <c r="G91" i="2"/>
  <c r="G77" i="2"/>
  <c r="F91" i="2"/>
  <c r="F77" i="2"/>
  <c r="J89" i="2"/>
  <c r="J75" i="2"/>
  <c r="I89" i="2"/>
  <c r="I75" i="2"/>
  <c r="H89" i="2"/>
  <c r="H75" i="2"/>
  <c r="G89" i="2"/>
  <c r="G75" i="2"/>
  <c r="F89" i="2"/>
  <c r="F75" i="2"/>
  <c r="J87" i="2"/>
  <c r="J73" i="2"/>
  <c r="I87" i="2"/>
  <c r="I73" i="2"/>
  <c r="H87" i="2"/>
  <c r="H73" i="2"/>
  <c r="G87" i="2"/>
  <c r="G73" i="2"/>
  <c r="F87" i="2"/>
  <c r="F73" i="2"/>
  <c r="J85" i="2"/>
  <c r="J71" i="2"/>
  <c r="I85" i="2"/>
  <c r="I71" i="2"/>
  <c r="H85" i="2"/>
  <c r="H71" i="2"/>
  <c r="G85" i="2"/>
  <c r="G71" i="2"/>
  <c r="F85" i="2"/>
  <c r="F71" i="2"/>
  <c r="J83" i="2"/>
  <c r="J69" i="2"/>
  <c r="I83" i="2"/>
  <c r="I69" i="2"/>
  <c r="H83" i="2"/>
  <c r="H69" i="2"/>
  <c r="G83" i="2"/>
  <c r="G69" i="2"/>
  <c r="F69" i="2"/>
  <c r="F83" i="2"/>
  <c r="H114" i="1"/>
  <c r="F114" i="1"/>
  <c r="D114" i="1"/>
  <c r="U94" i="3"/>
  <c r="V186" i="1" s="1"/>
  <c r="Q94" i="3"/>
  <c r="S186" i="1" s="1"/>
  <c r="O94" i="3"/>
  <c r="Q186" i="1" s="1"/>
  <c r="M94" i="3"/>
  <c r="O186" i="1" s="1"/>
  <c r="K94" i="3"/>
  <c r="M186" i="1" s="1"/>
  <c r="I94" i="3"/>
  <c r="G94" i="3"/>
  <c r="E94" i="3"/>
  <c r="U93" i="3"/>
  <c r="V185" i="1" s="1"/>
  <c r="Q93" i="3"/>
  <c r="S185" i="1" s="1"/>
  <c r="O93" i="3"/>
  <c r="Q185" i="1" s="1"/>
  <c r="M93" i="3"/>
  <c r="O185" i="1" s="1"/>
  <c r="K93" i="3"/>
  <c r="M185" i="1" s="1"/>
  <c r="I93" i="3"/>
  <c r="K185" i="1" s="1"/>
  <c r="G93" i="3"/>
  <c r="I185" i="1" s="1"/>
  <c r="E93" i="3"/>
  <c r="G185" i="1" s="1"/>
  <c r="U92" i="3"/>
  <c r="V184" i="1" s="1"/>
  <c r="Q92" i="3"/>
  <c r="S184" i="1" s="1"/>
  <c r="O92" i="3"/>
  <c r="Q184" i="1" s="1"/>
  <c r="M92" i="3"/>
  <c r="O184" i="1" s="1"/>
  <c r="K92" i="3"/>
  <c r="M184" i="1" s="1"/>
  <c r="I92" i="3"/>
  <c r="K184" i="1" s="1"/>
  <c r="G92" i="3"/>
  <c r="I184" i="1" s="1"/>
  <c r="E92" i="3"/>
  <c r="G184" i="1" s="1"/>
  <c r="Q91" i="3"/>
  <c r="S183" i="1" s="1"/>
  <c r="O91" i="3"/>
  <c r="Q183" i="1" s="1"/>
  <c r="M91" i="3"/>
  <c r="O183" i="1" s="1"/>
  <c r="K91" i="3"/>
  <c r="M183" i="1" s="1"/>
  <c r="I91" i="3"/>
  <c r="G91" i="3"/>
  <c r="E91" i="3"/>
  <c r="Q90" i="3"/>
  <c r="S182" i="1" s="1"/>
  <c r="O90" i="3"/>
  <c r="Q182" i="1" s="1"/>
  <c r="M90" i="3"/>
  <c r="O182" i="1" s="1"/>
  <c r="K90" i="3"/>
  <c r="M182" i="1" s="1"/>
  <c r="I90" i="3"/>
  <c r="K182" i="1" s="1"/>
  <c r="G90" i="3"/>
  <c r="I182" i="1" s="1"/>
  <c r="E90" i="3"/>
  <c r="G182" i="1" s="1"/>
  <c r="H113" i="1"/>
  <c r="F113" i="1"/>
  <c r="D113" i="1"/>
  <c r="U83" i="3"/>
  <c r="V178" i="1" s="1"/>
  <c r="U84" i="3"/>
  <c r="V179" i="1" s="1"/>
  <c r="U85" i="3"/>
  <c r="V180" i="1" s="1"/>
  <c r="Q85" i="3"/>
  <c r="S180" i="1" s="1"/>
  <c r="Q84" i="3"/>
  <c r="S179" i="1" s="1"/>
  <c r="Q83" i="3"/>
  <c r="S178" i="1" s="1"/>
  <c r="Q82" i="3"/>
  <c r="S177" i="1" s="1"/>
  <c r="Q81" i="3"/>
  <c r="S176" i="1" s="1"/>
  <c r="O85" i="3"/>
  <c r="Q180" i="1" s="1"/>
  <c r="O84" i="3"/>
  <c r="Q179" i="1" s="1"/>
  <c r="O83" i="3"/>
  <c r="Q178" i="1" s="1"/>
  <c r="O82" i="3"/>
  <c r="Q177" i="1" s="1"/>
  <c r="O81" i="3"/>
  <c r="Q176" i="1" s="1"/>
  <c r="M85" i="3"/>
  <c r="O180" i="1" s="1"/>
  <c r="M84" i="3"/>
  <c r="O179" i="1" s="1"/>
  <c r="M83" i="3"/>
  <c r="O178" i="1" s="1"/>
  <c r="M82" i="3"/>
  <c r="O177" i="1" s="1"/>
  <c r="M81" i="3"/>
  <c r="O176" i="1" s="1"/>
  <c r="K85" i="3"/>
  <c r="M180" i="1" s="1"/>
  <c r="K84" i="3"/>
  <c r="M179" i="1" s="1"/>
  <c r="K83" i="3"/>
  <c r="M178" i="1" s="1"/>
  <c r="K82" i="3"/>
  <c r="M177" i="1" s="1"/>
  <c r="K81" i="3"/>
  <c r="M176" i="1" s="1"/>
  <c r="I85" i="3"/>
  <c r="I84" i="3"/>
  <c r="K179" i="1" s="1"/>
  <c r="I83" i="3"/>
  <c r="K178" i="1" s="1"/>
  <c r="I82" i="3"/>
  <c r="I81" i="3"/>
  <c r="K176" i="1" s="1"/>
  <c r="G85" i="3"/>
  <c r="G84" i="3"/>
  <c r="I179" i="1" s="1"/>
  <c r="G83" i="3"/>
  <c r="I178" i="1" s="1"/>
  <c r="G82" i="3"/>
  <c r="G81" i="3"/>
  <c r="I176" i="1" s="1"/>
  <c r="E82" i="3"/>
  <c r="E83" i="3"/>
  <c r="G178" i="1" s="1"/>
  <c r="E84" i="3"/>
  <c r="G179" i="1" s="1"/>
  <c r="E85" i="3"/>
  <c r="E81" i="3"/>
  <c r="G176" i="1" s="1"/>
  <c r="G180" i="1" l="1"/>
  <c r="G177" i="1"/>
  <c r="G181" i="1"/>
  <c r="I177" i="1"/>
  <c r="I181" i="1"/>
  <c r="I180" i="1"/>
  <c r="K177" i="1"/>
  <c r="K181" i="1"/>
  <c r="K180" i="1"/>
  <c r="G183" i="1"/>
  <c r="G187" i="1"/>
  <c r="I183" i="1"/>
  <c r="I187" i="1"/>
  <c r="K183" i="1"/>
  <c r="K187" i="1"/>
  <c r="G186" i="1"/>
  <c r="I186" i="1"/>
  <c r="K186" i="1"/>
  <c r="R94" i="3"/>
  <c r="T186" i="1" s="1"/>
  <c r="R93" i="3"/>
  <c r="T185" i="1" s="1"/>
  <c r="R92" i="3"/>
  <c r="T184" i="1" s="1"/>
  <c r="R91" i="3"/>
  <c r="T183" i="1" s="1"/>
  <c r="R90" i="3"/>
  <c r="T182" i="1" s="1"/>
  <c r="R85" i="3"/>
  <c r="T180" i="1" s="1"/>
  <c r="R84" i="3"/>
  <c r="T179" i="1" s="1"/>
  <c r="R83" i="3"/>
  <c r="T178" i="1" s="1"/>
  <c r="R82" i="3"/>
  <c r="T177" i="1" s="1"/>
  <c r="R81" i="3"/>
  <c r="T176" i="1" s="1"/>
  <c r="W94" i="3"/>
  <c r="X186" i="1" s="1"/>
  <c r="W93" i="3"/>
  <c r="X185" i="1" s="1"/>
  <c r="W92" i="3"/>
  <c r="X184" i="1" s="1"/>
  <c r="W83" i="3"/>
  <c r="X178" i="1" s="1"/>
  <c r="W84" i="3"/>
  <c r="X179" i="1" s="1"/>
  <c r="W85" i="3"/>
  <c r="X180" i="1" s="1"/>
  <c r="U91" i="3"/>
  <c r="V183" i="1" s="1"/>
  <c r="U82" i="3"/>
  <c r="V177" i="1" s="1"/>
  <c r="I22" i="3"/>
  <c r="AC80" i="1" s="1"/>
  <c r="B5" i="35"/>
  <c r="B4" i="35"/>
  <c r="G2" i="35"/>
  <c r="E2" i="35"/>
  <c r="A2" i="35"/>
  <c r="R96" i="3" l="1"/>
  <c r="C114" i="1" s="1"/>
  <c r="R87" i="3"/>
  <c r="W91" i="3"/>
  <c r="X183" i="1" s="1"/>
  <c r="W82" i="3"/>
  <c r="X177" i="1" s="1"/>
  <c r="U81" i="3"/>
  <c r="V176" i="1" s="1"/>
  <c r="U90" i="3"/>
  <c r="V182" i="1" s="1"/>
  <c r="I18" i="3"/>
  <c r="AA80" i="1" s="1"/>
  <c r="C113" i="1"/>
  <c r="B5" i="36"/>
  <c r="B4" i="36"/>
  <c r="G2" i="36"/>
  <c r="E2" i="36"/>
  <c r="A2" i="36"/>
  <c r="U96" i="3" l="1"/>
  <c r="E114" i="1" s="1"/>
  <c r="U87" i="3"/>
  <c r="E113" i="1"/>
  <c r="W81" i="3"/>
  <c r="W90" i="3"/>
  <c r="X182" i="1" s="1"/>
  <c r="G2" i="34"/>
  <c r="D2" i="34"/>
  <c r="A2" i="34"/>
  <c r="G2" i="33"/>
  <c r="E2" i="33"/>
  <c r="A2" i="33"/>
  <c r="W87" i="3" l="1"/>
  <c r="G113" i="1" s="1"/>
  <c r="X176" i="1"/>
  <c r="W96" i="3"/>
  <c r="G114" i="1"/>
  <c r="I95" i="2" l="1"/>
  <c r="G95" i="2"/>
  <c r="I81" i="2"/>
  <c r="G81" i="2"/>
  <c r="E59" i="2"/>
  <c r="AC11" i="1" s="1"/>
  <c r="F59" i="2"/>
  <c r="AD11" i="1" s="1"/>
  <c r="G59" i="2"/>
  <c r="AE11" i="1" s="1"/>
  <c r="H59" i="2"/>
  <c r="AF11" i="1" s="1"/>
  <c r="I59" i="2"/>
  <c r="AG11" i="1" s="1"/>
  <c r="J59" i="2"/>
  <c r="AH11" i="1" s="1"/>
  <c r="D59" i="2"/>
  <c r="AB11" i="1" s="1"/>
  <c r="G111" i="2" l="1"/>
  <c r="I111" i="2"/>
  <c r="AQ11" i="1"/>
  <c r="AR11" i="1"/>
  <c r="G153" i="2"/>
  <c r="BG11" i="1" s="1"/>
  <c r="AO11" i="1"/>
  <c r="AN11" i="1"/>
  <c r="I153" i="2"/>
  <c r="BH11" i="1" s="1"/>
  <c r="J54" i="2"/>
  <c r="S11" i="1" l="1"/>
  <c r="I65" i="2"/>
  <c r="AL11" i="1" s="1"/>
  <c r="G65" i="2"/>
  <c r="AK11" i="1" s="1"/>
  <c r="AW11" i="1"/>
  <c r="AV11" i="1"/>
  <c r="I24" i="33" l="1"/>
  <c r="T2" i="3"/>
  <c r="E80" i="1" s="1"/>
  <c r="H10" i="33"/>
  <c r="L28" i="1" l="1"/>
  <c r="K28" i="1"/>
  <c r="I10" i="33"/>
  <c r="G10" i="33"/>
  <c r="A2" i="3"/>
  <c r="F2" i="3"/>
  <c r="B2" i="3"/>
  <c r="F287" i="2" l="1"/>
  <c r="F273" i="2"/>
  <c r="F305" i="2"/>
  <c r="F259" i="2"/>
  <c r="F245" i="2"/>
  <c r="F231" i="2"/>
  <c r="F217" i="2"/>
  <c r="F199" i="2"/>
  <c r="F185" i="2"/>
  <c r="F171" i="2"/>
  <c r="F157" i="2"/>
  <c r="H80" i="1"/>
  <c r="D80" i="1"/>
  <c r="J10" i="33"/>
  <c r="A28" i="1" s="1"/>
  <c r="H2" i="3"/>
  <c r="I285" i="2" l="1"/>
  <c r="CK11" i="1" s="1"/>
  <c r="G285" i="2"/>
  <c r="CJ11" i="1" s="1"/>
  <c r="I299" i="2"/>
  <c r="CN11" i="1" s="1"/>
  <c r="G299" i="2"/>
  <c r="CM11" i="1" s="1"/>
  <c r="G169" i="2"/>
  <c r="BJ11" i="1" s="1"/>
  <c r="I169" i="2"/>
  <c r="BK11" i="1" s="1"/>
  <c r="G229" i="2"/>
  <c r="BX11" i="1" s="1"/>
  <c r="I229" i="2"/>
  <c r="BY11" i="1" s="1"/>
  <c r="G317" i="2"/>
  <c r="CR11" i="1" s="1"/>
  <c r="I317" i="2"/>
  <c r="CS11" i="1" s="1"/>
  <c r="G211" i="2"/>
  <c r="I211" i="2"/>
  <c r="G271" i="2"/>
  <c r="I271" i="2"/>
  <c r="G197" i="2"/>
  <c r="BP11" i="1" s="1"/>
  <c r="I197" i="2"/>
  <c r="BQ11" i="1" s="1"/>
  <c r="G257" i="2"/>
  <c r="CD11" i="1" s="1"/>
  <c r="I257" i="2"/>
  <c r="CE11" i="1" s="1"/>
  <c r="G183" i="2"/>
  <c r="BM11" i="1" s="1"/>
  <c r="I183" i="2"/>
  <c r="BN11" i="1" s="1"/>
  <c r="G243" i="2"/>
  <c r="CA11" i="1" s="1"/>
  <c r="I243" i="2"/>
  <c r="CB11" i="1" s="1"/>
  <c r="H14" i="33"/>
  <c r="BT11" i="1" l="1"/>
  <c r="BS11" i="1"/>
  <c r="I301" i="2"/>
  <c r="CH11" i="1"/>
  <c r="CG11" i="1"/>
  <c r="G301" i="2"/>
  <c r="CO11" i="1" s="1"/>
  <c r="G213" i="2"/>
  <c r="BU11" i="1" s="1"/>
  <c r="I213" i="2"/>
  <c r="G20" i="33"/>
  <c r="I14" i="33"/>
  <c r="G14" i="33"/>
  <c r="H20" i="33"/>
  <c r="H12" i="33"/>
  <c r="H16" i="33" l="1"/>
  <c r="BV11" i="1"/>
  <c r="G18" i="33"/>
  <c r="H18" i="33"/>
  <c r="CP11" i="1"/>
  <c r="J14" i="33"/>
  <c r="C28" i="1" s="1"/>
  <c r="I18" i="33"/>
  <c r="J18" i="33" s="1"/>
  <c r="E28" i="1" s="1"/>
  <c r="I20" i="33"/>
  <c r="J20" i="33" s="1"/>
  <c r="F28" i="1" s="1"/>
  <c r="I16" i="33"/>
  <c r="G16" i="33"/>
  <c r="I12" i="33"/>
  <c r="G12" i="33"/>
  <c r="H22" i="33" l="1"/>
  <c r="J16" i="33"/>
  <c r="D28" i="1" s="1"/>
  <c r="J12" i="33"/>
  <c r="B28" i="1" s="1"/>
  <c r="G22" i="33"/>
  <c r="G28" i="1" s="1"/>
  <c r="I22" i="33"/>
  <c r="J22" i="33" s="1"/>
  <c r="I28" i="1" l="1"/>
  <c r="H28" i="1"/>
  <c r="J28" i="1"/>
</calcChain>
</file>

<file path=xl/sharedStrings.xml><?xml version="1.0" encoding="utf-8"?>
<sst xmlns="http://schemas.openxmlformats.org/spreadsheetml/2006/main" count="7315" uniqueCount="770">
  <si>
    <t xml:space="preserve">Name of Legal Entity </t>
  </si>
  <si>
    <t>Review Level:</t>
  </si>
  <si>
    <t>Review Type:</t>
  </si>
  <si>
    <t>Completed By</t>
  </si>
  <si>
    <t>Date of Entrance</t>
  </si>
  <si>
    <t>Dates of Review Period</t>
  </si>
  <si>
    <t>Last Name:</t>
  </si>
  <si>
    <t>(First day on-site)</t>
  </si>
  <si>
    <t>Begin:</t>
  </si>
  <si>
    <t>First Name:</t>
  </si>
  <si>
    <t>End:</t>
  </si>
  <si>
    <t>Answer</t>
  </si>
  <si>
    <t>Comments:</t>
  </si>
  <si>
    <t>Total Yes</t>
  </si>
  <si>
    <t>Total No</t>
  </si>
  <si>
    <t>Number Yes</t>
  </si>
  <si>
    <t>Number No</t>
  </si>
  <si>
    <t>Standard</t>
  </si>
  <si>
    <t>A.</t>
  </si>
  <si>
    <t>B.</t>
  </si>
  <si>
    <t>C.</t>
  </si>
  <si>
    <t>D.</t>
  </si>
  <si>
    <t xml:space="preserve">Total </t>
  </si>
  <si>
    <t>Score</t>
  </si>
  <si>
    <t>(A + B)</t>
  </si>
  <si>
    <t>(A/C x 100)</t>
  </si>
  <si>
    <t>Standard I</t>
  </si>
  <si>
    <t>Standard II</t>
  </si>
  <si>
    <t>Standard III</t>
  </si>
  <si>
    <t>Standard IV</t>
  </si>
  <si>
    <t>Standard V</t>
  </si>
  <si>
    <t>Standard VI</t>
  </si>
  <si>
    <t>Sample No.</t>
  </si>
  <si>
    <t>Contract ID</t>
  </si>
  <si>
    <t>Last Name</t>
  </si>
  <si>
    <t>First Name</t>
  </si>
  <si>
    <t>Sample Number</t>
  </si>
  <si>
    <t>Contract Number</t>
  </si>
  <si>
    <t>Last:</t>
  </si>
  <si>
    <t xml:space="preserve">Date Completed </t>
  </si>
  <si>
    <t>First:</t>
  </si>
  <si>
    <t>F.</t>
  </si>
  <si>
    <t>BILLING</t>
  </si>
  <si>
    <t>Contract No.</t>
  </si>
  <si>
    <t>ClientID</t>
  </si>
  <si>
    <t>A</t>
  </si>
  <si>
    <t>B</t>
  </si>
  <si>
    <t>C</t>
  </si>
  <si>
    <t>D</t>
  </si>
  <si>
    <t>E</t>
  </si>
  <si>
    <t>F</t>
  </si>
  <si>
    <t>G</t>
  </si>
  <si>
    <t>H</t>
  </si>
  <si>
    <t>I</t>
  </si>
  <si>
    <t>First Initial</t>
  </si>
  <si>
    <t>Svc Code</t>
  </si>
  <si>
    <t>Svc Begin Date</t>
  </si>
  <si>
    <t>Svc End Date</t>
  </si>
  <si>
    <t>J</t>
  </si>
  <si>
    <t>K</t>
  </si>
  <si>
    <t>L</t>
  </si>
  <si>
    <t>M</t>
  </si>
  <si>
    <t>O</t>
  </si>
  <si>
    <t>P</t>
  </si>
  <si>
    <t>Q</t>
  </si>
  <si>
    <t>R</t>
  </si>
  <si>
    <t>S</t>
  </si>
  <si>
    <t>T</t>
  </si>
  <si>
    <t>U</t>
  </si>
  <si>
    <t>V</t>
  </si>
  <si>
    <t>W</t>
  </si>
  <si>
    <t>X</t>
  </si>
  <si>
    <t>Z</t>
  </si>
  <si>
    <t>AA</t>
  </si>
  <si>
    <t>BB</t>
  </si>
  <si>
    <t>CC</t>
  </si>
  <si>
    <t>DD</t>
  </si>
  <si>
    <t>Overall Totals</t>
  </si>
  <si>
    <t>Unit Rate</t>
  </si>
  <si>
    <t>Units Verified</t>
  </si>
  <si>
    <t>NA</t>
  </si>
  <si>
    <t xml:space="preserve"> Y </t>
  </si>
  <si>
    <t xml:space="preserve">N  </t>
  </si>
  <si>
    <t>N</t>
  </si>
  <si>
    <t>Sun</t>
  </si>
  <si>
    <t>Sat</t>
  </si>
  <si>
    <t>A response of “Y” means the contractor has met the requirement. “N” means the contractor has not met the requirement.  “NA” means the requirement is not applicable. For any item marked as “N” attach copies of supporting documents. All attachments should be numbered and indicate the applicable Standard and item.</t>
  </si>
  <si>
    <t xml:space="preserve">STANDARD I. POLICIES AND PROCEDURES  </t>
  </si>
  <si>
    <t>• date of investigation is within thirty days from receipt of the complaint, unless the contractor documented reasonable cause for the delay;</t>
  </si>
  <si>
    <t>• prior to hiring or contracting and on a monthly basis;</t>
  </si>
  <si>
    <t>• prohibits payment for any items or services furnished, ordered, or prescribed by an excluded individual or entity; and</t>
  </si>
  <si>
    <t>4.  Does the facility provide services at least 10 continuous hours Monday through Friday, except for published holidays?</t>
  </si>
  <si>
    <t>• Review the DAHS facility’s brochure, if available, and/or verify posted hours of operation meet the requirement.</t>
  </si>
  <si>
    <r>
      <rPr>
        <b/>
        <sz val="8"/>
        <color theme="1"/>
        <rFont val="Arial"/>
        <family val="2"/>
      </rPr>
      <t>Reference:</t>
    </r>
    <r>
      <rPr>
        <sz val="8"/>
        <color theme="1"/>
        <rFont val="Arial"/>
        <family val="2"/>
      </rPr>
      <t xml:space="preserve">  40 TAC §98.202, Program Overview</t>
    </r>
  </si>
  <si>
    <t>5. Does the facility offer an array of activities to meet the social needs and interests of individuals served?</t>
  </si>
  <si>
    <t>Review the activities calendar for the prior and current months to verify the facility offered the following (all of the conditions must be met):</t>
  </si>
  <si>
    <t>o Daily - at least three different scheduled activities from the following categories: exercises, games, educational/reality orientation, and crafts;</t>
  </si>
  <si>
    <t>o Weekly - at least two different activities from each of the categories (exercises, games, educational/reality orientation and crafts); and</t>
  </si>
  <si>
    <t>o Monthly – at least one trip or special event or cultural enrichment.</t>
  </si>
  <si>
    <r>
      <rPr>
        <b/>
        <sz val="8"/>
        <color rgb="FF000000"/>
        <rFont val="Arial"/>
        <family val="2"/>
      </rPr>
      <t>Reference:</t>
    </r>
    <r>
      <rPr>
        <sz val="8"/>
        <color rgb="FF000000"/>
        <rFont val="Arial"/>
        <family val="2"/>
      </rPr>
      <t xml:space="preserve">  40 TAC §98.206, Program Requirements; DAHS Provider Manual: Section 5750-Other Supportive Services</t>
    </r>
  </si>
  <si>
    <t>6. Does the facility remain within the facility’s licensed capacity?</t>
  </si>
  <si>
    <t>• Refer to the facility’s license that was current for the week selected for review and enter the facility’s licensed capacity: a)</t>
  </si>
  <si>
    <t>Th</t>
  </si>
  <si>
    <t>Dates of week reviewed:</t>
  </si>
  <si>
    <t>b) Enter the number of unduplicated persons in attendance (Daily Census)</t>
  </si>
  <si>
    <t>c) Is the number of unduplicated individuals in attendance equal to or less than the facility’s licensed capacity?</t>
  </si>
  <si>
    <r>
      <rPr>
        <b/>
        <sz val="8"/>
        <color rgb="FF000000"/>
        <rFont val="Arial"/>
        <family val="2"/>
      </rPr>
      <t>Reference:</t>
    </r>
    <r>
      <rPr>
        <sz val="8"/>
        <color rgb="FF000000"/>
        <rFont val="Arial"/>
        <family val="2"/>
      </rPr>
      <t xml:space="preserve">  40 TAC §98.202, Program Overview</t>
    </r>
  </si>
  <si>
    <t>STANDARD II. EMPLOYEE REQUIREMENTS</t>
  </si>
  <si>
    <t>(Complete the EMPLOYEE REQUIREMENTS TABLE to answer items II.1 and II. 2)</t>
  </si>
  <si>
    <r>
      <rPr>
        <b/>
        <sz val="8"/>
        <color theme="1"/>
        <rFont val="Arial"/>
        <family val="2"/>
      </rPr>
      <t>Reference:</t>
    </r>
    <r>
      <rPr>
        <sz val="8"/>
        <color theme="1"/>
        <rFont val="Arial"/>
        <family val="2"/>
      </rPr>
      <t xml:space="preserve"> 40 TAC §98.62, Program Requirements; DAHS Provider Manual: Section 4430-Training</t>
    </r>
  </si>
  <si>
    <t>STANDARD III. TRANSPORTATION</t>
  </si>
  <si>
    <t>See the VEHICLE CHECKLIST</t>
  </si>
  <si>
    <r>
      <rPr>
        <b/>
        <sz val="8"/>
        <rFont val="Arial"/>
        <family val="2"/>
      </rPr>
      <t>Reference:</t>
    </r>
    <r>
      <rPr>
        <sz val="8"/>
        <rFont val="Arial"/>
        <family val="2"/>
      </rPr>
      <t xml:space="preserve">  40 TAC §98.206, Program Requirements; DAHS Provider Manual Section 1400 - Required Services and Section 5740 - Transportation </t>
    </r>
  </si>
  <si>
    <t>2.  Do employees who operate the facility vehicles hold the proper Texas Driver’s License?</t>
  </si>
  <si>
    <t xml:space="preserve"> Review for each vehicle used by the facility – For Vehicle Type refer to the VEHICLE CHECKLIST </t>
  </si>
  <si>
    <t>Proper Driver's License</t>
  </si>
  <si>
    <t>Name(s) of Driver(s)</t>
  </si>
  <si>
    <t>Class of Driver's License Required for Vehicle Type</t>
  </si>
  <si>
    <t>License is appropriate for vehicle type</t>
  </si>
  <si>
    <t>License is current</t>
  </si>
  <si>
    <r>
      <rPr>
        <b/>
        <sz val="9"/>
        <color theme="1"/>
        <rFont val="Arial"/>
        <family val="2"/>
      </rPr>
      <t>Class C license = Type 1 vehicles</t>
    </r>
    <r>
      <rPr>
        <sz val="9"/>
        <color theme="1"/>
        <rFont val="Arial"/>
        <family val="2"/>
      </rPr>
      <t xml:space="preserve"> (designed to transport 15 or fewer passengers, including the driver)</t>
    </r>
  </si>
  <si>
    <r>
      <rPr>
        <b/>
        <sz val="9"/>
        <color theme="1"/>
        <rFont val="Arial"/>
        <family val="2"/>
      </rPr>
      <t>Class C license = Type 2 vehicles</t>
    </r>
    <r>
      <rPr>
        <sz val="9"/>
        <color theme="1"/>
        <rFont val="Arial"/>
        <family val="2"/>
      </rPr>
      <t xml:space="preserve"> (single axle designed to transport 16-23 passengers, including the driver)</t>
    </r>
  </si>
  <si>
    <r>
      <rPr>
        <b/>
        <sz val="9"/>
        <color theme="1"/>
        <rFont val="Arial"/>
        <family val="2"/>
      </rPr>
      <t>Class C CDL license = Type 3 vehicles</t>
    </r>
    <r>
      <rPr>
        <sz val="9"/>
        <color theme="1"/>
        <rFont val="Arial"/>
        <family val="2"/>
      </rPr>
      <t xml:space="preserve"> (double axle designed to transport 16 - 23 passengers, including the driver)</t>
    </r>
  </si>
  <si>
    <r>
      <rPr>
        <b/>
        <sz val="9"/>
        <color theme="1"/>
        <rFont val="Arial"/>
        <family val="2"/>
      </rPr>
      <t>Class B CDL license = Type 4 vehicles</t>
    </r>
    <r>
      <rPr>
        <sz val="9"/>
        <color theme="1"/>
        <rFont val="Arial"/>
        <family val="2"/>
      </rPr>
      <t xml:space="preserve"> (designed to transport 24 passengers or more, including the driver)</t>
    </r>
  </si>
  <si>
    <r>
      <rPr>
        <b/>
        <sz val="8"/>
        <color theme="1"/>
        <rFont val="Arial"/>
        <family val="2"/>
      </rPr>
      <t>Reference:</t>
    </r>
    <r>
      <rPr>
        <sz val="8"/>
        <color theme="1"/>
        <rFont val="Arial"/>
        <family val="2"/>
      </rPr>
      <t xml:space="preserve">  40 TAC §98.62, Program Requirements</t>
    </r>
  </si>
  <si>
    <t>3.  If the facility subcontracts transportation services, is there evidence the facility reviews the vehicles used by the subcontractor(s)?</t>
  </si>
  <si>
    <t>Review the facility’s subcontract with the transportation services subcontractor. Verify the facility monitors, at a minimum, the sub-contractor’s vehicles for items included on the VEHICLE CHECKLIST.</t>
  </si>
  <si>
    <r>
      <rPr>
        <b/>
        <sz val="8"/>
        <color rgb="FF000000"/>
        <rFont val="Arial"/>
        <family val="2"/>
      </rPr>
      <t>Reference:</t>
    </r>
    <r>
      <rPr>
        <sz val="8"/>
        <color rgb="FF000000"/>
        <rFont val="Arial"/>
        <family val="2"/>
      </rPr>
      <t xml:space="preserve">  40 TAC §98.206, Program Requirements; DAHS Provider Manual Section 5740- Transportation</t>
    </r>
  </si>
  <si>
    <t>1. If a facility-initiated referral, did the facility nurse complete all required activities within the required timeframes?</t>
  </si>
  <si>
    <t>STANDARD IV.  SERVICE INITIATION</t>
  </si>
  <si>
    <t>(See Individual Work Papers for items IV. 1- 4)</t>
  </si>
  <si>
    <t xml:space="preserve"> </t>
  </si>
  <si>
    <r>
      <rPr>
        <b/>
        <sz val="8"/>
        <color theme="1"/>
        <rFont val="Arial"/>
        <family val="2"/>
      </rPr>
      <t>Reference:</t>
    </r>
    <r>
      <rPr>
        <sz val="8"/>
        <color theme="1"/>
        <rFont val="Arial"/>
        <family val="2"/>
      </rPr>
      <t xml:space="preserve">  40 TAC §98.203, Written Referrals for Services</t>
    </r>
  </si>
  <si>
    <t>4.  Did the facility initiate services within seven calendar days from the authorized begin date?</t>
  </si>
  <si>
    <r>
      <rPr>
        <b/>
        <sz val="8"/>
        <color theme="1"/>
        <rFont val="Arial"/>
        <family val="2"/>
      </rPr>
      <t>Reference:</t>
    </r>
    <r>
      <rPr>
        <sz val="8"/>
        <color theme="1"/>
        <rFont val="Arial"/>
        <family val="2"/>
      </rPr>
      <t xml:space="preserve">  40 TAC §98.205, Initiation of Services</t>
    </r>
  </si>
  <si>
    <t>STANDARD V. SERVICE DELIVERY</t>
  </si>
  <si>
    <t>2.  Does the facility nurse administer prescribed medications in accordance with the most recent Physician’s Orders?</t>
  </si>
  <si>
    <t>STANDARD VI. BILLING</t>
  </si>
  <si>
    <t xml:space="preserve"> (See Individual Work Papers for item VI 1.)</t>
  </si>
  <si>
    <t>POLICIES AND PROCEDURES</t>
  </si>
  <si>
    <t>EMPLOYEE REQUIREMENTS</t>
  </si>
  <si>
    <t>TRANSPORTATION</t>
  </si>
  <si>
    <t>SERVICE INITIATION</t>
  </si>
  <si>
    <t>SERVICE DELIVERY</t>
  </si>
  <si>
    <t>COMPLIANCE SUMMARY</t>
  </si>
  <si>
    <t xml:space="preserve">FINANCIAL ERROR AMOUNT </t>
  </si>
  <si>
    <t>Total Financial Errors</t>
  </si>
  <si>
    <t>Units Pd. in Error</t>
  </si>
  <si>
    <t>EMPLOYEE REQUIREMENTS TABLE</t>
  </si>
  <si>
    <t xml:space="preserve">Refer to the facility’s current roster of employees. </t>
  </si>
  <si>
    <t xml:space="preserve">A. </t>
  </si>
  <si>
    <t>Name of Employee</t>
  </si>
  <si>
    <t>Date of Hire/First Date of Service</t>
  </si>
  <si>
    <t xml:space="preserve">G. </t>
  </si>
  <si>
    <t xml:space="preserve">A person placed on deferred adjudication community supervision is NOT considered convicted of the offense.  </t>
  </si>
  <si>
    <t>PERMANENT BAR TO EMPLOYMENT</t>
  </si>
  <si>
    <t>FIVE YEAR BAR TO EMPLOYMENT</t>
  </si>
  <si>
    <t>A person may not be employed in direct contact with a consumer in a facility before the fifth anniversary of the date of conviction.</t>
  </si>
  <si>
    <t>OFFENSE</t>
  </si>
  <si>
    <t>Chapter 19</t>
  </si>
  <si>
    <t>Criminal homicide</t>
  </si>
  <si>
    <t>Section 22.01</t>
  </si>
  <si>
    <t>Assault punishable as a Class A misdemeanor or felony</t>
  </si>
  <si>
    <t>Chapter 20</t>
  </si>
  <si>
    <t>Kidnapping and unlawful restraint</t>
  </si>
  <si>
    <t>Section 30.02</t>
  </si>
  <si>
    <r>
      <t>Burglary</t>
    </r>
    <r>
      <rPr>
        <b/>
        <sz val="9"/>
        <color theme="1"/>
        <rFont val="Arial"/>
        <family val="2"/>
      </rPr>
      <t xml:space="preserve"> (</t>
    </r>
    <r>
      <rPr>
        <sz val="8"/>
        <color theme="1"/>
        <rFont val="Arial"/>
        <family val="2"/>
      </rPr>
      <t>permanent bar in nursing homes/assisted living facilities</t>
    </r>
    <r>
      <rPr>
        <sz val="9"/>
        <color theme="1"/>
        <rFont val="Arial"/>
        <family val="2"/>
      </rPr>
      <t>)</t>
    </r>
  </si>
  <si>
    <t>Section 21.02</t>
  </si>
  <si>
    <t xml:space="preserve">Continuous sexual abuse of young child or children </t>
  </si>
  <si>
    <t>Section 21.08</t>
  </si>
  <si>
    <t>Indecent exposure</t>
  </si>
  <si>
    <t>Chapter 31</t>
  </si>
  <si>
    <t>Theft that is punishable as a felony</t>
  </si>
  <si>
    <t>Section 21.11</t>
  </si>
  <si>
    <t xml:space="preserve">Indecency with child  </t>
  </si>
  <si>
    <t>Section 32.45</t>
  </si>
  <si>
    <t>Misapplication of fiduciary property/property of a financial institution punishable as a Class A misdemeanor or felony</t>
  </si>
  <si>
    <t>Section 21.12</t>
  </si>
  <si>
    <t>Improper relationship between educator and student</t>
  </si>
  <si>
    <t>Section 21.15</t>
  </si>
  <si>
    <t>Improper photography or visual recording</t>
  </si>
  <si>
    <t>Section 22.011</t>
  </si>
  <si>
    <t>Sexual assault</t>
  </si>
  <si>
    <t>Section 32.46</t>
  </si>
  <si>
    <t>Securing execution of a document by deception that is punishable as a Class A misdemeanor or a felony</t>
  </si>
  <si>
    <t>Section 22.02</t>
  </si>
  <si>
    <t>Aggravated assault</t>
  </si>
  <si>
    <t>Section 22.04</t>
  </si>
  <si>
    <t>Injury to a child elderly individual, or disabled individual</t>
  </si>
  <si>
    <t>Section 37.12</t>
  </si>
  <si>
    <t>False identification as peace officer</t>
  </si>
  <si>
    <t>Section 22.05</t>
  </si>
  <si>
    <t>Deadly conduct</t>
  </si>
  <si>
    <t>Section 42.01(a)(7)(8)or(9)</t>
  </si>
  <si>
    <t>Disorderly conduct</t>
  </si>
  <si>
    <t>Section 22.07</t>
  </si>
  <si>
    <t>Terroristic threat</t>
  </si>
  <si>
    <t>Section 22.021</t>
  </si>
  <si>
    <t>Aggravated sexual assault</t>
  </si>
  <si>
    <t>Section 22.041</t>
  </si>
  <si>
    <t>Abandoning or endangering child</t>
  </si>
  <si>
    <t>Section 22.08</t>
  </si>
  <si>
    <t>Aiding suicide</t>
  </si>
  <si>
    <t>Section 25.031</t>
  </si>
  <si>
    <t>Agreement to abduct from custody</t>
  </si>
  <si>
    <t>Section 25.08</t>
  </si>
  <si>
    <t>Sale or purchase of a child</t>
  </si>
  <si>
    <t>Section 28.02</t>
  </si>
  <si>
    <t>Arson</t>
  </si>
  <si>
    <t>Section 29.02</t>
  </si>
  <si>
    <t>Robbery</t>
  </si>
  <si>
    <t>Section 29.03</t>
  </si>
  <si>
    <t>Aggravated robbery</t>
  </si>
  <si>
    <t>Section 33.021</t>
  </si>
  <si>
    <t>Online solicitation of a minor</t>
  </si>
  <si>
    <t>Section 34.02</t>
  </si>
  <si>
    <t>Money laundering</t>
  </si>
  <si>
    <t>Section 35A.02</t>
  </si>
  <si>
    <t>Medicaid Fraud</t>
  </si>
  <si>
    <t>Section 42.09</t>
  </si>
  <si>
    <t>Cruelty to animals</t>
  </si>
  <si>
    <t>Resource: HEALTH AND SAFETY CODE §250.006</t>
  </si>
  <si>
    <t>______________________________________________(Name and Title)</t>
  </si>
  <si>
    <t>CHAPTER/PENAL CODE</t>
  </si>
  <si>
    <t>(Complete the VEHICLE CHECKLIST, if the facility provides transportation, to answer item III.1)</t>
  </si>
  <si>
    <t>Observation or test demonstrates compliance</t>
  </si>
  <si>
    <t>Vehicle Types</t>
  </si>
  <si>
    <t>Vehicle A</t>
  </si>
  <si>
    <t>Vehicle B</t>
  </si>
  <si>
    <t>Vehicle C</t>
  </si>
  <si>
    <t>License Plate No.</t>
  </si>
  <si>
    <t>Vehicle Type:</t>
  </si>
  <si>
    <t>2. Vehicle registration is current</t>
  </si>
  <si>
    <t>3. State inspection sticker is current</t>
  </si>
  <si>
    <t>4. Documentation of maintenance record(s)</t>
  </si>
  <si>
    <t>5. Headlights are in working order</t>
  </si>
  <si>
    <t>6. Taillights are in working order</t>
  </si>
  <si>
    <t>7. Heating system provides warm air</t>
  </si>
  <si>
    <t>8. Air conditioner provides cold air</t>
  </si>
  <si>
    <t>9. Seat belts are in working order</t>
  </si>
  <si>
    <t>10. Wheelchair tie downs are in working order</t>
  </si>
  <si>
    <t>11.  Wheelchair lift is in working order</t>
  </si>
  <si>
    <t xml:space="preserve">VEHICLE CHECKLIST   </t>
  </si>
  <si>
    <t xml:space="preserve">Total Number Vehicles: </t>
  </si>
  <si>
    <t>Corrective Action Taken Prior To Exit?</t>
  </si>
  <si>
    <t xml:space="preserve">1. Proof of insurance </t>
  </si>
  <si>
    <r>
      <rPr>
        <b/>
        <sz val="9"/>
        <color theme="1"/>
        <rFont val="Arial"/>
        <family val="2"/>
      </rPr>
      <t>Type 1.</t>
    </r>
    <r>
      <rPr>
        <sz val="9"/>
        <color theme="1"/>
        <rFont val="Arial"/>
        <family val="2"/>
      </rPr>
      <t xml:space="preserve"> Designed to transport 15 or fewer passengers, including the driver</t>
    </r>
  </si>
  <si>
    <r>
      <rPr>
        <b/>
        <sz val="9"/>
        <color theme="1"/>
        <rFont val="Arial"/>
        <family val="2"/>
      </rPr>
      <t>Type 2.</t>
    </r>
    <r>
      <rPr>
        <sz val="9"/>
        <color theme="1"/>
        <rFont val="Arial"/>
        <family val="2"/>
      </rPr>
      <t xml:space="preserve"> Single axle designed to transport 16 - 23 passengers, including the driver</t>
    </r>
  </si>
  <si>
    <r>
      <rPr>
        <b/>
        <sz val="9"/>
        <color theme="1"/>
        <rFont val="Arial"/>
        <family val="2"/>
      </rPr>
      <t>Type 3.</t>
    </r>
    <r>
      <rPr>
        <sz val="9"/>
        <color theme="1"/>
        <rFont val="Arial"/>
        <family val="2"/>
      </rPr>
      <t xml:space="preserve"> Double axle designed to transport 16 - 23 passengers, including the driver</t>
    </r>
  </si>
  <si>
    <r>
      <rPr>
        <b/>
        <sz val="9"/>
        <color theme="1"/>
        <rFont val="Arial"/>
        <family val="2"/>
      </rPr>
      <t>Type 4.</t>
    </r>
    <r>
      <rPr>
        <sz val="9"/>
        <color theme="1"/>
        <rFont val="Arial"/>
        <family val="2"/>
      </rPr>
      <t xml:space="preserve"> Designed to transport 24 passengers or more, including the driver </t>
    </r>
  </si>
  <si>
    <t>Service Code</t>
  </si>
  <si>
    <t>STANDARD IV. SERVICE INITIATION</t>
  </si>
  <si>
    <t>IV.1</t>
  </si>
  <si>
    <t>IV.2</t>
  </si>
  <si>
    <t>IV.3</t>
  </si>
  <si>
    <t>IV.4.  Did the facility initiate services within seven calendar days from the authorized begin date?</t>
  </si>
  <si>
    <t>V.1</t>
  </si>
  <si>
    <t>V.2</t>
  </si>
  <si>
    <t>Month 1:</t>
  </si>
  <si>
    <t>Month/Yr:</t>
  </si>
  <si>
    <t>Month 2:</t>
  </si>
  <si>
    <t>V. 2.  Does the facility nurse administer prescribed medications in accordance with the most recent Physician’s Orders?</t>
  </si>
  <si>
    <t>V.3</t>
  </si>
  <si>
    <t>V.4</t>
  </si>
  <si>
    <t>VI.1</t>
  </si>
  <si>
    <t>o See the DAHS Monitoring Workbook- Demand for Payment Notice, Columns L and N</t>
  </si>
  <si>
    <t>UNITS OF SERVICE</t>
  </si>
  <si>
    <t>Week 1</t>
  </si>
  <si>
    <t>Week 2</t>
  </si>
  <si>
    <t>Week 3</t>
  </si>
  <si>
    <t>Week 4</t>
  </si>
  <si>
    <t>Week 5</t>
  </si>
  <si>
    <t>Sunday</t>
  </si>
  <si>
    <t>Hours</t>
  </si>
  <si>
    <t>Units</t>
  </si>
  <si>
    <t>Monday</t>
  </si>
  <si>
    <t>Tuesday</t>
  </si>
  <si>
    <t>Wednesday</t>
  </si>
  <si>
    <t>Thursday</t>
  </si>
  <si>
    <t>Friday</t>
  </si>
  <si>
    <t>Saturday</t>
  </si>
  <si>
    <t>E.</t>
  </si>
  <si>
    <t xml:space="preserve">Doc Wkly Units
</t>
  </si>
  <si>
    <t>Auth Wkly Units</t>
  </si>
  <si>
    <t>Lesser Amt = Verified Units</t>
  </si>
  <si>
    <t>Units Paid</t>
  </si>
  <si>
    <t>Units Paid in Error (Fin)</t>
  </si>
  <si>
    <t>BILLING PERIOD TOTALS</t>
  </si>
  <si>
    <t>Y</t>
  </si>
  <si>
    <t>IV. 1a</t>
  </si>
  <si>
    <t>IV.1b</t>
  </si>
  <si>
    <t>If a facility-initiated referral, did the facility nurse complete all required activities within the required timeframes?</t>
  </si>
  <si>
    <t>o Select “Y” if the individual is not listed on the Demand for Payment Notice.</t>
  </si>
  <si>
    <t>• Select “Y” if all items are marked “NA” or “Y”.</t>
  </si>
  <si>
    <t>• Select “Y” if the facility monitors the subcontractor’s vehicles.</t>
  </si>
  <si>
    <t>• Select “N” if the facility does not monitor the subcontractor’s vehicles.</t>
  </si>
  <si>
    <t>• Select “N” if any item is marked “N” even if the item was repaired/corrected prior to the exit.</t>
  </si>
  <si>
    <t>• Select “NA” if the facility uses public transportation only or does not subcontract transportation services.</t>
  </si>
  <si>
    <t>• Select “NA” if the facility does not provide transportation.</t>
  </si>
  <si>
    <t>Standard VI.1 is “N” if :</t>
  </si>
  <si>
    <t>SpreadsheetName</t>
  </si>
  <si>
    <t>DAHS</t>
  </si>
  <si>
    <t>SpreadsheetVersion</t>
  </si>
  <si>
    <t>ReviewDtOfEntrance</t>
  </si>
  <si>
    <t>NameOfLegalEntity</t>
  </si>
  <si>
    <t>ReviewLevel</t>
  </si>
  <si>
    <t>ReviewType</t>
  </si>
  <si>
    <t>CompletedByLastName</t>
  </si>
  <si>
    <t>CompletedByFirstName</t>
  </si>
  <si>
    <t>DtOfEntrance</t>
  </si>
  <si>
    <t>DtOfReviewBegin</t>
  </si>
  <si>
    <t>DtOfReviewEnd</t>
  </si>
  <si>
    <t>ContractNumber</t>
  </si>
  <si>
    <t>Std1dot1</t>
  </si>
  <si>
    <t>Std1dot4</t>
  </si>
  <si>
    <t>Std1dot6</t>
  </si>
  <si>
    <t>Std1dot5</t>
  </si>
  <si>
    <t>Stdadot6a</t>
  </si>
  <si>
    <t>Std1dot6bSun</t>
  </si>
  <si>
    <t>Std1dot6bMon</t>
  </si>
  <si>
    <t>Std1dot6bTue</t>
  </si>
  <si>
    <t>Std1dot6bWed</t>
  </si>
  <si>
    <t>Std1dot6bThu</t>
  </si>
  <si>
    <t>Std1dot6bFri</t>
  </si>
  <si>
    <t>Std1dot6bSat</t>
  </si>
  <si>
    <t>Std1dot6cSun</t>
  </si>
  <si>
    <t>Std1dot6cMon</t>
  </si>
  <si>
    <t>Std1dot6cTue</t>
  </si>
  <si>
    <t>Std1dot6cWed</t>
  </si>
  <si>
    <t>Std1dot6cThu</t>
  </si>
  <si>
    <t>Std1dot6cFri</t>
  </si>
  <si>
    <t>Std1dot6cSat</t>
  </si>
  <si>
    <t>Std1Comments</t>
  </si>
  <si>
    <t>Std1TotalYes</t>
  </si>
  <si>
    <t>Std1TotalNo</t>
  </si>
  <si>
    <t>Std2dot1Comments</t>
  </si>
  <si>
    <t>Std2dot1NumberYes</t>
  </si>
  <si>
    <t>Std2dot1NumberNo</t>
  </si>
  <si>
    <t>Std2dot2Comments</t>
  </si>
  <si>
    <t>Std2dot2NumberYes</t>
  </si>
  <si>
    <t>Std2dot2NumberNo</t>
  </si>
  <si>
    <t>Std2TotalYes</t>
  </si>
  <si>
    <t>Std2TotalNo</t>
  </si>
  <si>
    <t>Std3dot1NotCalc</t>
  </si>
  <si>
    <t>Std3dot1Comments</t>
  </si>
  <si>
    <t>Std3dot1</t>
  </si>
  <si>
    <t>Std3dot2Comments</t>
  </si>
  <si>
    <t>Std3dot2</t>
  </si>
  <si>
    <t>Std3dot3Comments</t>
  </si>
  <si>
    <t>Std3dot3</t>
  </si>
  <si>
    <t>Std3TotalYes</t>
  </si>
  <si>
    <t>Std3TotalNo</t>
  </si>
  <si>
    <t>Std4dot1Comments</t>
  </si>
  <si>
    <t>Std4dot1NumberYes</t>
  </si>
  <si>
    <t>Std4dot1NumberNo</t>
  </si>
  <si>
    <t>Std4dot2Comments</t>
  </si>
  <si>
    <t>Std4dot2NumberYes</t>
  </si>
  <si>
    <t>Std4dot2NumberNo</t>
  </si>
  <si>
    <t>Std4dot3Comments</t>
  </si>
  <si>
    <t>Std4dot3NumberYes</t>
  </si>
  <si>
    <t>Std4dot3NumberNo</t>
  </si>
  <si>
    <t>Std4dot4Comments</t>
  </si>
  <si>
    <t>Std4dot4NumberYes</t>
  </si>
  <si>
    <t>Std4dot4NumberNo</t>
  </si>
  <si>
    <t>Std4TotalYes</t>
  </si>
  <si>
    <t>Std4TotalNo</t>
  </si>
  <si>
    <t>Std5dot1Comments</t>
  </si>
  <si>
    <t>Std5dot1NumberYes</t>
  </si>
  <si>
    <t>Std5dot1NumberNo</t>
  </si>
  <si>
    <t>Std5dot2Comments</t>
  </si>
  <si>
    <t>Std5dot2NumberYes</t>
  </si>
  <si>
    <t>Std5dot2NumberNo</t>
  </si>
  <si>
    <t>Std5dot3Comments</t>
  </si>
  <si>
    <t>Std5dot3NumberYes</t>
  </si>
  <si>
    <t>Std5dot3NumberNo</t>
  </si>
  <si>
    <t>Std5dot4Comments</t>
  </si>
  <si>
    <t>Std5dot4NumberYes</t>
  </si>
  <si>
    <t>Std5dot4NumberNo</t>
  </si>
  <si>
    <t>Std5TotalYes</t>
  </si>
  <si>
    <t>Std5TotalNo</t>
  </si>
  <si>
    <t>Std6dot1Comments</t>
  </si>
  <si>
    <t>Std6TotalYes</t>
  </si>
  <si>
    <t>Std6TotalNo</t>
  </si>
  <si>
    <t>NameOfDriver</t>
  </si>
  <si>
    <t>DrvLicClass</t>
  </si>
  <si>
    <t>LicApprprtVhclTyp</t>
  </si>
  <si>
    <t>LicIsCurrent</t>
  </si>
  <si>
    <t>Std1Score</t>
  </si>
  <si>
    <t>Std2Score</t>
  </si>
  <si>
    <t>Std3Score</t>
  </si>
  <si>
    <t>Std4Score</t>
  </si>
  <si>
    <t>Std5Score</t>
  </si>
  <si>
    <t>Std6Score</t>
  </si>
  <si>
    <t>OverallTotalYes</t>
  </si>
  <si>
    <t>OverallTotalNo</t>
  </si>
  <si>
    <t>OverallTotal</t>
  </si>
  <si>
    <t>OverallScore</t>
  </si>
  <si>
    <t>TotFinancialErrors</t>
  </si>
  <si>
    <t>TotAdminErrors</t>
  </si>
  <si>
    <t>SvcCode</t>
  </si>
  <si>
    <t>UnitsPdInError</t>
  </si>
  <si>
    <t>Vehicle</t>
  </si>
  <si>
    <t>LicPlateNumber</t>
  </si>
  <si>
    <t>VehicleType</t>
  </si>
  <si>
    <t>ProofOfIns</t>
  </si>
  <si>
    <t>RgstrtnIsCurrent</t>
  </si>
  <si>
    <t>ProofOfInsCorrActnTkn</t>
  </si>
  <si>
    <t>RgstrtnCorrActnTkn</t>
  </si>
  <si>
    <t>InspctnIsCurrent</t>
  </si>
  <si>
    <t>InspctnCorrActnTkn</t>
  </si>
  <si>
    <t>DocOfMaintRecs</t>
  </si>
  <si>
    <t>HdltsWork</t>
  </si>
  <si>
    <t>HdltsCorrActnTkn</t>
  </si>
  <si>
    <t>TlltsWork</t>
  </si>
  <si>
    <t>TlltsCorrActnTkn</t>
  </si>
  <si>
    <t>HtngWorks</t>
  </si>
  <si>
    <t>HtngCorrActnTkn</t>
  </si>
  <si>
    <t>AcWorks</t>
  </si>
  <si>
    <t>AcCorrActnTkn</t>
  </si>
  <si>
    <t>StBltsWork</t>
  </si>
  <si>
    <t>StBltsCorrActnTkn</t>
  </si>
  <si>
    <t>WhlChrTieDnsWork</t>
  </si>
  <si>
    <t>WhlChrTieDnsCorrActnTkn</t>
  </si>
  <si>
    <t>WhlChrLftWorks</t>
  </si>
  <si>
    <t>WhlChrLftCorrActnTkn</t>
  </si>
  <si>
    <t>EmployeeName</t>
  </si>
  <si>
    <t>ReqNumber</t>
  </si>
  <si>
    <t>IwpNumber</t>
  </si>
  <si>
    <t>SampleNumber</t>
  </si>
  <si>
    <t>IWP01</t>
  </si>
  <si>
    <t>IWP02</t>
  </si>
  <si>
    <t>IWP03</t>
  </si>
  <si>
    <t>ClientLastName</t>
  </si>
  <si>
    <t>ClientFirstName</t>
  </si>
  <si>
    <t>DtCompleted</t>
  </si>
  <si>
    <t>Std4ReferralDt</t>
  </si>
  <si>
    <t>Std4BeginDt</t>
  </si>
  <si>
    <t>Std4DtOfRcpt</t>
  </si>
  <si>
    <t>Std4FirstDayOfSvc</t>
  </si>
  <si>
    <t>Std4DtVblPhysOrdrs</t>
  </si>
  <si>
    <t>Std4DtWrtnPhysPhysOrdrs</t>
  </si>
  <si>
    <t>Std4DtForm3050</t>
  </si>
  <si>
    <t>Std4DtFrm3055SbmtdDadsNrse</t>
  </si>
  <si>
    <t>Std4DtXferFrmAnthrDahs</t>
  </si>
  <si>
    <t>Std4dot1aNotCalc</t>
  </si>
  <si>
    <t>Std4dot1bNotCalc</t>
  </si>
  <si>
    <t>Std4dot1a</t>
  </si>
  <si>
    <t>Std4dot1b</t>
  </si>
  <si>
    <t>Std4dot1</t>
  </si>
  <si>
    <t>Std4dot2NotCalc</t>
  </si>
  <si>
    <t>Std4dot2</t>
  </si>
  <si>
    <t>Std4dot3NotCalc</t>
  </si>
  <si>
    <t>Std4dot3a</t>
  </si>
  <si>
    <t>Std4dot3b</t>
  </si>
  <si>
    <t>Std4dot3c</t>
  </si>
  <si>
    <t>Std4dot3d</t>
  </si>
  <si>
    <t>Std4dot3</t>
  </si>
  <si>
    <t>Std4dot4a</t>
  </si>
  <si>
    <t>Std4dot4b</t>
  </si>
  <si>
    <t>Std4dot4</t>
  </si>
  <si>
    <t>Std5dot1</t>
  </si>
  <si>
    <t>Std5dot2Mo1Ans</t>
  </si>
  <si>
    <t>Std5dot2Mo1Dt</t>
  </si>
  <si>
    <t>Std5dot2Mo2Ans</t>
  </si>
  <si>
    <t>Std5dot2Mo2Dt</t>
  </si>
  <si>
    <t>Std5dot2</t>
  </si>
  <si>
    <t>Std5dot3Mo1Ans</t>
  </si>
  <si>
    <t>Std5dot3Mo1Dt</t>
  </si>
  <si>
    <t>Std5dot3Mo2Ans</t>
  </si>
  <si>
    <t>Std5dot3Mo2Dt</t>
  </si>
  <si>
    <t>Std5dot3</t>
  </si>
  <si>
    <t>Std5dot4Mo1Ans</t>
  </si>
  <si>
    <t>Std5dot4Mo1Dt</t>
  </si>
  <si>
    <t>Std5dot4Mo2Ans</t>
  </si>
  <si>
    <t>Std5dot4Mo2Dt</t>
  </si>
  <si>
    <t>Std5dot4</t>
  </si>
  <si>
    <t>Std6dot1</t>
  </si>
  <si>
    <t>IWP04</t>
  </si>
  <si>
    <t>IWP05</t>
  </si>
  <si>
    <t>IWP06</t>
  </si>
  <si>
    <t>IWP07</t>
  </si>
  <si>
    <t>IWP08</t>
  </si>
  <si>
    <t>IWP09</t>
  </si>
  <si>
    <t>IWP10</t>
  </si>
  <si>
    <t>IWP11</t>
  </si>
  <si>
    <t>IWP12</t>
  </si>
  <si>
    <t>IWP13</t>
  </si>
  <si>
    <t>IWP14</t>
  </si>
  <si>
    <t>IWP15</t>
  </si>
  <si>
    <t>IWP16</t>
  </si>
  <si>
    <t>IWP17</t>
  </si>
  <si>
    <t>IWP18</t>
  </si>
  <si>
    <t>IWP19</t>
  </si>
  <si>
    <t>IWP20</t>
  </si>
  <si>
    <t>IWP21</t>
  </si>
  <si>
    <t>IWP22</t>
  </si>
  <si>
    <t>IWP23</t>
  </si>
  <si>
    <t>IWP24</t>
  </si>
  <si>
    <t>IWP25</t>
  </si>
  <si>
    <t>IWP26</t>
  </si>
  <si>
    <t>IWP27</t>
  </si>
  <si>
    <t>IWP28</t>
  </si>
  <si>
    <t>IWP29</t>
  </si>
  <si>
    <t>IWP30</t>
  </si>
  <si>
    <t>BillingPeriod</t>
  </si>
  <si>
    <t>WeekNumber</t>
  </si>
  <si>
    <t>BeginDt</t>
  </si>
  <si>
    <t>EndDt</t>
  </si>
  <si>
    <t>SundayHrs</t>
  </si>
  <si>
    <t>SundayUnits</t>
  </si>
  <si>
    <t>MondayHrs</t>
  </si>
  <si>
    <t>MondayUnits</t>
  </si>
  <si>
    <t>TuesdayHrs</t>
  </si>
  <si>
    <t>TuesdayUnits</t>
  </si>
  <si>
    <t>WednesdayHrs</t>
  </si>
  <si>
    <t>WednesdayUnits</t>
  </si>
  <si>
    <t>ThursdayHrs</t>
  </si>
  <si>
    <t>ThursdayUnits</t>
  </si>
  <si>
    <t>FridayHrs</t>
  </si>
  <si>
    <t>FridayUnits</t>
  </si>
  <si>
    <t>SaturdayHrs</t>
  </si>
  <si>
    <t>SaturdayUnits</t>
  </si>
  <si>
    <t>DocWklyUnits</t>
  </si>
  <si>
    <t>AuthWklyUnits</t>
  </si>
  <si>
    <t>VerifiedUnits</t>
  </si>
  <si>
    <t>UnitsPaid</t>
  </si>
  <si>
    <t>UnitsWthAdminErrors</t>
  </si>
  <si>
    <t>TotalNumVehicles</t>
  </si>
  <si>
    <t>AB:</t>
  </si>
  <si>
    <t>CD:</t>
  </si>
  <si>
    <t>IV.4</t>
  </si>
  <si>
    <t>Date of Exit</t>
  </si>
  <si>
    <t>(Last day on-site)</t>
  </si>
  <si>
    <t>3. If referred by a caseworker, did the facility nurse complete all required activities within fourteen calendar days after the referral date?</t>
  </si>
  <si>
    <t>• If overarching question IV.1a is “N”, select “N”. Continue to Standard V.
• If overarching question IV.1a is “Y”, continue to overarching question IV.1b</t>
  </si>
  <si>
    <t>• If overarching question IV.1b is “N”, select “N”. Continue to Standard IV.2
• If overarching question IV.1b is “Y”, verify the facility nurse completed required activities within the required timeframes</t>
  </si>
  <si>
    <t>OVERARCHING QUESTION                                                                              Did the individual transfer to the facility from another DAHS facility?</t>
  </si>
  <si>
    <t>OVERARCHING QUESTION                                                                              Was the individual referred to the DAHS by a caseworker?</t>
  </si>
  <si>
    <t>• If overarching question IV.3 is “N”, select “N”. Continue to Standard IV.4
• If overarching question IV.3 is “Y”, verify the facility nurse completed required activities within the required timeframe. Select “NA” for Standard IV.4.</t>
  </si>
  <si>
    <t>Vehicle D</t>
  </si>
  <si>
    <t>Vehicle E</t>
  </si>
  <si>
    <t>Vehicle F</t>
  </si>
  <si>
    <t>Vehicle G</t>
  </si>
  <si>
    <t>Vehicle H</t>
  </si>
  <si>
    <t>Vehicle I</t>
  </si>
  <si>
    <t>Vehicle J</t>
  </si>
  <si>
    <t>Vehicle K</t>
  </si>
  <si>
    <t>Vehicle L</t>
  </si>
  <si>
    <t>XdahsMonitoringWbk1</t>
  </si>
  <si>
    <t>XdahsMonWbkStd3dot2Drivers</t>
  </si>
  <si>
    <t>XdahsVehicleChkList</t>
  </si>
  <si>
    <t>XdahsEmployeeReqs</t>
  </si>
  <si>
    <t>XdahsIwpData</t>
  </si>
  <si>
    <t>XdahsIwpUnitsOfSvcTotals</t>
  </si>
  <si>
    <t>XdahsIwpUnitsOfSvc</t>
  </si>
  <si>
    <t>Std4DtFrm3050SbmtdDdsNrse</t>
  </si>
  <si>
    <t>III.1</t>
  </si>
  <si>
    <t>ContractType</t>
  </si>
  <si>
    <t>SpreadsheetInfo</t>
  </si>
  <si>
    <t>ContractNumbers</t>
  </si>
  <si>
    <t>ClientId</t>
  </si>
  <si>
    <t>No. of Units</t>
  </si>
  <si>
    <t>XdahsComplianceSummary</t>
  </si>
  <si>
    <t>DtOfExit</t>
  </si>
  <si>
    <t>Contract Monitoring Claims Report Billing Period 1:</t>
  </si>
  <si>
    <t>Contract Monitoring Claims Report Billing Period 2:</t>
  </si>
  <si>
    <t>For items 1-3, 5-11, marked "N", notify the contractor of needed repairs/corrections.  The contractor is to take immediate corrective action to ensure the health and safety of individuals.  All repairs/corrections are to be initiated prior to the exit conference.</t>
  </si>
  <si>
    <t>Dates of Monitoring Period</t>
  </si>
  <si>
    <t>OVERARCHING QUESTION
Did the individual begin attending the DAHS during the monitoring period?</t>
  </si>
  <si>
    <t>Dates of Fiscal Review</t>
  </si>
  <si>
    <t>First Month</t>
  </si>
  <si>
    <t>Second Month</t>
  </si>
  <si>
    <t>Individual ID</t>
  </si>
  <si>
    <t>Record Review Period 
Begin Date</t>
  </si>
  <si>
    <t>Record Review Period
End Date</t>
  </si>
  <si>
    <t>Individual ID Number</t>
  </si>
  <si>
    <t>• Randomly select one week within the last month of the review period.</t>
  </si>
  <si>
    <t xml:space="preserve">1. Did each unlicensed employee that provides direct delivery services maintain certification in CPR for the entire monitoring period? </t>
  </si>
  <si>
    <t>(Revised)</t>
  </si>
  <si>
    <t>DtOfExitRevised</t>
  </si>
  <si>
    <t>3a. Does the contractor have a written process for screening employees and contractors for exclusion from participation in Medicare, Medicaid, the State Children’s Health Insurance Program and all Federal health care programs:</t>
  </si>
  <si>
    <t xml:space="preserve">      •    The date(s) of the searches</t>
  </si>
  <si>
    <t xml:space="preserve">      •     first and last names and date of birth of all employees and contractors subject </t>
  </si>
  <si>
    <t xml:space="preserve">      •     whether or not the employee/contractor appeared in databases</t>
  </si>
  <si>
    <t xml:space="preserve">      •     copy of self report; and</t>
  </si>
  <si>
    <t xml:space="preserve">      •     printed name(s) and signature of staff responsible for completing the searches</t>
  </si>
  <si>
    <t>Std1dot3b</t>
  </si>
  <si>
    <t>2. For each unlicensed employee, were background checks resulting in no bars to employment conducted within the required timeframe?</t>
  </si>
  <si>
    <t>My Signature certifies the dates provided in column B are correct and that the supporting documentation provided for hire date/first date of service, CPR certification and DPS, EMR and NAR checks is complete and correct.</t>
  </si>
  <si>
    <t xml:space="preserve">C. </t>
  </si>
  <si>
    <t xml:space="preserve">DPS Check(s) Completed Within Timeframe </t>
  </si>
  <si>
    <t xml:space="preserve">NAR Check(s) Completed Within Timeframe </t>
  </si>
  <si>
    <t xml:space="preserve">EMR Check(s) Completed Within Timeframe </t>
  </si>
  <si>
    <t>Week 6</t>
  </si>
  <si>
    <t>Less than 3 hours = 0              Three hours but less than six = 1 Unit       Six hours or more = 2 Units</t>
  </si>
  <si>
    <t xml:space="preserve">      o   Select one month within the monitoring period and ask the contractor to provide evidence of LEIE checks conducted for that month;</t>
  </si>
  <si>
    <t>(Last day on-Site)</t>
  </si>
  <si>
    <t>Complete columns A-I by entering original payment information from Contract Monitoring Claims Report
For each individual listed below, enter "N" for the applicable billing standard.</t>
  </si>
  <si>
    <t>I/H</t>
  </si>
  <si>
    <t>Amount Paid</t>
  </si>
  <si>
    <t>H-K</t>
  </si>
  <si>
    <t>L x J</t>
  </si>
  <si>
    <r>
      <t>Column B</t>
    </r>
    <r>
      <rPr>
        <sz val="9"/>
        <color theme="1"/>
        <rFont val="Arial"/>
        <family val="2"/>
      </rPr>
      <t>:</t>
    </r>
    <r>
      <rPr>
        <b/>
        <sz val="9"/>
        <color theme="1"/>
        <rFont val="Arial"/>
        <family val="2"/>
      </rPr>
      <t xml:space="preserve"> </t>
    </r>
    <r>
      <rPr>
        <sz val="9"/>
        <color theme="1"/>
        <rFont val="Arial"/>
        <family val="2"/>
      </rPr>
      <t>Enter each unlicensed employee’s date of hire, or if later, first date of service to any individual served by the contractor</t>
    </r>
  </si>
  <si>
    <r>
      <t>Column A</t>
    </r>
    <r>
      <rPr>
        <sz val="9"/>
        <color theme="1"/>
        <rFont val="Arial"/>
        <family val="2"/>
      </rPr>
      <t>: Enter the names of the first 30 unlicensed employees listed on the roster</t>
    </r>
    <r>
      <rPr>
        <b/>
        <sz val="9"/>
        <color theme="1"/>
        <rFont val="Arial"/>
        <family val="2"/>
      </rPr>
      <t>.</t>
    </r>
    <r>
      <rPr>
        <sz val="9"/>
        <color theme="1"/>
        <rFont val="Arial"/>
        <family val="2"/>
      </rPr>
      <t xml:space="preserve"> </t>
    </r>
  </si>
  <si>
    <t xml:space="preserve">No Bars - Employee is Employable </t>
  </si>
  <si>
    <t>Employee Maintained Certification in CPR for the entire monitoring period</t>
  </si>
  <si>
    <t>DtMonitoringPdBgn</t>
  </si>
  <si>
    <t>DtMonitoringPdEnd</t>
  </si>
  <si>
    <t>DtFiscalRvwFirst</t>
  </si>
  <si>
    <t>DtFiscalRvwSecond</t>
  </si>
  <si>
    <t>NoBarsToEmplmnt</t>
  </si>
  <si>
    <t>DpsChksCmplInTmFrm</t>
  </si>
  <si>
    <t>NarChksCmplInTmFrm</t>
  </si>
  <si>
    <t>EmrChksCmplInTmFrm</t>
  </si>
  <si>
    <t>Std2Dot1</t>
  </si>
  <si>
    <t>Std2Dot2</t>
  </si>
  <si>
    <t>CprCertLst12Mo</t>
  </si>
  <si>
    <t>DtOfHire</t>
  </si>
  <si>
    <t>DtOfHireInRvwPrd</t>
  </si>
  <si>
    <t>DtChkDps</t>
  </si>
  <si>
    <t>DtChkEmr</t>
  </si>
  <si>
    <t>DtChkNar</t>
  </si>
  <si>
    <t>ChksComplInTimeFrm</t>
  </si>
  <si>
    <t>Standard Number</t>
  </si>
  <si>
    <t>Comments</t>
  </si>
  <si>
    <t>Column C - Lesser Amt = Verified Units: For each week compare the billing period sum of Column A to the billing period sum of Column B and enter the amount that is less. For each week transfer the amount in Column C to the DAHS Monitoring Workbook Demand for Payment Notice, Column K.</t>
  </si>
  <si>
    <t>(Demand for Payment Notice, sum Column M)</t>
  </si>
  <si>
    <t xml:space="preserve">1.  Does the individual’s Individual Service Plan match the medications/treatments/special diet as indicated on the most recent Physician’s Orders?
</t>
  </si>
  <si>
    <t>V.1. Does the individual’s Individual Service Plan match the medications/treatments/special diet as indicated on the most recent Physician’s Orders?</t>
  </si>
  <si>
    <t>G) Date of Form 3049:</t>
  </si>
  <si>
    <t>I) Date of Form 3050:</t>
  </si>
  <si>
    <t>L) Date of transfer from another DAHS:</t>
  </si>
  <si>
    <t>3. Is the attendant paid the required minimum hourly wage?</t>
  </si>
  <si>
    <t>H.</t>
  </si>
  <si>
    <t>Personal Attendant Paid Required Minimum Base Wage?</t>
  </si>
  <si>
    <t>•  If special treatments, monitoring or intervention are indicated, review documentation (e.g., service delivery notes, nursing progress notes) for the last two months of service delivery during the record review period to verify all selected tasks were provided.</t>
  </si>
  <si>
    <t>• If personal care assistance tasks are indicated, review documentation (e.g., service delivery notes, nursing progress notes) for the last two months of service delivery during the record review period to verify all selected tasks were provided</t>
  </si>
  <si>
    <t>Select two months from the six month service delivery record review period.  For the selected two months complete UNITS OF SERVICE Tables  to answer Standard VI.1</t>
  </si>
  <si>
    <t>Std4DtForm3049</t>
  </si>
  <si>
    <t>Std4DtFrm3049SbmtdDdsNrse</t>
  </si>
  <si>
    <t>Std5NotCalc</t>
  </si>
  <si>
    <t>Std1dot7</t>
  </si>
  <si>
    <t>Std2dot3Comments</t>
  </si>
  <si>
    <t>Std2dot3NumberYes</t>
  </si>
  <si>
    <t>Std2dot3NumberNo</t>
  </si>
  <si>
    <t>PersAttndtPaidReqMinWage</t>
  </si>
  <si>
    <t>Posting Date</t>
  </si>
  <si>
    <t>7.  Does the contractor have a process to notify personal attendants hired on or after September 1, 2013 within three days of hire of the requirement minimum wage?</t>
  </si>
  <si>
    <t xml:space="preserve">OVERARCHING QUESTION                                                                      </t>
  </si>
  <si>
    <t>Not calculated
in score</t>
  </si>
  <si>
    <r>
      <t xml:space="preserve">Does the facility provide or sub-contract transportation services?
</t>
    </r>
    <r>
      <rPr>
        <sz val="10"/>
        <color theme="1"/>
        <rFont val="Arial"/>
        <family val="2"/>
      </rPr>
      <t>• Select Y if the facility provides and/or subcontracts transportation services
• Select N if the facility only uses public transportation</t>
    </r>
  </si>
  <si>
    <t>• If overarching question III.1 is “Y” because the facility provides transportation, complete Standards III.1 and III.2 and mark Standard III.3 "NA"
• If overarching question III.1 is “Y” because the facility subcontracts transportation, select "NA" for Standards III.1 and III.2. Continue to Standard III.3.</t>
  </si>
  <si>
    <t>• If overarching question III.1 is “Y” because the facility both provides transportation and subcontracts transportation, complete Standards III.1-3.
• If overarching question III.1 is "N" because the facility uses public transportation only, select "NA" for Standards III.1-3.</t>
  </si>
  <si>
    <t>III.1.a</t>
  </si>
  <si>
    <t>If Overarching III.1 is "Y", did the facility provide transportation, subcontract or both?</t>
  </si>
  <si>
    <t>1. Are complaints documented, investigated and resolved within thirty days from the receipt of the complaint?</t>
  </si>
  <si>
    <t>• the finding of the investigation; and</t>
  </si>
  <si>
    <t>• resolution of the complaint</t>
  </si>
  <si>
    <t>Review the contractor’s log of complaints to verify each of the following:</t>
  </si>
  <si>
    <r>
      <rPr>
        <b/>
        <sz val="8"/>
        <color rgb="FF000000"/>
        <rFont val="Arial"/>
        <family val="2"/>
      </rPr>
      <t>Reference:</t>
    </r>
    <r>
      <rPr>
        <sz val="8"/>
        <color rgb="FF000000"/>
        <rFont val="Arial"/>
        <family val="2"/>
      </rPr>
      <t xml:space="preserve"> 40 TAC §49.309 Complaint Process</t>
    </r>
  </si>
  <si>
    <t>2a. Does the contractor have a policy/procedure for reporting and investigating an allegation of abuse, neglect and exploitation regarding an individual?</t>
  </si>
  <si>
    <t>Review the contractor's policy and procedures related to ANE to verify compliance with the required elements:</t>
  </si>
  <si>
    <t>• comply with applicable laws and rules governing services provided under the contract;</t>
  </si>
  <si>
    <t>• require the contractor to report an allegation to ANE to the appropriate investigative authority;</t>
  </si>
  <si>
    <t>• ensure the contractor's employees, subcontractors, and volunteers are knowledgeable of:</t>
  </si>
  <si>
    <t>• acts that constitute ANE, how to report and methods to prevent the occurrence of ANE; and</t>
  </si>
  <si>
    <t>• prohibit the contractor from discharging or retaliating against an individual, employee, subcontractor, volunteer or others.</t>
  </si>
  <si>
    <t>2b. At least annually, did the contractor review incidents of confirmed abuse, neglect or exploitation of which they are notified and identify program process improvements that will prevent reoccurrence and improve service delivery?</t>
  </si>
  <si>
    <r>
      <rPr>
        <b/>
        <sz val="8"/>
        <color rgb="FF000000"/>
        <rFont val="Arial"/>
        <family val="2"/>
      </rPr>
      <t>Reference:</t>
    </r>
    <r>
      <rPr>
        <sz val="8"/>
        <color rgb="FF000000"/>
        <rFont val="Arial"/>
        <family val="2"/>
      </rPr>
      <t xml:space="preserve"> 40 TAC §49.304 Background Checks</t>
    </r>
  </si>
  <si>
    <r>
      <t xml:space="preserve">Reference: </t>
    </r>
    <r>
      <rPr>
        <sz val="8"/>
        <color theme="1"/>
        <rFont val="Arial"/>
        <family val="2"/>
      </rPr>
      <t>40 TAC §49.312 Personal Attendants</t>
    </r>
  </si>
  <si>
    <r>
      <rPr>
        <b/>
        <sz val="8"/>
        <color theme="1"/>
        <rFont val="Arial"/>
        <family val="2"/>
      </rPr>
      <t>Reference:</t>
    </r>
    <r>
      <rPr>
        <sz val="8"/>
        <color theme="1"/>
        <rFont val="Arial"/>
        <family val="2"/>
      </rPr>
      <t xml:space="preserve"> 40 TAC §49.304 Background Checks; 40 TAC §93 Employee Misconduct Registry; Chapter 250 Health and Safety Code §250.003 Nurse Aide Registry and Criminal History Checks of Employees and Applicants for Employment in Certain Facilities Serving the Elderly or Persons with Disabilities; 40 TAC §98.61 General Requirements</t>
    </r>
  </si>
  <si>
    <t>(See Individual Work Papers for items V.1 – V.6)</t>
  </si>
  <si>
    <t>5. The individual and LAR were informed, orally and in writing, of how to report complaints and allegations of abuse, neglect, or exploitation before service initiation?</t>
  </si>
  <si>
    <t>6.  The individual and LAR were informed, orally and in writing, of how to report complaints and allegations of abuse, neglect, or exploitation at least once every 12 months? (Effective 9/1/2014)</t>
  </si>
  <si>
    <t>V.5 The individual and LAR were informed, orally and in writing, of how to report complaints and allegations of abuse, neglect, or exploitation before service initiation?</t>
  </si>
  <si>
    <t>V.6 The individual and LAR were informed, orally and in writing, of how to report complaints and allegations of abuse, neglect, or exploitation at least once every 12 months? (Effective 9/1/2014)</t>
  </si>
  <si>
    <t>• Select "Y" if notice was given within 12 months of previous notice</t>
  </si>
  <si>
    <t>o Select “Y” if the individual is listed on the Demand for Payment Notice, Column M, and the contractor provides evidence that the amount in Column M was negative billed and successfully processed and finalized prior to receiving the sample.</t>
  </si>
  <si>
    <t>o A payment amount indicated in Column M was not negative billed and successfully processed and finalized prior to receiving the sample</t>
  </si>
  <si>
    <t>Std5dot5NumberYes</t>
  </si>
  <si>
    <t>Std5dot5NumberNo</t>
  </si>
  <si>
    <t>Std5dot6NumberYes</t>
  </si>
  <si>
    <t>Std5dot6NumberNo</t>
  </si>
  <si>
    <t>Std5dot5</t>
  </si>
  <si>
    <t>Std5dot6</t>
  </si>
  <si>
    <r>
      <rPr>
        <b/>
        <sz val="8"/>
        <color rgb="FF000000"/>
        <rFont val="Arial"/>
        <family val="2"/>
      </rPr>
      <t>Reference:</t>
    </r>
    <r>
      <rPr>
        <sz val="8"/>
        <color rgb="FF000000"/>
        <rFont val="Arial"/>
        <family val="2"/>
      </rPr>
      <t xml:space="preserve"> 40 TAC §49.310, Abuse, Neglect, and Exploitation Allegations</t>
    </r>
  </si>
  <si>
    <r>
      <rPr>
        <b/>
        <sz val="8"/>
        <color rgb="FF000000"/>
        <rFont val="Arial"/>
        <family val="2"/>
      </rPr>
      <t>Reference:</t>
    </r>
    <r>
      <rPr>
        <sz val="8"/>
        <color rgb="FF000000"/>
        <rFont val="Arial"/>
        <family val="2"/>
      </rPr>
      <t xml:space="preserve"> 40 TAC §49.304 Background Checks; 40 TAC §49.305 Records</t>
    </r>
  </si>
  <si>
    <r>
      <rPr>
        <b/>
        <sz val="8"/>
        <color rgb="FF000000"/>
        <rFont val="Arial"/>
        <family val="2"/>
      </rPr>
      <t xml:space="preserve">Reference: </t>
    </r>
    <r>
      <rPr>
        <sz val="8"/>
        <color rgb="FF000000"/>
        <rFont val="Arial"/>
        <family val="2"/>
      </rPr>
      <t>40 TAC §49.310, Abuse, Neglect, and Exploitation Allegations</t>
    </r>
  </si>
  <si>
    <t>• Mark "NA" if the contractor has not been notified of any confirmed incidents of abuse, neglect, or exploitation on or after 09/01/2014</t>
  </si>
  <si>
    <t>• Mark "NA" if the contractor was notified of confirmed abuse neglect, or exploitation on or after 09/01/2014; however, the annual review is not yet due</t>
  </si>
  <si>
    <t>• Mark "Y" if the contractor has been notified of confirmed incidents of abuse, neglect, or exploitation on or after 09/01/2014 and, at least annually, identified program process improvements to prevent reoccurrence and improve service delivery</t>
  </si>
  <si>
    <r>
      <rPr>
        <b/>
        <sz val="8"/>
        <color theme="1"/>
        <rFont val="Arial"/>
        <family val="2"/>
      </rPr>
      <t>Reference:</t>
    </r>
    <r>
      <rPr>
        <sz val="8"/>
        <color theme="1"/>
        <rFont val="Arial"/>
        <family val="2"/>
      </rPr>
      <t xml:space="preserve">  40 TAC §49.309 Complaint Process; 40 TAC §49.310 Abuse, Neglect, and Exploitation Allegations</t>
    </r>
  </si>
  <si>
    <t>Std1dot2a</t>
  </si>
  <si>
    <t>Std1dot2b</t>
  </si>
  <si>
    <t>Std1dot3a</t>
  </si>
  <si>
    <t>Std3dot1a</t>
  </si>
  <si>
    <t>Std5dot5Comments</t>
  </si>
  <si>
    <t>Std5dot6Comments</t>
  </si>
  <si>
    <t>• Select "NA" if individual entered services during monitoring period, and annual notice was not yet due
• Select "NA" if individual entered services prior to 9/1/2014 and annual notice is not yet due</t>
  </si>
  <si>
    <t>ICN</t>
  </si>
  <si>
    <r>
      <rPr>
        <b/>
        <sz val="8"/>
        <color theme="1"/>
        <rFont val="Arial"/>
        <family val="2"/>
      </rPr>
      <t>Reference:</t>
    </r>
    <r>
      <rPr>
        <sz val="8"/>
        <color theme="1"/>
        <rFont val="Arial"/>
        <family val="2"/>
      </rPr>
      <t xml:space="preserve">   40 TAC §98.204,  DAHS Facility-Initiated Referrals; DAHS Handbook Section 5213-Individual Service Plan</t>
    </r>
  </si>
  <si>
    <r>
      <rPr>
        <b/>
        <sz val="8"/>
        <color theme="1"/>
        <rFont val="Arial"/>
        <family val="2"/>
      </rPr>
      <t>Reference:</t>
    </r>
    <r>
      <rPr>
        <sz val="8"/>
        <color theme="1"/>
        <rFont val="Arial"/>
        <family val="2"/>
      </rPr>
      <t xml:space="preserve">   40 TAC §98.204,  DAHS Facility-Initiated Referrals; DAHS Provider Manual Sections 5211 Health Assessment and 5821-Health Assessment before Transfer</t>
    </r>
  </si>
  <si>
    <r>
      <rPr>
        <b/>
        <sz val="8"/>
        <color theme="1"/>
        <rFont val="Arial"/>
        <family val="2"/>
      </rPr>
      <t>Reference:</t>
    </r>
    <r>
      <rPr>
        <sz val="8"/>
        <color theme="1"/>
        <rFont val="Arial"/>
        <family val="2"/>
      </rPr>
      <t xml:space="preserve">  40 TAC §49.311 Claims Payment; 40 TAC §98.210, Financial Errors; 40 TAC §98.211, Billing and Payment; Information Letter 11-27, DAHS Services in Mexico; IL 11-146, Transportation Log and Billable Activities</t>
    </r>
  </si>
  <si>
    <t>1.  HHSC did not identify a financial error?</t>
  </si>
  <si>
    <t>If “N” for any day, make a referral to HHSC,CRS: 1-800-458-9858</t>
  </si>
  <si>
    <t>H) Date Form 3049 submitted to HHSC Regional Nurse:</t>
  </si>
  <si>
    <t>J) Date Form 3050 submitted to HHSC Regional Nurse:</t>
  </si>
  <si>
    <t>K) Date Form 3055 submitted to HHSC Regional Nurse:</t>
  </si>
  <si>
    <t>VI.1. HHSC did not identify a financial error?</t>
  </si>
  <si>
    <t>Column D - Units Paid: Refer to the Contract Monitoring Claims Report and for each week enter the number of units paid by HHSC.</t>
  </si>
  <si>
    <t>Column E - Units Paid in Error (Financial): Column C minus Column D. If a (-) value, HHSC was over-billed. For each week transfer the amount in Column E to the DAHS Monitoring Workbook Demand for Payment Notice, Column L.</t>
  </si>
  <si>
    <t>AMOUNTS DUE TO HHSC</t>
  </si>
  <si>
    <t>To offset the TOTAL FINANCIAL ERRORS amount due to HHSC, the contractor must submit negative bills (by individual) as indicated below within 60 calendar days from the date of the exit conference or if applicable, the date the contractor receives Form 5997, Notice of Monitoring Results.</t>
  </si>
  <si>
    <t>Amount Due to HHSC</t>
  </si>
  <si>
    <r>
      <rPr>
        <b/>
        <sz val="8"/>
        <color theme="1"/>
        <rFont val="Arial"/>
        <family val="2"/>
      </rPr>
      <t>Reference:</t>
    </r>
    <r>
      <rPr>
        <sz val="8"/>
        <color theme="1"/>
        <rFont val="Arial"/>
        <family val="2"/>
      </rPr>
      <t xml:space="preserve">  40 TAC §98.206, Program Requirements; Information Letter No. 15-64</t>
    </r>
  </si>
  <si>
    <r>
      <rPr>
        <b/>
        <sz val="8"/>
        <color theme="1"/>
        <rFont val="Arial"/>
        <family val="2"/>
      </rPr>
      <t>Reference:</t>
    </r>
    <r>
      <rPr>
        <sz val="8"/>
        <color theme="1"/>
        <rFont val="Arial"/>
        <family val="2"/>
      </rPr>
      <t xml:space="preserve"> 40 TAC §98.206, Program Requirements; Information Letter No. 15-64</t>
    </r>
  </si>
  <si>
    <r>
      <t xml:space="preserve">Reference:  </t>
    </r>
    <r>
      <rPr>
        <sz val="8"/>
        <color theme="1"/>
        <rFont val="Arial"/>
        <family val="2"/>
      </rPr>
      <t>40 TAC §98.206, Program Requirements; Information Letter No. 15-64</t>
    </r>
  </si>
  <si>
    <t>A) Referral Date (Form 2101, item 1):</t>
  </si>
  <si>
    <t>B) Begin Date (Form 2101, item 4):</t>
  </si>
  <si>
    <t>D) First Day of Service (Form 3683):</t>
  </si>
  <si>
    <t>C) Date of Receipt of Form 2101:</t>
  </si>
  <si>
    <t>E) Date of verbal physician’s orders (Form 3055):</t>
  </si>
  <si>
    <t>F) Date of written physician’s orders (Form 3055):</t>
  </si>
  <si>
    <t>• If overarching question IV.2 is “N”, select “N”. Continue to Standard IV.3
• If overarching question IV.2 is “Y”, verify the Health Assessment/individual Service Plan (Form 3050) was completed as required</t>
  </si>
  <si>
    <t>a.    Was the first day of service within seven calendar days after the begin date (Form 2101, item 4)?</t>
  </si>
  <si>
    <r>
      <t xml:space="preserve">OVERARCHING QUESTION
Should the individual have been assessed using the Health Assessment (Form 3049) and Individual Service Plan (Form 3050) or Health Assessment/Individual Service Plan (Form 3050) with a revision date of 10/2013 or later?
     • </t>
    </r>
    <r>
      <rPr>
        <sz val="10"/>
        <color theme="1"/>
        <rFont val="Arial"/>
        <family val="2"/>
      </rPr>
      <t>Select "N" if the record review period ends prior to June 2014 and the individual has not been assessed using Form 3049 and Form 3050.
     • Select "Y" if the individual's initial assessment was on or after 10/30/2013
     • Select "Y" if the record review period includes June 2014 or later
     • Select "Y" if the new forms were utilized even if the review period is prior to June 2014
     • If overarching response is "N", then standards V.1, V.3 and V.4 should be marked "NA".</t>
    </r>
  </si>
  <si>
    <t>• Select “NA” if the individual transferred to the facility from another DAHS facility prior to 10/15/2015. Continue to Standard V.2.
• Select "NA" if the Overarching Question is "N". Continue to Standard V.2.
• Select "N" if Overarching question is "Y" however the Form 3050 with a revision date 10/2013 or later was not utilized</t>
  </si>
  <si>
    <r>
      <t xml:space="preserve">• Compare the individual’s Health Assessment/Individual Service Plan (Form 3050) effective the last two months of service delivery during the record review period to the applicable Physician’s Orders (Form 3055). If Form 3050 was revised during the last two months of service delivery during the record review period, review both Form 3050s to the applicable Physician’s Orders (Form 3055).
    </t>
    </r>
    <r>
      <rPr>
        <b/>
        <sz val="10"/>
        <color theme="1"/>
        <rFont val="Arial"/>
        <family val="2"/>
      </rPr>
      <t xml:space="preserve"> Note:</t>
    </r>
    <r>
      <rPr>
        <sz val="10"/>
        <color theme="1"/>
        <rFont val="Arial"/>
        <family val="2"/>
      </rPr>
      <t xml:space="preserve"> if one of the two months being reviewed is prior to the individual’s reassessment using Form 3050 with a revision date of 10/2013 or later, review only the month that the revised Form 3050 was in use.</t>
    </r>
  </si>
  <si>
    <t>• Select "N" if Overarching Question is "Y", however the Form 3050 with a revision date 10/2013 or later was not utilized
Form 3050 with revision date 10/2013 or later: See Form 3050 Section III, item B. Medications to be Administered at DAHS by the DAHS RN or LVN: or
Form 3050 Section IV, item G. Assistance with Self-Administer Medication While Attending DAHS by the DAHS RN or LVN (effective 10/15/2015).
• Select “NA” if Form 3050 Section III, item B indicates no medications to be administered at DAHS by the DAHS RN or LVN (on or prior to 10/14/2015) or Form 3050 Section IV, item G, Assistance with Self-Administer Medication While Attending DAHS by the DAHS RN/LVN (effective 10/15/2015).  Continue to Standard V.3.</t>
  </si>
  <si>
    <t>See Form 3050 Section III.A Special Treatments, Monitoring, Intervention ordered by the physician to be Administered at DAHS (on or prior to 10/14/2015): or
See Form 3055 Section V. Ordered Treatments, Monitoring, Intervention ordered by the physician to be administered at DAHS (effective 10/15/2015).
     •  Select "NA" if Overarching Question is "N"
     •  Select “NA” if no special treatments, monitoring or intervention is required while at the facility. Continue to Standard V.4.
     •  Select "N" if Overarching Question is "Y", however the Form 3050 or Form 3055 with a revision date 10/2013 or later was not utilized</t>
  </si>
  <si>
    <t>Column A - Doc Wkly Units: Sum the number of units documented per week in rows 1-5, sum for the billing period (Form 3683/Form 3682).</t>
  </si>
  <si>
    <t>Column B - Auth Wkly Units: Enter the number of units authorized per week in rows 1-5 , sum for the billing period (Form 2101, item 18)</t>
  </si>
  <si>
    <t>3b. Does the contractor conduct or contract with an entity to conduct monthly searches of the federal and state List of Excluded Individuals/Entities for all employees and contractors and document:</t>
  </si>
  <si>
    <t>1. If the facility provides transportation, are the vehicle(s) used to transport individuals properly insured and maintained?</t>
  </si>
  <si>
    <t>2. If the individual transferred from another DAHS facility, was the Health Assessment/Individual Service Plan completed by the facility nurse on or before the date of transfer?</t>
  </si>
  <si>
    <t>3. Were special treatments, monitoring or intervention provided in accordance with the individual’s Individual Service Plan (on or prior to 10/14/2015) or Physician's Orders (effective 10/15/2015 or later)?</t>
  </si>
  <si>
    <t>4.  Was personal care assistance provided in accordance with the individual’s Individual Service Plan?</t>
  </si>
  <si>
    <t>OVERARCHING QUESTION
Did the individual enter the facility as a facility-initiated referral?</t>
  </si>
  <si>
    <t>a. Did the facility nurse (RN or LVN) complete the Health Assessment (Form 3049) and Individual Service Plan (Form 3050) or Health Assessment/Individual Service Plan (Form 3050) and obtain physician's orders (verbal or written) on or before the date services were initiated?
     • 10/30/2013 through 10/14/2015: Health Assessment (Form 3049) and Individual Service Plan (Form 3050) or Health Assessment/Individual Service Plan (Form 3050)
     • Effective 10/15/2015: Physician's Orders (Form 3055) and Health Assessment/Individual Service Plan (Form 3050)</t>
  </si>
  <si>
    <t>b. Did the facility submit the Health Assessment/Individual Service Plan (Form 3050) and Physician's Orders (Form 3055) to the HHSC regional nurse within 30 calendar days after the date of the initial physician’s orders (whether verbal or written)?
     • 10/30/2013 through 10/14/2015: Health Assessment (Form 3049) and Individual Service Plan (Form 3050) or Health Assessment/Individual Service Plan (Form 3050)
     • Effective 10/15/2015: Physician's Orders (Form 3055) and Health Assessment/Individual Service Plan (Form 3050)</t>
  </si>
  <si>
    <r>
      <t xml:space="preserve">IV. 2. If the individual transferred from another DAHS facility, was the Health Assessment (Form 3049) or Health Assessment/Individual Service Plan (Form 3050) completed by the facility nurse on or before the date of transfer?
</t>
    </r>
    <r>
      <rPr>
        <sz val="10"/>
        <color theme="1"/>
        <rFont val="Arial"/>
        <family val="2"/>
      </rPr>
      <t xml:space="preserve">     • 10/30/2013 through 10/14/2015: Health Assessment (Form 3049) and Individual Service Plan (Form 3050) or Health Assessment/Individual Service Plan (Form 3050)
     • Effective 10/15/2015: Physician's Orders (Form 3055) and Health Assessment/Individual Service Plan (Form 3050)</t>
    </r>
  </si>
  <si>
    <t>a. Was the Health Assessment (Form 3049) or Health Assessment/Individual Service Plan (Form 3050) completed within 14 calendar days after the referral date (Form 2101, item 1) or the date the facility received the Form 2101 as indicated by date stamp; whichever is later?
     • 10/30/2013 through 10/14/2015: Health Assessment (Form 3049) and Individual Service Plan (Form 3050) or Health Assessment/Individual Service Plan (Form 3050)
     • Effective 10/15/2015: Physician's Orders (Form 3055) and Health Assessment/Individual Service Plan (Form 3050)</t>
  </si>
  <si>
    <t>b. If a delay, did the facility nurse (RN or LVN) notify the caseworker of the delay on the HHSC Case Information form (Form 2067) within 14 calendar days after the referral date (Form 2101, item 1)?</t>
  </si>
  <si>
    <t xml:space="preserve">c. Did the facility obtain Physician’s Orders (Form 3055) within 14 calendar days after the referral date (Form 2101, item 1)?
NOTE: If no date on the Physician’s Orders (Form 3055), the DAHS facility date stamp is considered the date of the physician’s orders.
</t>
  </si>
  <si>
    <t>d. If a delay, did the facility notify the caseworker of the delay on the HHSC Case Information form (Form 2067) within 14 calendar days after the referral date (Form 2101, item 1)?</t>
  </si>
  <si>
    <t>IV. 3.  If referred by a caseworker, did the facility nurse complete all required activities within 14 calendar days after the referral date?</t>
  </si>
  <si>
    <t>b.    If a delay, did the facility notify the caseworker of the delay on the HHSC Case Information form (Form 2067) within eight calendar days after the begin date (Form 2101, item 4)?</t>
  </si>
  <si>
    <t>• Verify Form 3050, Section III: Plan of Care, matches the medications/treatments/special diet as indicated on the Physician’s Orders (Form 3055) (on or prior to 10/14/2015): or 
• Verify Form 3050, Section IV item G, matches the medications/treatments/special diets as indicated on Form 3055, Section IV: Special Diet and Section V: Medications and Treatments (effective 10/15/2015).</t>
  </si>
  <si>
    <t>V.3 Were special treatments, monitoring or intervention provided in accordance with the individual’s Individual Service Plan (on or prior to 10/14/2015) or Physician's Orders (effective 10/15/2015 or later)?</t>
  </si>
  <si>
    <t>See Form 3050 Section IV Plan of Care: Personal Care at the DAHS Facility
•  Select “NA” if no personal care assistance tasks are required while at the facility. Continue to Standard VI.
•  Select "NA" if Overarching Question is "N". Continue to Standard VI.
•  Select "N" if Overarching Question is "Y", but Form 3050 with a revision date of 10/2013 or later was not used.</t>
  </si>
  <si>
    <t>i. If entered services during the monitoring period, verify date of notice is prior to or on the date of service initiation; or</t>
  </si>
  <si>
    <r>
      <t xml:space="preserve">ii. If entered services prior to the monitoring period, then enter "NA"
</t>
    </r>
    <r>
      <rPr>
        <b/>
        <i/>
        <sz val="10"/>
        <color theme="1"/>
        <rFont val="Arial"/>
        <family val="2"/>
      </rPr>
      <t>NOTE:</t>
    </r>
    <r>
      <rPr>
        <i/>
        <sz val="10"/>
        <color theme="1"/>
        <rFont val="Arial"/>
        <family val="2"/>
      </rPr>
      <t xml:space="preserve"> Informing the individual and LAR regarding ANE applies to those individuals who entered services on or after 09/01/2014.</t>
    </r>
  </si>
  <si>
    <t>• Select "N" if the annual notice was due on or after 9/1/2014 but individual and LAR were not informed</t>
  </si>
  <si>
    <t>o Select “N” if the individual is listed on the Demand for Payment Notice in Column M and the contractor does not provide evidence the amount was negative billed and successfully processed and finalized prior to receiving the sample.</t>
  </si>
  <si>
    <t>Sunday through Saturday- Enter the documented hours and units per each day the individual is in attendance from Form 3683. 
Disallow (and recoup for):
- any unit of service provided on or after March 18, 2011 that does not reach the 3 hour minimum when time spent in travel to Mexico, or while in Mexico, is excluded, and
- any unit of service based on Form 3683 or Form 3682 for which the applicable signature is missing.</t>
  </si>
  <si>
    <t>From IWP UNITS OF SERVICE, Column C (Units Supported by Form 3682 or Form 3683)</t>
  </si>
  <si>
    <t xml:space="preserve">Ask the contractor to complete Column B for each unlicensed employee listed in Column A and to provide:
  - supporting documentation of the hire date, or if later, first date of service to any individual served by the contractor
  - evidence of CPR Certification for unlicensed employees providing direct delivery services; and
  -  supporting documentation for evidence of checks for each unlicensed employee listed in Column A.  DPS check evidence must be provided for unlicensed employees hired during the monitoring period.  EMR and NAR check evidence must be provided for all unlicensed employees. </t>
  </si>
  <si>
    <r>
      <t>Column C</t>
    </r>
    <r>
      <rPr>
        <sz val="9"/>
        <color theme="1"/>
        <rFont val="Arial"/>
        <family val="2"/>
      </rPr>
      <t>: For unlicensed employees who began providing services on or after the begin date of the monitoring period, verify that the DPS check was completed on or before the first date of service.  For unlicensed employees who began providing services prior to the begin date of the monitoring, select "NA".</t>
    </r>
  </si>
  <si>
    <r>
      <t>Column D:</t>
    </r>
    <r>
      <rPr>
        <sz val="9"/>
        <rFont val="Arial"/>
        <family val="2"/>
      </rPr>
      <t xml:space="preserve"> For unlicensed employees who began providing services on or after the begin date of the monitoring period, verify that the NAR check was completed on or before the first date of service and annually (within 365 days of the previous check).  For unlicensed employees hired prior to the monitoring period, verify that each NAR check conducted during the monitoring period was performed within 365 days of the previous check and the most recent check was completed within the past 365 days. If no NAR check was due during the monitoring period, select "NA".</t>
    </r>
  </si>
  <si>
    <r>
      <t>Column E</t>
    </r>
    <r>
      <rPr>
        <sz val="9"/>
        <color theme="1"/>
        <rFont val="Arial"/>
        <family val="2"/>
      </rPr>
      <t>: For unlicensed employees who began providing services on or after the begin date of the monitoring period, verify that the EMR check was completed on or before the first date of service and annually (within 365 days of the previous check).  For unlicensed employees hired prior to the monitoring period, verify that each EMR check conducted during the monitoring period was performed within 365 days of the previous check and the most recent check was completed within the past 365 days. If no EMR check was due during the monitoring period, select "NA".</t>
    </r>
  </si>
  <si>
    <r>
      <t xml:space="preserve">Column F: </t>
    </r>
    <r>
      <rPr>
        <sz val="9"/>
        <color theme="1"/>
        <rFont val="Arial"/>
        <family val="2"/>
      </rPr>
      <t>For unlicensed employees who began providing services on or after the begin date of the monitoring period, select “Y” to indicate that none of the three checks (DPS, NAR, EMR) barred the unlicensed employee from employment. For a list of barrable offenses, scroll down.  For unlicensed employees hired prior to the monitoring period, select “Y” to indicate that the NAR and EMR checks did not bar the unlicensed employee from employment. If none of the three checks (DPS, NAR, EMR) were due during the monitoring period, select "NA".</t>
    </r>
  </si>
  <si>
    <r>
      <t xml:space="preserve">Column H: </t>
    </r>
    <r>
      <rPr>
        <sz val="9"/>
        <color theme="1"/>
        <rFont val="Arial"/>
        <family val="2"/>
      </rPr>
      <t>Randomly select a date on or after September 1, 2013 and ask to review the contractor’s payroll records that specify personal attendants’ hourly base wages for the pay period that includes that date.  
For unlicensed employees that provide personal attendant services, review the contractor’s payroll records to determine that the unlicensed employee is paid an hourly base wage of $7.50 per hour beginning September 1, 2013, $7.86 per hour beginning September 1, 2014 or $8.00 per hour beginning September 1, 2015.  If any attendant(s) listed below were not paid during the selected period, select additional dates when the attendant(s)worked and request records to review the attendant(s) hourly base wage.  Select "NA" if the listed staff was not a personal attendant or the personal attendant terminated employment prior to September 1, 2013.</t>
    </r>
  </si>
  <si>
    <r>
      <t>Column G:</t>
    </r>
    <r>
      <rPr>
        <sz val="9"/>
        <color theme="1"/>
        <rFont val="Arial"/>
        <family val="2"/>
      </rPr>
      <t xml:space="preserve"> Select “Y” if the employee maintained certification in CPR for the entire monitoring period.  For employees hired during the monitoring period, certification must be achieved within the first three months of employment and maintained for the remainder of the monitoring period.  If the certification is not current, determine if the employee was hired within the last 90 days, if so, select "NA".</t>
    </r>
  </si>
  <si>
    <t>Refer to the Day Activity and Health Services Daily Attendance Record (Form 3683), if applicable, the Day Activity and Health Services Daily Transportation Record (Form 3682) and the Contract Monitoring Claims Report of the selected two months of services delivery. Complete a calendar for each Contract Monitoring Claims Report billing period, i.e., 04/01/2017 – 04/15/2017, 04/16/2017 – 04/30/2017.</t>
  </si>
  <si>
    <t>• From the six month service delivery record review period, select two months in which the Form 3050 with a revision date of 10/2013 or later was in effect for the individual.  For the selected two months of service delivery, review documentation (e.g., Medication Log, nurse’s notes, etc.) to verify medications were administered as ordered on the Physician's Orders (Form 3055).</t>
  </si>
  <si>
    <t>• that includes a search of the federal HHS Office of Inspector General (HHS-OIG) List of Excluded Individuals/Entities (LEIE) website and the Texas HHSC Office of the Inspector General (HHSC-OIG) List of Excluded Individuals/Entities (LEIE) website;</t>
  </si>
  <si>
    <t xml:space="preserve">• requires the contractor to immediately self-report any exclusion information discovered to HHSC-OIG
</t>
  </si>
  <si>
    <t xml:space="preserve">      •     date any excluded employee/contractor was self-reported to HHSC-OIG</t>
  </si>
  <si>
    <t>V.4.  Was personal care assistance provided in accordance with the individual’s Individual Service Plan?</t>
  </si>
  <si>
    <t>5.0.11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</si>
</sst>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mm/dd/yyyy"/>
    <numFmt numFmtId="165" formatCode="0;\-0;;@"/>
    <numFmt numFmtId="166" formatCode="mm/yyyy"/>
    <numFmt numFmtId="167" formatCode="0_);\(0\)"/>
    <numFmt numFmtId="168" formatCode="0.0000"/>
    <numFmt numFmtId="169" formatCode="[$-409]mmmm\ d\,\ yyyy;@"/>
  </numFmts>
  <fonts count="60">
    <font>
      <sz val="11"/>
      <color theme="1"/>
      <name val="Calibri"/>
      <family val="2"/>
      <scheme val="minor"/>
    </font>
    <font>
      <sz val="11"/>
      <color theme="1"/>
      <name val="Arial"/>
      <family val="2"/>
    </font>
    <font>
      <sz val="11"/>
      <color theme="1"/>
      <name val="Arial"/>
      <family val="2"/>
    </font>
    <font>
      <sz val="11"/>
      <color theme="1"/>
      <name val="Arial"/>
      <family val="2"/>
    </font>
    <font>
      <sz val="10"/>
      <color theme="1"/>
      <name val="Arial"/>
      <family val="2"/>
    </font>
    <font>
      <sz val="8"/>
      <color theme="1"/>
      <name val="Arial"/>
      <family val="2"/>
    </font>
    <font>
      <sz val="12"/>
      <color theme="1"/>
      <name val="Arial"/>
      <family val="2"/>
    </font>
    <font>
      <sz val="9"/>
      <color theme="1"/>
      <name val="Arial"/>
      <family val="2"/>
    </font>
    <font>
      <b/>
      <sz val="12"/>
      <color theme="1"/>
      <name val="Arial"/>
      <family val="2"/>
    </font>
    <font>
      <b/>
      <sz val="10"/>
      <color theme="1"/>
      <name val="Arial"/>
      <family val="2"/>
    </font>
    <font>
      <b/>
      <sz val="8"/>
      <color theme="1"/>
      <name val="Arial"/>
      <family val="2"/>
    </font>
    <font>
      <sz val="8"/>
      <color rgb="FF000000"/>
      <name val="Arial"/>
      <family val="2"/>
    </font>
    <font>
      <i/>
      <sz val="9"/>
      <color theme="1"/>
      <name val="Arial"/>
      <family val="2"/>
    </font>
    <font>
      <b/>
      <sz val="9"/>
      <color theme="1"/>
      <name val="Arial"/>
      <family val="2"/>
    </font>
    <font>
      <b/>
      <sz val="11"/>
      <color theme="1"/>
      <name val="Calibri"/>
      <family val="2"/>
      <scheme val="minor"/>
    </font>
    <font>
      <b/>
      <sz val="8"/>
      <color rgb="FF000000"/>
      <name val="Arial"/>
      <family val="2"/>
    </font>
    <font>
      <sz val="10"/>
      <color theme="1"/>
      <name val="Calibri"/>
      <family val="2"/>
      <scheme val="minor"/>
    </font>
    <font>
      <sz val="12"/>
      <color theme="1"/>
      <name val="Times New Roman"/>
      <family val="1"/>
    </font>
    <font>
      <sz val="10"/>
      <color theme="1"/>
      <name val="Times New Roman"/>
      <family val="1"/>
    </font>
    <font>
      <i/>
      <sz val="10"/>
      <color theme="1"/>
      <name val="Arial"/>
      <family val="2"/>
    </font>
    <font>
      <b/>
      <sz val="10"/>
      <color indexed="8"/>
      <name val="Arial"/>
      <family val="2"/>
    </font>
    <font>
      <b/>
      <sz val="10"/>
      <name val="Arial"/>
      <family val="2"/>
    </font>
    <font>
      <sz val="10"/>
      <name val="Arial"/>
      <family val="2"/>
    </font>
    <font>
      <sz val="8"/>
      <name val="Arial"/>
      <family val="2"/>
    </font>
    <font>
      <b/>
      <sz val="8"/>
      <name val="Arial"/>
      <family val="2"/>
    </font>
    <font>
      <b/>
      <sz val="11"/>
      <color theme="1"/>
      <name val="Arial"/>
      <family val="2"/>
    </font>
    <font>
      <b/>
      <sz val="7.5"/>
      <color theme="1"/>
      <name val="Arial"/>
      <family val="2"/>
    </font>
    <font>
      <sz val="11"/>
      <color theme="1"/>
      <name val="Calibri"/>
      <family val="2"/>
      <scheme val="minor"/>
    </font>
    <font>
      <sz val="10"/>
      <name val="Calibri"/>
      <family val="2"/>
      <scheme val="minor"/>
    </font>
    <font>
      <sz val="12"/>
      <color theme="0"/>
      <name val="Arial"/>
      <family val="2"/>
    </font>
    <font>
      <sz val="10"/>
      <color theme="0"/>
      <name val="Arial"/>
      <family val="2"/>
    </font>
    <font>
      <sz val="11"/>
      <name val="Calibri"/>
      <family val="2"/>
      <scheme val="minor"/>
    </font>
    <font>
      <b/>
      <sz val="9"/>
      <name val="Arial"/>
      <family val="2"/>
    </font>
    <font>
      <sz val="12"/>
      <color rgb="FF7030A0"/>
      <name val="Arial"/>
      <family val="2"/>
    </font>
    <font>
      <b/>
      <i/>
      <sz val="10"/>
      <color theme="1"/>
      <name val="Arial"/>
      <family val="2"/>
    </font>
    <font>
      <b/>
      <sz val="10"/>
      <color rgb="FF000000"/>
      <name val="Arial"/>
      <family val="2"/>
    </font>
    <font>
      <sz val="10"/>
      <color rgb="FF000000"/>
      <name val="Arian"/>
    </font>
    <font>
      <sz val="10"/>
      <color theme="1"/>
      <name val="Arian"/>
    </font>
    <font>
      <sz val="11"/>
      <color rgb="FF006100"/>
      <name val="Calibri"/>
      <family val="2"/>
      <scheme val="minor"/>
    </font>
    <font>
      <sz val="11"/>
      <color rgb="FFFF0000"/>
      <name val="Calibri"/>
      <family val="2"/>
      <scheme val="minor"/>
    </font>
    <font>
      <sz val="9"/>
      <name val="Arial"/>
      <family val="2"/>
    </font>
    <font>
      <sz val="10"/>
      <color indexed="8"/>
      <name val="Arial"/>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30">
    <fill>
      <patternFill patternType="none"/>
    </fill>
    <fill>
      <patternFill patternType="gray125"/>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3" tint="0.79998168889431442"/>
        <bgColor indexed="64"/>
      </patternFill>
    </fill>
    <fill>
      <patternFill patternType="solid">
        <fgColor rgb="FFC6EFCE"/>
      </patternFill>
    </fill>
    <fill>
      <patternFill patternType="solid">
        <fgColor rgb="FFCC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12">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style="thick">
        <color indexed="64"/>
      </left>
      <right style="medium">
        <color indexed="64"/>
      </right>
      <top/>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style="medium">
        <color indexed="64"/>
      </left>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style="medium">
        <color indexed="64"/>
      </left>
      <right style="thick">
        <color indexed="64"/>
      </right>
      <top style="thick">
        <color indexed="64"/>
      </top>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top style="thick">
        <color indexed="64"/>
      </top>
      <bottom style="mediumDashed">
        <color indexed="64"/>
      </bottom>
      <diagonal/>
    </border>
    <border>
      <left/>
      <right/>
      <top style="thick">
        <color indexed="64"/>
      </top>
      <bottom style="mediumDashed">
        <color indexed="64"/>
      </bottom>
      <diagonal/>
    </border>
    <border>
      <left/>
      <right style="thick">
        <color indexed="64"/>
      </right>
      <top style="thick">
        <color indexed="64"/>
      </top>
      <bottom style="mediumDashed">
        <color indexed="64"/>
      </bottom>
      <diagonal/>
    </border>
    <border>
      <left/>
      <right/>
      <top style="medium">
        <color indexed="64"/>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thick">
        <color indexed="64"/>
      </right>
      <top/>
      <bottom style="thick">
        <color indexed="64"/>
      </bottom>
      <diagonal/>
    </border>
    <border>
      <left style="thick">
        <color indexed="64"/>
      </left>
      <right/>
      <top style="medium">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ck">
        <color indexed="64"/>
      </bottom>
      <diagonal/>
    </border>
    <border>
      <left style="thick">
        <color indexed="64"/>
      </left>
      <right/>
      <top/>
      <bottom style="mediumDashed">
        <color indexed="64"/>
      </bottom>
      <diagonal/>
    </border>
    <border>
      <left/>
      <right style="thick">
        <color indexed="64"/>
      </right>
      <top/>
      <bottom style="mediumDashed">
        <color indexed="64"/>
      </bottom>
      <diagonal/>
    </border>
    <border>
      <left/>
      <right style="thick">
        <color indexed="64"/>
      </right>
      <top style="thick">
        <color indexed="64"/>
      </top>
      <bottom style="medium">
        <color indexed="64"/>
      </bottom>
      <diagonal/>
    </border>
    <border>
      <left/>
      <right style="thick">
        <color indexed="64"/>
      </right>
      <top style="medium">
        <color indexed="64"/>
      </top>
      <bottom style="thick">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ck">
        <color indexed="64"/>
      </right>
      <top/>
      <bottom/>
      <diagonal/>
    </border>
  </borders>
  <cellStyleXfs count="586">
    <xf numFmtId="0" fontId="0" fillId="0" borderId="0"/>
    <xf numFmtId="0" fontId="2" fillId="0" borderId="0"/>
    <xf numFmtId="0" fontId="27" fillId="0" borderId="0"/>
    <xf numFmtId="0" fontId="27" fillId="0" borderId="0"/>
    <xf numFmtId="0" fontId="1" fillId="0" borderId="0"/>
    <xf numFmtId="0" fontId="38" fillId="6" borderId="0" applyNumberFormat="0" applyBorder="0" applyAlignment="0" applyProtection="0"/>
    <xf numFmtId="0" fontId="43" fillId="0" borderId="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4" borderId="0" applyNumberFormat="0" applyBorder="0" applyAlignment="0" applyProtection="0"/>
    <xf numFmtId="0" fontId="43" fillId="17" borderId="0" applyNumberFormat="0" applyBorder="0" applyAlignment="0" applyProtection="0"/>
    <xf numFmtId="0" fontId="44" fillId="18"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5" borderId="0" applyNumberFormat="0" applyBorder="0" applyAlignment="0" applyProtection="0"/>
    <xf numFmtId="0" fontId="45" fillId="9" borderId="0" applyNumberFormat="0" applyBorder="0" applyAlignment="0" applyProtection="0"/>
    <xf numFmtId="0" fontId="46" fillId="26" borderId="89" applyNumberFormat="0" applyAlignment="0" applyProtection="0"/>
    <xf numFmtId="0" fontId="47" fillId="27" borderId="90" applyNumberFormat="0" applyAlignment="0" applyProtection="0"/>
    <xf numFmtId="0" fontId="48" fillId="0" borderId="0" applyNumberFormat="0" applyFill="0" applyBorder="0" applyAlignment="0" applyProtection="0"/>
    <xf numFmtId="0" fontId="49" fillId="10" borderId="0" applyNumberFormat="0" applyBorder="0" applyAlignment="0" applyProtection="0"/>
    <xf numFmtId="0" fontId="50" fillId="0" borderId="91" applyNumberFormat="0" applyFill="0" applyAlignment="0" applyProtection="0"/>
    <xf numFmtId="0" fontId="51" fillId="0" borderId="92" applyNumberFormat="0" applyFill="0" applyAlignment="0" applyProtection="0"/>
    <xf numFmtId="0" fontId="52" fillId="0" borderId="93" applyNumberFormat="0" applyFill="0" applyAlignment="0" applyProtection="0"/>
    <xf numFmtId="0" fontId="52" fillId="0" borderId="0" applyNumberFormat="0" applyFill="0" applyBorder="0" applyAlignment="0" applyProtection="0"/>
    <xf numFmtId="0" fontId="53" fillId="13" borderId="89" applyNumberFormat="0" applyAlignment="0" applyProtection="0"/>
    <xf numFmtId="0" fontId="54" fillId="0" borderId="94" applyNumberFormat="0" applyFill="0" applyAlignment="0" applyProtection="0"/>
    <xf numFmtId="0" fontId="55" fillId="28" borderId="0" applyNumberFormat="0" applyBorder="0" applyAlignment="0" applyProtection="0"/>
    <xf numFmtId="0" fontId="43" fillId="29" borderId="95" applyNumberFormat="0" applyFont="0" applyAlignment="0" applyProtection="0"/>
    <xf numFmtId="0" fontId="56" fillId="26" borderId="96" applyNumberFormat="0" applyAlignment="0" applyProtection="0"/>
    <xf numFmtId="0" fontId="57" fillId="0" borderId="0" applyNumberFormat="0" applyFill="0" applyBorder="0" applyAlignment="0" applyProtection="0"/>
    <xf numFmtId="0" fontId="58" fillId="0" borderId="97" applyNumberFormat="0" applyFill="0" applyAlignment="0" applyProtection="0"/>
    <xf numFmtId="0" fontId="59" fillId="0" borderId="0" applyNumberFormat="0" applyFill="0" applyBorder="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6" fillId="26"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6" fillId="26"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53" fillId="13"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6" fillId="26"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6" fillId="26"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6" fillId="26" borderId="98" applyNumberFormat="0" applyAlignment="0" applyProtection="0"/>
    <xf numFmtId="0" fontId="53" fillId="13" borderId="98" applyNumberFormat="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46" fillId="26" borderId="98" applyNumberFormat="0" applyAlignment="0" applyProtection="0"/>
    <xf numFmtId="0" fontId="53" fillId="13"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53" fillId="13" borderId="98" applyNumberFormat="0" applyAlignment="0" applyProtection="0"/>
    <xf numFmtId="0" fontId="53" fillId="13" borderId="98" applyNumberFormat="0" applyAlignment="0" applyProtection="0"/>
    <xf numFmtId="0" fontId="53" fillId="13"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46" fillId="26" borderId="98" applyNumberFormat="0" applyAlignment="0" applyProtection="0"/>
    <xf numFmtId="0" fontId="58" fillId="0" borderId="97" applyNumberFormat="0" applyFill="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6" fillId="26" borderId="98" applyNumberFormat="0" applyAlignment="0" applyProtection="0"/>
    <xf numFmtId="0" fontId="53" fillId="13" borderId="98" applyNumberFormat="0" applyAlignment="0" applyProtection="0"/>
    <xf numFmtId="0" fontId="46" fillId="26"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6" fillId="26"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53" fillId="13"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53" fillId="13" borderId="98" applyNumberFormat="0" applyAlignment="0" applyProtection="0"/>
    <xf numFmtId="0" fontId="53" fillId="13" borderId="98" applyNumberFormat="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43" fillId="29" borderId="95" applyNumberFormat="0" applyFont="0" applyAlignment="0" applyProtection="0"/>
    <xf numFmtId="0" fontId="56" fillId="26" borderId="96" applyNumberFormat="0" applyAlignment="0" applyProtection="0"/>
    <xf numFmtId="0" fontId="58" fillId="0" borderId="97" applyNumberFormat="0" applyFill="0" applyAlignment="0" applyProtection="0"/>
    <xf numFmtId="0" fontId="27" fillId="0" borderId="0"/>
    <xf numFmtId="0" fontId="46" fillId="26"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6" fillId="26"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6" fillId="26"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53" fillId="13"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6" fillId="26"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6" fillId="26"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6" fillId="26" borderId="99" applyNumberFormat="0" applyAlignment="0" applyProtection="0"/>
    <xf numFmtId="0" fontId="53" fillId="13" borderId="99" applyNumberFormat="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46" fillId="26" borderId="99" applyNumberFormat="0" applyAlignment="0" applyProtection="0"/>
    <xf numFmtId="0" fontId="53" fillId="13"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3" fillId="13" borderId="99" applyNumberFormat="0" applyAlignment="0" applyProtection="0"/>
    <xf numFmtId="0" fontId="53" fillId="13" borderId="99" applyNumberFormat="0" applyAlignment="0" applyProtection="0"/>
    <xf numFmtId="0" fontId="53" fillId="13"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46" fillId="26" borderId="99" applyNumberFormat="0" applyAlignment="0" applyProtection="0"/>
    <xf numFmtId="0" fontId="58" fillId="0" borderId="102" applyNumberFormat="0" applyFill="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6" fillId="26" borderId="99" applyNumberFormat="0" applyAlignment="0" applyProtection="0"/>
    <xf numFmtId="0" fontId="53" fillId="13" borderId="99" applyNumberFormat="0" applyAlignment="0" applyProtection="0"/>
    <xf numFmtId="0" fontId="46" fillId="26"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6" fillId="26"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3" fillId="13"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3" fillId="13" borderId="99" applyNumberFormat="0" applyAlignment="0" applyProtection="0"/>
    <xf numFmtId="0" fontId="53" fillId="13" borderId="99" applyNumberFormat="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43" fillId="29" borderId="100" applyNumberFormat="0" applyFont="0" applyAlignment="0" applyProtection="0"/>
    <xf numFmtId="0" fontId="56" fillId="26" borderId="101" applyNumberFormat="0" applyAlignment="0" applyProtection="0"/>
    <xf numFmtId="0" fontId="58" fillId="0" borderId="102" applyNumberFormat="0" applyFill="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56" fillId="26" borderId="101" applyNumberFormat="0" applyAlignment="0" applyProtection="0"/>
    <xf numFmtId="0" fontId="46" fillId="26"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53" fillId="13"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3" applyNumberFormat="0" applyAlignment="0" applyProtection="0"/>
    <xf numFmtId="0" fontId="53" fillId="13" borderId="103" applyNumberFormat="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46" fillId="26" borderId="103" applyNumberFormat="0" applyAlignment="0" applyProtection="0"/>
    <xf numFmtId="0" fontId="53" fillId="13"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53" fillId="13" borderId="103" applyNumberFormat="0" applyAlignment="0" applyProtection="0"/>
    <xf numFmtId="0" fontId="53" fillId="13" borderId="103" applyNumberFormat="0" applyAlignment="0" applyProtection="0"/>
    <xf numFmtId="0" fontId="53" fillId="13"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46" fillId="26" borderId="103" applyNumberFormat="0" applyAlignment="0" applyProtection="0"/>
    <xf numFmtId="0" fontId="58" fillId="0" borderId="106" applyNumberFormat="0" applyFill="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3" applyNumberFormat="0" applyAlignment="0" applyProtection="0"/>
    <xf numFmtId="0" fontId="53" fillId="13" borderId="103" applyNumberFormat="0" applyAlignment="0" applyProtection="0"/>
    <xf numFmtId="0" fontId="46" fillId="26"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53" fillId="13"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53" fillId="13" borderId="103" applyNumberFormat="0" applyAlignment="0" applyProtection="0"/>
    <xf numFmtId="0" fontId="53" fillId="13" borderId="103" applyNumberFormat="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3" fillId="29" borderId="104" applyNumberFormat="0" applyFont="0" applyAlignment="0" applyProtection="0"/>
    <xf numFmtId="0" fontId="56" fillId="26" borderId="105" applyNumberFormat="0" applyAlignment="0" applyProtection="0"/>
    <xf numFmtId="0" fontId="58" fillId="0" borderId="106" applyNumberFormat="0" applyFill="0" applyAlignment="0" applyProtection="0"/>
    <xf numFmtId="0" fontId="46" fillId="26"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6" fillId="26"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6" fillId="26"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53" fillId="13"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6" fillId="26"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6" fillId="26"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6" fillId="26" borderId="107" applyNumberFormat="0" applyAlignment="0" applyProtection="0"/>
    <xf numFmtId="0" fontId="53" fillId="13" borderId="107" applyNumberFormat="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46" fillId="26" borderId="107" applyNumberFormat="0" applyAlignment="0" applyProtection="0"/>
    <xf numFmtId="0" fontId="53" fillId="13"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3" fillId="13" borderId="107" applyNumberFormat="0" applyAlignment="0" applyProtection="0"/>
    <xf numFmtId="0" fontId="53" fillId="13" borderId="107" applyNumberFormat="0" applyAlignment="0" applyProtection="0"/>
    <xf numFmtId="0" fontId="53" fillId="13"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46" fillId="26" borderId="107" applyNumberFormat="0" applyAlignment="0" applyProtection="0"/>
    <xf numFmtId="0" fontId="58" fillId="0" borderId="110" applyNumberFormat="0" applyFill="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6" fillId="26" borderId="107" applyNumberFormat="0" applyAlignment="0" applyProtection="0"/>
    <xf numFmtId="0" fontId="53" fillId="13" borderId="107" applyNumberFormat="0" applyAlignment="0" applyProtection="0"/>
    <xf numFmtId="0" fontId="46" fillId="26"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6" fillId="26"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3" fillId="13"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3" fillId="13" borderId="107" applyNumberFormat="0" applyAlignment="0" applyProtection="0"/>
    <xf numFmtId="0" fontId="53" fillId="13" borderId="107" applyNumberFormat="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43" fillId="29" borderId="108" applyNumberFormat="0" applyFont="0" applyAlignment="0" applyProtection="0"/>
    <xf numFmtId="0" fontId="56" fillId="26" borderId="109" applyNumberFormat="0" applyAlignment="0" applyProtection="0"/>
    <xf numFmtId="0" fontId="58" fillId="0" borderId="110" applyNumberFormat="0" applyFill="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xf numFmtId="0" fontId="56" fillId="26" borderId="109" applyNumberFormat="0" applyAlignment="0" applyProtection="0"/>
  </cellStyleXfs>
  <cellXfs count="934">
    <xf numFmtId="0" fontId="0" fillId="0" borderId="0" xfId="0"/>
    <xf numFmtId="0" fontId="6" fillId="0" borderId="0" xfId="0" applyFont="1"/>
    <xf numFmtId="0" fontId="4" fillId="0" borderId="0" xfId="0" applyFont="1"/>
    <xf numFmtId="0" fontId="4" fillId="0" borderId="19" xfId="0" applyFont="1" applyBorder="1" applyAlignment="1">
      <alignment horizontal="right"/>
    </xf>
    <xf numFmtId="0" fontId="14" fillId="0" borderId="0" xfId="0" applyFont="1"/>
    <xf numFmtId="0" fontId="4" fillId="0" borderId="0" xfId="0" applyFont="1" applyAlignment="1">
      <alignment wrapText="1"/>
    </xf>
    <xf numFmtId="0" fontId="16" fillId="0" borderId="0" xfId="0" applyFont="1"/>
    <xf numFmtId="1" fontId="0" fillId="0" borderId="0" xfId="0" applyNumberFormat="1"/>
    <xf numFmtId="0" fontId="4" fillId="0" borderId="39" xfId="0" applyFont="1" applyBorder="1" applyAlignment="1">
      <alignment horizontal="right" indent="1"/>
    </xf>
    <xf numFmtId="0" fontId="9" fillId="0" borderId="38" xfId="0" applyFont="1" applyBorder="1"/>
    <xf numFmtId="0" fontId="3" fillId="0" borderId="0" xfId="0" applyFont="1"/>
    <xf numFmtId="165" fontId="20" fillId="0" borderId="12" xfId="0" applyNumberFormat="1" applyFont="1" applyBorder="1" applyAlignment="1">
      <alignment horizontal="center" vertical="center" wrapText="1"/>
    </xf>
    <xf numFmtId="0" fontId="22" fillId="0" borderId="39" xfId="0" applyFont="1" applyBorder="1" applyAlignment="1">
      <alignment horizontal="center" vertical="center" wrapText="1"/>
    </xf>
    <xf numFmtId="0" fontId="5" fillId="0" borderId="9" xfId="0" applyFont="1" applyBorder="1" applyAlignment="1">
      <alignment horizontal="center" vertical="top"/>
    </xf>
    <xf numFmtId="0" fontId="22" fillId="0" borderId="45" xfId="0" applyFont="1" applyBorder="1" applyAlignment="1">
      <alignment horizontal="center" vertical="center" wrapText="1"/>
    </xf>
    <xf numFmtId="0" fontId="21" fillId="0" borderId="39" xfId="0" applyFont="1" applyBorder="1" applyAlignment="1">
      <alignment horizontal="center" vertical="top" wrapText="1"/>
    </xf>
    <xf numFmtId="0" fontId="9" fillId="0" borderId="45" xfId="0" applyFont="1" applyBorder="1" applyAlignment="1">
      <alignment horizontal="center" vertical="top" wrapText="1"/>
    </xf>
    <xf numFmtId="0" fontId="18" fillId="0" borderId="0" xfId="0" applyFont="1" applyAlignment="1">
      <alignment vertical="center" wrapText="1"/>
    </xf>
    <xf numFmtId="0" fontId="19" fillId="0" borderId="0" xfId="0" applyFont="1" applyAlignment="1">
      <alignment vertical="center"/>
    </xf>
    <xf numFmtId="0" fontId="17" fillId="0" borderId="0" xfId="0" applyFont="1" applyAlignment="1">
      <alignment vertical="center"/>
    </xf>
    <xf numFmtId="0" fontId="9" fillId="0" borderId="46" xfId="0" applyFont="1" applyBorder="1" applyAlignment="1">
      <alignment horizontal="left" vertical="center" wrapText="1" indent="1"/>
    </xf>
    <xf numFmtId="0" fontId="9" fillId="0" borderId="51" xfId="0" applyFont="1" applyBorder="1" applyAlignment="1">
      <alignment horizontal="left" vertical="center" wrapText="1" indent="1"/>
    </xf>
    <xf numFmtId="0" fontId="4" fillId="0" borderId="39" xfId="0" applyFont="1" applyBorder="1" applyAlignment="1">
      <alignment horizontal="center" vertical="center"/>
    </xf>
    <xf numFmtId="0" fontId="4" fillId="0" borderId="45" xfId="0" applyFont="1" applyBorder="1" applyAlignment="1">
      <alignment horizontal="center" vertical="center"/>
    </xf>
    <xf numFmtId="0" fontId="4" fillId="0" borderId="5" xfId="0" applyFont="1" applyBorder="1"/>
    <xf numFmtId="0" fontId="4" fillId="0" borderId="5" xfId="0" applyFont="1" applyBorder="1" applyAlignment="1">
      <alignment horizontal="right"/>
    </xf>
    <xf numFmtId="0" fontId="9" fillId="0" borderId="12" xfId="0" applyFont="1" applyBorder="1" applyAlignment="1">
      <alignment horizontal="center" vertical="center"/>
    </xf>
    <xf numFmtId="0" fontId="4" fillId="0" borderId="41" xfId="0" applyFont="1" applyBorder="1"/>
    <xf numFmtId="0" fontId="4" fillId="0" borderId="39" xfId="0" applyFont="1" applyBorder="1" applyAlignment="1">
      <alignment horizontal="center"/>
    </xf>
    <xf numFmtId="1" fontId="4" fillId="0" borderId="39" xfId="0" applyNumberFormat="1" applyFont="1" applyBorder="1" applyAlignment="1">
      <alignment horizont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167" fontId="4" fillId="0" borderId="39" xfId="0" applyNumberFormat="1" applyFont="1" applyBorder="1" applyAlignment="1">
      <alignment horizontal="center"/>
    </xf>
    <xf numFmtId="0" fontId="5" fillId="0" borderId="9" xfId="0" applyFont="1" applyBorder="1" applyAlignment="1">
      <alignment horizontal="center" vertical="top" wrapText="1"/>
    </xf>
    <xf numFmtId="0" fontId="7" fillId="0" borderId="7" xfId="1" applyFont="1" applyBorder="1" applyAlignment="1">
      <alignment horizontal="right" vertical="center" wrapText="1"/>
    </xf>
    <xf numFmtId="0" fontId="22" fillId="0" borderId="0" xfId="0" applyFont="1"/>
    <xf numFmtId="0" fontId="28" fillId="0" borderId="0" xfId="0" applyFont="1"/>
    <xf numFmtId="0" fontId="4" fillId="0" borderId="39" xfId="0" applyFont="1" applyBorder="1" applyAlignment="1">
      <alignment horizontal="center" vertical="top"/>
    </xf>
    <xf numFmtId="0" fontId="9" fillId="0" borderId="39" xfId="0" applyFont="1" applyBorder="1" applyAlignment="1">
      <alignment horizontal="center" vertical="top" wrapText="1"/>
    </xf>
    <xf numFmtId="0" fontId="13" fillId="0" borderId="15" xfId="0" applyFont="1" applyBorder="1" applyAlignment="1">
      <alignment horizontal="center" vertical="top" wrapText="1"/>
    </xf>
    <xf numFmtId="0" fontId="13" fillId="0" borderId="8" xfId="0" applyFont="1" applyBorder="1" applyAlignment="1">
      <alignment horizontal="center" vertical="top" wrapText="1"/>
    </xf>
    <xf numFmtId="0" fontId="13" fillId="0" borderId="6" xfId="0" applyFont="1" applyBorder="1" applyAlignment="1">
      <alignment horizontal="center" vertical="top" wrapText="1"/>
    </xf>
    <xf numFmtId="0" fontId="9" fillId="0" borderId="12" xfId="0" applyFont="1" applyBorder="1" applyAlignment="1">
      <alignment horizontal="center" vertical="center" wrapText="1"/>
    </xf>
    <xf numFmtId="0" fontId="6" fillId="0" borderId="0" xfId="0" applyFont="1" applyProtection="1">
      <protection hidden="1"/>
    </xf>
    <xf numFmtId="0" fontId="4" fillId="0" borderId="0" xfId="0" applyFont="1" applyProtection="1">
      <protection hidden="1"/>
    </xf>
    <xf numFmtId="0" fontId="29" fillId="0" borderId="0" xfId="0" applyFont="1" applyProtection="1">
      <protection hidden="1"/>
    </xf>
    <xf numFmtId="0" fontId="30" fillId="0" borderId="0" xfId="0" applyFont="1" applyProtection="1">
      <protection hidden="1"/>
    </xf>
    <xf numFmtId="164" fontId="30" fillId="0" borderId="0" xfId="0" applyNumberFormat="1" applyFont="1" applyProtection="1">
      <protection hidden="1"/>
    </xf>
    <xf numFmtId="0" fontId="5" fillId="0" borderId="41" xfId="1" applyFont="1" applyBorder="1" applyAlignment="1">
      <alignment horizontal="right" vertical="center" wrapText="1"/>
    </xf>
    <xf numFmtId="0" fontId="5" fillId="0" borderId="46" xfId="1" applyFont="1" applyBorder="1" applyAlignment="1">
      <alignment horizontal="right" vertical="center" wrapText="1"/>
    </xf>
    <xf numFmtId="0" fontId="9" fillId="0" borderId="53" xfId="0" applyFont="1" applyBorder="1" applyAlignment="1">
      <alignment horizontal="center" vertical="center"/>
    </xf>
    <xf numFmtId="0" fontId="31" fillId="0" borderId="0" xfId="0" applyFont="1"/>
    <xf numFmtId="0" fontId="33" fillId="0" borderId="0" xfId="0" applyFont="1"/>
    <xf numFmtId="49" fontId="0" fillId="0" borderId="0" xfId="0" applyNumberFormat="1"/>
    <xf numFmtId="0" fontId="4" fillId="3" borderId="15" xfId="0" applyFont="1" applyFill="1" applyBorder="1" applyAlignment="1" applyProtection="1">
      <alignment horizontal="center" vertical="center" wrapText="1"/>
      <protection locked="0"/>
    </xf>
    <xf numFmtId="0" fontId="22" fillId="3" borderId="39" xfId="0" applyFont="1" applyFill="1" applyBorder="1" applyAlignment="1" applyProtection="1">
      <alignment horizontal="center" vertical="center" wrapText="1"/>
      <protection locked="0"/>
    </xf>
    <xf numFmtId="0" fontId="4" fillId="3" borderId="45" xfId="0" applyFont="1" applyFill="1" applyBorder="1" applyAlignment="1" applyProtection="1">
      <alignment horizontal="center" vertical="center" wrapText="1"/>
      <protection locked="0"/>
    </xf>
    <xf numFmtId="0" fontId="4" fillId="3" borderId="5" xfId="0" applyFont="1" applyFill="1" applyBorder="1" applyProtection="1">
      <protection locked="0"/>
    </xf>
    <xf numFmtId="166" fontId="4" fillId="3" borderId="5" xfId="0" applyNumberFormat="1" applyFont="1" applyFill="1" applyBorder="1" applyAlignment="1" applyProtection="1">
      <alignment horizontal="center"/>
      <protection locked="0"/>
    </xf>
    <xf numFmtId="166" fontId="4" fillId="3" borderId="6" xfId="0" applyNumberFormat="1" applyFont="1" applyFill="1" applyBorder="1" applyAlignment="1" applyProtection="1">
      <alignment horizontal="center"/>
      <protection locked="0"/>
    </xf>
    <xf numFmtId="164" fontId="5" fillId="3" borderId="39" xfId="0" applyNumberFormat="1" applyFont="1" applyFill="1" applyBorder="1" applyAlignment="1" applyProtection="1">
      <alignment horizontal="center"/>
      <protection locked="0"/>
    </xf>
    <xf numFmtId="1" fontId="4" fillId="3" borderId="39" xfId="0" applyNumberFormat="1" applyFont="1" applyFill="1" applyBorder="1" applyAlignment="1" applyProtection="1">
      <alignment horizontal="center"/>
      <protection locked="0"/>
    </xf>
    <xf numFmtId="164" fontId="5" fillId="3" borderId="39" xfId="0" applyNumberFormat="1" applyFont="1" applyFill="1" applyBorder="1" applyProtection="1">
      <protection locked="0"/>
    </xf>
    <xf numFmtId="0" fontId="4" fillId="3" borderId="54" xfId="0" applyFont="1" applyFill="1" applyBorder="1" applyProtection="1">
      <protection locked="0"/>
    </xf>
    <xf numFmtId="0" fontId="4" fillId="3" borderId="39" xfId="0" applyFont="1" applyFill="1" applyBorder="1" applyAlignment="1" applyProtection="1">
      <alignment horizontal="center" vertical="center"/>
      <protection locked="0"/>
    </xf>
    <xf numFmtId="0" fontId="4" fillId="3" borderId="45" xfId="0" applyFont="1" applyFill="1" applyBorder="1" applyAlignment="1" applyProtection="1">
      <alignment horizontal="center" vertical="center"/>
      <protection locked="0"/>
    </xf>
    <xf numFmtId="0" fontId="4" fillId="3" borderId="40" xfId="0" applyFont="1" applyFill="1" applyBorder="1" applyAlignment="1" applyProtection="1">
      <alignment horizontal="center" vertical="center"/>
      <protection locked="0"/>
    </xf>
    <xf numFmtId="0" fontId="4" fillId="3" borderId="48" xfId="0" applyFont="1" applyFill="1" applyBorder="1" applyAlignment="1" applyProtection="1">
      <alignment horizontal="center" vertical="center"/>
      <protection locked="0"/>
    </xf>
    <xf numFmtId="0" fontId="4" fillId="3" borderId="47" xfId="0" applyFont="1" applyFill="1" applyBorder="1" applyAlignment="1" applyProtection="1">
      <alignment horizontal="center" vertical="center" wrapText="1"/>
      <protection locked="0"/>
    </xf>
    <xf numFmtId="164" fontId="4" fillId="3" borderId="20" xfId="0" applyNumberFormat="1" applyFont="1" applyFill="1" applyBorder="1" applyAlignment="1" applyProtection="1">
      <alignment horizontal="left" indent="1"/>
      <protection locked="0"/>
    </xf>
    <xf numFmtId="164" fontId="4" fillId="3" borderId="20" xfId="0" applyNumberFormat="1" applyFont="1" applyFill="1" applyBorder="1" applyAlignment="1" applyProtection="1">
      <alignment horizontal="left"/>
      <protection locked="0"/>
    </xf>
    <xf numFmtId="49" fontId="4" fillId="3" borderId="39" xfId="0" applyNumberFormat="1" applyFont="1" applyFill="1" applyBorder="1" applyAlignment="1" applyProtection="1">
      <alignment horizontal="left"/>
      <protection locked="0"/>
    </xf>
    <xf numFmtId="1" fontId="4" fillId="3" borderId="39" xfId="0" applyNumberFormat="1" applyFont="1" applyFill="1" applyBorder="1" applyAlignment="1" applyProtection="1">
      <alignment horizontal="left"/>
      <protection locked="0"/>
    </xf>
    <xf numFmtId="0" fontId="9" fillId="0" borderId="38" xfId="0" applyFont="1" applyBorder="1" applyAlignment="1">
      <alignment horizontal="center" wrapText="1"/>
    </xf>
    <xf numFmtId="0" fontId="9" fillId="0" borderId="38" xfId="0" applyFont="1" applyBorder="1" applyAlignment="1">
      <alignment horizontal="center"/>
    </xf>
    <xf numFmtId="164" fontId="4" fillId="3" borderId="39" xfId="0" applyNumberFormat="1" applyFont="1" applyFill="1" applyBorder="1" applyAlignment="1" applyProtection="1">
      <alignment horizontal="left"/>
      <protection locked="0"/>
    </xf>
    <xf numFmtId="0" fontId="7" fillId="0" borderId="23" xfId="0" applyFont="1" applyBorder="1" applyAlignment="1">
      <alignment horizontal="right" vertical="center" wrapText="1"/>
    </xf>
    <xf numFmtId="0" fontId="7" fillId="0" borderId="24" xfId="0" applyFont="1" applyBorder="1" applyAlignment="1">
      <alignment horizontal="right" vertical="center" wrapText="1"/>
    </xf>
    <xf numFmtId="164" fontId="4" fillId="0" borderId="8" xfId="1" applyNumberFormat="1" applyFont="1" applyBorder="1" applyAlignment="1">
      <alignment vertical="center" wrapText="1"/>
    </xf>
    <xf numFmtId="164" fontId="4" fillId="0" borderId="6" xfId="1" applyNumberFormat="1" applyFont="1" applyBorder="1" applyAlignment="1">
      <alignment vertical="center" wrapText="1"/>
    </xf>
    <xf numFmtId="0" fontId="37" fillId="0" borderId="0" xfId="0" applyFont="1"/>
    <xf numFmtId="49" fontId="4" fillId="3" borderId="25" xfId="0" applyNumberFormat="1" applyFont="1" applyFill="1" applyBorder="1" applyAlignment="1" applyProtection="1">
      <alignment horizontal="center" vertical="center" wrapText="1"/>
      <protection locked="0"/>
    </xf>
    <xf numFmtId="0" fontId="9" fillId="0" borderId="39" xfId="0" applyFont="1" applyBorder="1" applyAlignment="1">
      <alignment horizontal="center"/>
    </xf>
    <xf numFmtId="0" fontId="4" fillId="3" borderId="39" xfId="0" applyFont="1" applyFill="1" applyBorder="1" applyAlignment="1" applyProtection="1">
      <alignment horizontal="center"/>
      <protection locked="0"/>
    </xf>
    <xf numFmtId="0" fontId="7" fillId="0" borderId="26" xfId="0" applyFont="1" applyBorder="1" applyAlignment="1">
      <alignment horizontal="left" vertical="top" wrapText="1" indent="1"/>
    </xf>
    <xf numFmtId="0" fontId="7" fillId="0" borderId="27" xfId="0" applyFont="1" applyBorder="1" applyAlignment="1">
      <alignment horizontal="left" vertical="top" wrapText="1" indent="1"/>
    </xf>
    <xf numFmtId="1" fontId="7" fillId="2" borderId="29" xfId="0" applyNumberFormat="1" applyFont="1" applyFill="1" applyBorder="1" applyAlignment="1">
      <alignment horizontal="center" vertical="center" wrapText="1"/>
    </xf>
    <xf numFmtId="0" fontId="7" fillId="3" borderId="0" xfId="0" applyFont="1" applyFill="1" applyAlignment="1" applyProtection="1">
      <alignment horizontal="center" vertical="top" wrapText="1"/>
      <protection locked="0"/>
    </xf>
    <xf numFmtId="164" fontId="7" fillId="2" borderId="24" xfId="0" applyNumberFormat="1" applyFont="1" applyFill="1" applyBorder="1" applyAlignment="1">
      <alignment vertical="center" wrapText="1"/>
    </xf>
    <xf numFmtId="164" fontId="7" fillId="2" borderId="25" xfId="0" applyNumberFormat="1" applyFont="1" applyFill="1" applyBorder="1" applyAlignment="1">
      <alignment vertical="center" wrapText="1"/>
    </xf>
    <xf numFmtId="0" fontId="7" fillId="0" borderId="23" xfId="0" applyFont="1" applyBorder="1" applyAlignment="1">
      <alignment wrapText="1"/>
    </xf>
    <xf numFmtId="166" fontId="7" fillId="3" borderId="24" xfId="0" applyNumberFormat="1" applyFont="1" applyFill="1" applyBorder="1" applyAlignment="1" applyProtection="1">
      <alignment horizontal="center"/>
      <protection locked="0"/>
    </xf>
    <xf numFmtId="0" fontId="7" fillId="0" borderId="5" xfId="0" applyFont="1" applyBorder="1" applyAlignment="1">
      <alignment wrapText="1"/>
    </xf>
    <xf numFmtId="166" fontId="7" fillId="3" borderId="6" xfId="0" applyNumberFormat="1" applyFont="1" applyFill="1" applyBorder="1" applyAlignment="1" applyProtection="1">
      <alignment horizontal="center"/>
      <protection locked="0"/>
    </xf>
    <xf numFmtId="0" fontId="7" fillId="0" borderId="31" xfId="0" applyFont="1" applyBorder="1" applyAlignment="1">
      <alignment horizontal="right" vertical="top"/>
    </xf>
    <xf numFmtId="0" fontId="7" fillId="0" borderId="0" xfId="0" applyFont="1"/>
    <xf numFmtId="0" fontId="7" fillId="0" borderId="0" xfId="0" applyFont="1" applyAlignment="1">
      <alignment horizontal="right" vertical="top"/>
    </xf>
    <xf numFmtId="0" fontId="4" fillId="0" borderId="75" xfId="0" applyFont="1" applyBorder="1"/>
    <xf numFmtId="0" fontId="4" fillId="0" borderId="39" xfId="0" applyFont="1" applyBorder="1"/>
    <xf numFmtId="167" fontId="4" fillId="0" borderId="40" xfId="0" applyNumberFormat="1" applyFont="1" applyBorder="1" applyAlignment="1">
      <alignment horizontal="center"/>
    </xf>
    <xf numFmtId="0" fontId="4" fillId="0" borderId="19" xfId="0" applyFont="1" applyBorder="1" applyAlignment="1">
      <alignment wrapText="1"/>
    </xf>
    <xf numFmtId="0" fontId="4" fillId="0" borderId="31" xfId="0" applyFont="1" applyBorder="1" applyAlignment="1">
      <alignment wrapText="1"/>
    </xf>
    <xf numFmtId="0" fontId="4" fillId="0" borderId="20" xfId="0" applyFont="1" applyBorder="1" applyAlignment="1">
      <alignment wrapText="1"/>
    </xf>
    <xf numFmtId="49" fontId="4" fillId="0" borderId="23" xfId="0" applyNumberFormat="1" applyFont="1" applyBorder="1"/>
    <xf numFmtId="49" fontId="4" fillId="0" borderId="24" xfId="0" applyNumberFormat="1" applyFont="1" applyBorder="1"/>
    <xf numFmtId="164" fontId="4" fillId="0" borderId="25" xfId="0" applyNumberFormat="1" applyFont="1" applyBorder="1"/>
    <xf numFmtId="49" fontId="4" fillId="0" borderId="0" xfId="0" applyNumberFormat="1" applyFont="1"/>
    <xf numFmtId="164" fontId="4" fillId="0" borderId="0" xfId="0" applyNumberFormat="1" applyFont="1"/>
    <xf numFmtId="49" fontId="4" fillId="0" borderId="19" xfId="0" applyNumberFormat="1" applyFont="1" applyBorder="1" applyAlignment="1">
      <alignment wrapText="1"/>
    </xf>
    <xf numFmtId="49" fontId="4" fillId="0" borderId="20" xfId="0" applyNumberFormat="1" applyFont="1" applyBorder="1" applyAlignment="1">
      <alignment wrapText="1"/>
    </xf>
    <xf numFmtId="164" fontId="4" fillId="0" borderId="0" xfId="0" applyNumberFormat="1" applyFont="1" applyAlignment="1">
      <alignment wrapText="1"/>
    </xf>
    <xf numFmtId="49" fontId="4" fillId="0" borderId="25" xfId="0" applyNumberFormat="1" applyFont="1" applyBorder="1"/>
    <xf numFmtId="0" fontId="4" fillId="0" borderId="19" xfId="0" applyFont="1" applyBorder="1" applyAlignment="1">
      <alignment vertical="top" wrapText="1"/>
    </xf>
    <xf numFmtId="0" fontId="4" fillId="0" borderId="31" xfId="0" applyFont="1" applyBorder="1" applyAlignment="1">
      <alignment vertical="top" wrapText="1"/>
    </xf>
    <xf numFmtId="0" fontId="4" fillId="5" borderId="31" xfId="0" applyFont="1" applyFill="1" applyBorder="1" applyAlignment="1">
      <alignment vertical="top" wrapText="1"/>
    </xf>
    <xf numFmtId="49" fontId="4" fillId="0" borderId="23" xfId="0" applyNumberFormat="1" applyFont="1" applyBorder="1" applyAlignment="1">
      <alignment wrapText="1"/>
    </xf>
    <xf numFmtId="49" fontId="4" fillId="0" borderId="24" xfId="0" applyNumberFormat="1" applyFont="1" applyBorder="1" applyAlignment="1">
      <alignment wrapText="1"/>
    </xf>
    <xf numFmtId="164" fontId="4" fillId="0" borderId="24" xfId="0" applyNumberFormat="1" applyFont="1" applyBorder="1" applyAlignment="1">
      <alignment wrapText="1"/>
    </xf>
    <xf numFmtId="1" fontId="4" fillId="0" borderId="24" xfId="0" applyNumberFormat="1" applyFont="1" applyBorder="1"/>
    <xf numFmtId="1" fontId="4" fillId="0" borderId="25" xfId="0" applyNumberFormat="1" applyFont="1" applyBorder="1"/>
    <xf numFmtId="49" fontId="4" fillId="0" borderId="22" xfId="0" applyNumberFormat="1" applyFont="1" applyBorder="1"/>
    <xf numFmtId="168" fontId="4" fillId="0" borderId="23" xfId="0" applyNumberFormat="1" applyFont="1" applyBorder="1"/>
    <xf numFmtId="168" fontId="4" fillId="0" borderId="24" xfId="0" applyNumberFormat="1" applyFont="1" applyBorder="1"/>
    <xf numFmtId="2" fontId="4" fillId="0" borderId="24" xfId="0" applyNumberFormat="1" applyFont="1" applyBorder="1"/>
    <xf numFmtId="2" fontId="4" fillId="0" borderId="25" xfId="0" applyNumberFormat="1" applyFont="1" applyBorder="1"/>
    <xf numFmtId="49" fontId="4" fillId="0" borderId="21" xfId="0" applyNumberFormat="1" applyFont="1" applyBorder="1"/>
    <xf numFmtId="164" fontId="4" fillId="0" borderId="24" xfId="0" applyNumberFormat="1" applyFont="1" applyBorder="1"/>
    <xf numFmtId="0" fontId="4" fillId="4" borderId="31" xfId="0" applyFont="1" applyFill="1" applyBorder="1" applyAlignment="1">
      <alignment wrapText="1"/>
    </xf>
    <xf numFmtId="1" fontId="4" fillId="0" borderId="0" xfId="0" applyNumberFormat="1" applyFont="1"/>
    <xf numFmtId="49" fontId="4" fillId="4" borderId="0" xfId="0" applyNumberFormat="1" applyFont="1" applyFill="1"/>
    <xf numFmtId="49" fontId="4" fillId="4" borderId="24" xfId="0" applyNumberFormat="1" applyFont="1" applyFill="1" applyBorder="1"/>
    <xf numFmtId="0" fontId="4" fillId="0" borderId="24" xfId="0" applyFont="1" applyBorder="1"/>
    <xf numFmtId="49" fontId="4" fillId="0" borderId="21" xfId="0" applyNumberFormat="1" applyFont="1" applyBorder="1" applyAlignment="1">
      <alignment wrapText="1"/>
    </xf>
    <xf numFmtId="1" fontId="4" fillId="0" borderId="0" xfId="0" applyNumberFormat="1" applyFont="1" applyAlignment="1">
      <alignment wrapText="1"/>
    </xf>
    <xf numFmtId="1" fontId="4" fillId="0" borderId="22" xfId="0" applyNumberFormat="1" applyFont="1" applyBorder="1" applyAlignment="1">
      <alignment wrapText="1"/>
    </xf>
    <xf numFmtId="1" fontId="4" fillId="0" borderId="24" xfId="0" applyNumberFormat="1" applyFont="1" applyBorder="1" applyAlignment="1">
      <alignment wrapText="1"/>
    </xf>
    <xf numFmtId="1" fontId="4" fillId="0" borderId="25" xfId="0" applyNumberFormat="1" applyFont="1" applyBorder="1" applyAlignment="1">
      <alignment wrapText="1"/>
    </xf>
    <xf numFmtId="1" fontId="4" fillId="0" borderId="22" xfId="0" applyNumberFormat="1" applyFont="1" applyBorder="1"/>
    <xf numFmtId="0" fontId="5" fillId="0" borderId="7" xfId="0" applyFont="1" applyBorder="1" applyAlignment="1">
      <alignment horizontal="right" vertical="center" wrapText="1"/>
    </xf>
    <xf numFmtId="0" fontId="5" fillId="0" borderId="7" xfId="2" applyFont="1" applyBorder="1" applyAlignment="1">
      <alignment horizontal="right" vertical="center" wrapText="1"/>
    </xf>
    <xf numFmtId="0" fontId="7" fillId="0" borderId="7" xfId="0" applyFont="1" applyBorder="1" applyAlignment="1">
      <alignment horizontal="right" vertical="center" wrapText="1"/>
    </xf>
    <xf numFmtId="0" fontId="5" fillId="0" borderId="4" xfId="0" applyFont="1" applyBorder="1" applyAlignment="1">
      <alignment horizontal="right" vertical="center" wrapText="1"/>
    </xf>
    <xf numFmtId="0" fontId="7" fillId="0" borderId="4" xfId="0" applyFont="1" applyBorder="1" applyAlignment="1">
      <alignment horizontal="right" vertical="center" wrapText="1" indent="1"/>
    </xf>
    <xf numFmtId="0" fontId="9" fillId="0" borderId="39" xfId="0" applyFont="1" applyBorder="1" applyAlignment="1">
      <alignment horizontal="left" vertical="top" wrapText="1"/>
    </xf>
    <xf numFmtId="0" fontId="13" fillId="0" borderId="39" xfId="0" applyFont="1" applyBorder="1" applyAlignment="1">
      <alignment horizontal="left" vertical="top" wrapText="1"/>
    </xf>
    <xf numFmtId="0" fontId="10" fillId="0" borderId="39" xfId="0" applyFont="1" applyBorder="1" applyAlignment="1">
      <alignment vertical="center" wrapText="1"/>
    </xf>
    <xf numFmtId="0" fontId="39" fillId="0" borderId="0" xfId="0" applyFont="1"/>
    <xf numFmtId="165" fontId="41" fillId="0" borderId="12" xfId="0" applyNumberFormat="1" applyFont="1" applyBorder="1" applyAlignment="1">
      <alignment horizontal="center" vertical="center" wrapText="1"/>
    </xf>
    <xf numFmtId="165" fontId="7" fillId="2" borderId="0" xfId="1" applyNumberFormat="1" applyFont="1" applyFill="1" applyAlignment="1">
      <alignment vertical="center" wrapText="1"/>
    </xf>
    <xf numFmtId="165" fontId="7" fillId="2" borderId="5" xfId="1" applyNumberFormat="1" applyFont="1" applyFill="1" applyBorder="1" applyAlignment="1">
      <alignment vertical="center" wrapText="1"/>
    </xf>
    <xf numFmtId="164" fontId="7" fillId="2" borderId="8" xfId="0" applyNumberFormat="1" applyFont="1" applyFill="1" applyBorder="1" applyAlignment="1">
      <alignment vertical="center" wrapText="1"/>
    </xf>
    <xf numFmtId="164" fontId="7" fillId="2" borderId="6" xfId="0" applyNumberFormat="1" applyFont="1" applyFill="1" applyBorder="1" applyAlignment="1">
      <alignment vertical="center" wrapText="1"/>
    </xf>
    <xf numFmtId="165" fontId="7" fillId="2" borderId="0" xfId="0" applyNumberFormat="1" applyFont="1" applyFill="1" applyAlignment="1">
      <alignment vertical="center" wrapText="1"/>
    </xf>
    <xf numFmtId="165" fontId="13" fillId="2" borderId="5" xfId="0" applyNumberFormat="1" applyFont="1" applyFill="1" applyBorder="1" applyAlignment="1">
      <alignment vertical="center" wrapText="1"/>
    </xf>
    <xf numFmtId="0" fontId="4" fillId="0" borderId="7" xfId="0" applyFont="1" applyBorder="1" applyAlignment="1">
      <alignment horizontal="right" vertical="center" wrapText="1"/>
    </xf>
    <xf numFmtId="166" fontId="4" fillId="0" borderId="0" xfId="0" applyNumberFormat="1" applyFont="1"/>
    <xf numFmtId="166" fontId="4" fillId="0" borderId="24" xfId="0" applyNumberFormat="1" applyFont="1" applyBorder="1"/>
    <xf numFmtId="49" fontId="22" fillId="0" borderId="21" xfId="0" applyNumberFormat="1" applyFont="1" applyBorder="1"/>
    <xf numFmtId="49" fontId="22" fillId="0" borderId="0" xfId="0" applyNumberFormat="1" applyFont="1"/>
    <xf numFmtId="164" fontId="22" fillId="0" borderId="0" xfId="0" applyNumberFormat="1" applyFont="1"/>
    <xf numFmtId="49" fontId="22" fillId="0" borderId="23" xfId="0" applyNumberFormat="1" applyFont="1" applyBorder="1"/>
    <xf numFmtId="49" fontId="22" fillId="0" borderId="24" xfId="0" applyNumberFormat="1" applyFont="1" applyBorder="1"/>
    <xf numFmtId="164" fontId="22" fillId="0" borderId="24" xfId="0" applyNumberFormat="1" applyFont="1" applyBorder="1"/>
    <xf numFmtId="0" fontId="22" fillId="0" borderId="24" xfId="0" applyFont="1" applyBorder="1"/>
    <xf numFmtId="0" fontId="22" fillId="0" borderId="19" xfId="0" applyFont="1" applyBorder="1" applyAlignment="1">
      <alignment wrapText="1"/>
    </xf>
    <xf numFmtId="0" fontId="22" fillId="0" borderId="31" xfId="0" applyFont="1" applyBorder="1" applyAlignment="1">
      <alignment wrapText="1"/>
    </xf>
    <xf numFmtId="49" fontId="22" fillId="0" borderId="31" xfId="0" applyNumberFormat="1" applyFont="1" applyBorder="1" applyAlignment="1">
      <alignment wrapText="1"/>
    </xf>
    <xf numFmtId="164" fontId="4" fillId="5" borderId="24" xfId="0" applyNumberFormat="1" applyFont="1" applyFill="1" applyBorder="1" applyAlignment="1">
      <alignment wrapText="1"/>
    </xf>
    <xf numFmtId="1" fontId="4" fillId="0" borderId="8" xfId="0" applyNumberFormat="1" applyFont="1" applyBorder="1"/>
    <xf numFmtId="1" fontId="4" fillId="0" borderId="35" xfId="0" applyNumberFormat="1" applyFont="1" applyBorder="1"/>
    <xf numFmtId="1" fontId="5" fillId="7" borderId="39" xfId="0" applyNumberFormat="1" applyFont="1" applyFill="1" applyBorder="1" applyProtection="1">
      <protection locked="0"/>
    </xf>
    <xf numFmtId="1" fontId="5" fillId="3" borderId="18" xfId="0" applyNumberFormat="1" applyFont="1" applyFill="1" applyBorder="1" applyAlignment="1" applyProtection="1">
      <alignment vertical="center" shrinkToFit="1"/>
      <protection locked="0"/>
    </xf>
    <xf numFmtId="49" fontId="5" fillId="3" borderId="16" xfId="0" applyNumberFormat="1" applyFont="1" applyFill="1" applyBorder="1" applyAlignment="1" applyProtection="1">
      <alignment vertical="center" wrapText="1"/>
      <protection locked="0"/>
    </xf>
    <xf numFmtId="49" fontId="5" fillId="3" borderId="39" xfId="0" applyNumberFormat="1" applyFont="1" applyFill="1" applyBorder="1" applyAlignment="1" applyProtection="1">
      <alignment horizontal="left" vertical="center" wrapText="1"/>
      <protection locked="0"/>
    </xf>
    <xf numFmtId="49" fontId="5" fillId="3" borderId="39" xfId="0" applyNumberFormat="1" applyFont="1" applyFill="1" applyBorder="1" applyAlignment="1" applyProtection="1">
      <alignment horizontal="center" vertical="center" wrapText="1"/>
      <protection locked="0"/>
    </xf>
    <xf numFmtId="164" fontId="5" fillId="3" borderId="39" xfId="0" applyNumberFormat="1" applyFont="1" applyFill="1" applyBorder="1" applyAlignment="1" applyProtection="1">
      <alignment horizontal="center" vertical="center" shrinkToFit="1"/>
      <protection locked="0"/>
    </xf>
    <xf numFmtId="164" fontId="5" fillId="3" borderId="16" xfId="0" applyNumberFormat="1" applyFont="1" applyFill="1" applyBorder="1" applyAlignment="1" applyProtection="1">
      <alignment horizontal="center" vertical="center" shrinkToFit="1"/>
      <protection locked="0"/>
    </xf>
    <xf numFmtId="2" fontId="5" fillId="3" borderId="39" xfId="0" applyNumberFormat="1" applyFont="1" applyFill="1" applyBorder="1" applyAlignment="1" applyProtection="1">
      <alignment horizontal="center" vertical="center" shrinkToFit="1"/>
      <protection locked="0"/>
    </xf>
    <xf numFmtId="44" fontId="5" fillId="3" borderId="16" xfId="0" applyNumberFormat="1" applyFont="1" applyFill="1" applyBorder="1" applyAlignment="1" applyProtection="1">
      <alignment vertical="center" shrinkToFit="1"/>
      <protection locked="0"/>
    </xf>
    <xf numFmtId="44" fontId="5" fillId="0" borderId="16" xfId="0" applyNumberFormat="1" applyFont="1" applyBorder="1" applyAlignment="1">
      <alignment vertical="center" shrinkToFit="1"/>
    </xf>
    <xf numFmtId="2" fontId="5" fillId="3" borderId="16" xfId="0" applyNumberFormat="1" applyFont="1" applyFill="1" applyBorder="1" applyAlignment="1" applyProtection="1">
      <alignment horizontal="center" vertical="center" shrinkToFit="1"/>
      <protection locked="0"/>
    </xf>
    <xf numFmtId="2" fontId="5" fillId="0" borderId="39" xfId="0" applyNumberFormat="1" applyFont="1" applyBorder="1" applyAlignment="1">
      <alignment horizontal="center" vertical="center" shrinkToFit="1"/>
    </xf>
    <xf numFmtId="0" fontId="7" fillId="0" borderId="21" xfId="0" applyFont="1" applyBorder="1" applyAlignment="1">
      <alignment horizontal="right" vertical="center" wrapText="1"/>
    </xf>
    <xf numFmtId="49" fontId="7" fillId="3" borderId="16" xfId="1" applyNumberFormat="1" applyFont="1" applyFill="1" applyBorder="1" applyAlignment="1" applyProtection="1">
      <alignment vertical="center" wrapText="1"/>
      <protection locked="0"/>
    </xf>
    <xf numFmtId="49" fontId="7" fillId="3" borderId="42" xfId="1" applyNumberFormat="1" applyFont="1" applyFill="1" applyBorder="1" applyAlignment="1" applyProtection="1">
      <alignment vertical="center" wrapText="1"/>
      <protection locked="0"/>
    </xf>
    <xf numFmtId="1" fontId="5" fillId="7" borderId="38" xfId="0" applyNumberFormat="1" applyFont="1" applyFill="1" applyBorder="1" applyProtection="1">
      <protection locked="0"/>
    </xf>
    <xf numFmtId="1" fontId="5" fillId="3" borderId="25" xfId="0" applyNumberFormat="1" applyFont="1" applyFill="1" applyBorder="1" applyAlignment="1" applyProtection="1">
      <alignment vertical="center" shrinkToFit="1"/>
      <protection locked="0"/>
    </xf>
    <xf numFmtId="49" fontId="5" fillId="3" borderId="23" xfId="0" applyNumberFormat="1" applyFont="1" applyFill="1" applyBorder="1" applyAlignment="1" applyProtection="1">
      <alignment vertical="center" wrapText="1"/>
      <protection locked="0"/>
    </xf>
    <xf numFmtId="49" fontId="5" fillId="3" borderId="38" xfId="0" applyNumberFormat="1" applyFont="1" applyFill="1" applyBorder="1" applyAlignment="1" applyProtection="1">
      <alignment horizontal="left" vertical="center" wrapText="1"/>
      <protection locked="0"/>
    </xf>
    <xf numFmtId="49" fontId="5" fillId="3" borderId="38" xfId="0" applyNumberFormat="1" applyFont="1" applyFill="1" applyBorder="1" applyAlignment="1" applyProtection="1">
      <alignment horizontal="center" vertical="center" wrapText="1"/>
      <protection locked="0"/>
    </xf>
    <xf numFmtId="164" fontId="5" fillId="3" borderId="38" xfId="0" applyNumberFormat="1" applyFont="1" applyFill="1" applyBorder="1" applyAlignment="1" applyProtection="1">
      <alignment horizontal="center" vertical="center" shrinkToFit="1"/>
      <protection locked="0"/>
    </xf>
    <xf numFmtId="164" fontId="5" fillId="3" borderId="23" xfId="0" applyNumberFormat="1" applyFont="1" applyFill="1" applyBorder="1" applyAlignment="1" applyProtection="1">
      <alignment horizontal="center" vertical="center" shrinkToFit="1"/>
      <protection locked="0"/>
    </xf>
    <xf numFmtId="2" fontId="5" fillId="3" borderId="38" xfId="0" applyNumberFormat="1" applyFont="1" applyFill="1" applyBorder="1" applyAlignment="1" applyProtection="1">
      <alignment horizontal="center" vertical="center" shrinkToFit="1"/>
      <protection locked="0"/>
    </xf>
    <xf numFmtId="44" fontId="5" fillId="3" borderId="23" xfId="0" applyNumberFormat="1" applyFont="1" applyFill="1" applyBorder="1" applyAlignment="1" applyProtection="1">
      <alignment vertical="center" shrinkToFit="1"/>
      <protection locked="0"/>
    </xf>
    <xf numFmtId="44" fontId="5" fillId="0" borderId="23" xfId="0" applyNumberFormat="1" applyFont="1" applyBorder="1" applyAlignment="1">
      <alignment vertical="center" shrinkToFit="1"/>
    </xf>
    <xf numFmtId="2" fontId="5" fillId="3" borderId="23" xfId="0" applyNumberFormat="1" applyFont="1" applyFill="1" applyBorder="1" applyAlignment="1" applyProtection="1">
      <alignment horizontal="center" vertical="center" shrinkToFit="1"/>
      <protection locked="0"/>
    </xf>
    <xf numFmtId="2" fontId="5" fillId="0" borderId="38" xfId="0" applyNumberFormat="1" applyFont="1" applyBorder="1" applyAlignment="1">
      <alignment horizontal="center" vertical="center" shrinkToFit="1"/>
    </xf>
    <xf numFmtId="0" fontId="10" fillId="0" borderId="41" xfId="0" applyFont="1" applyBorder="1" applyAlignment="1">
      <alignment horizontal="center"/>
    </xf>
    <xf numFmtId="0" fontId="10" fillId="0" borderId="18" xfId="0" applyFont="1" applyBorder="1" applyAlignment="1">
      <alignment horizontal="center" wrapText="1"/>
    </xf>
    <xf numFmtId="0" fontId="10" fillId="0" borderId="39" xfId="0" applyFont="1" applyBorder="1" applyAlignment="1">
      <alignment horizontal="center" wrapText="1"/>
    </xf>
    <xf numFmtId="0" fontId="10" fillId="0" borderId="16" xfId="0" applyFont="1" applyBorder="1" applyAlignment="1">
      <alignment horizontal="center" wrapText="1"/>
    </xf>
    <xf numFmtId="0" fontId="10" fillId="0" borderId="46" xfId="0" applyFont="1" applyBorder="1" applyAlignment="1">
      <alignment horizontal="center" wrapText="1"/>
    </xf>
    <xf numFmtId="0" fontId="10" fillId="0" borderId="47" xfId="0" applyFont="1" applyBorder="1" applyAlignment="1">
      <alignment horizontal="center" wrapText="1"/>
    </xf>
    <xf numFmtId="0" fontId="10" fillId="0" borderId="40" xfId="0" applyFont="1" applyBorder="1" applyAlignment="1">
      <alignment horizontal="center" wrapText="1"/>
    </xf>
    <xf numFmtId="0" fontId="10" fillId="0" borderId="42" xfId="0" applyFont="1" applyBorder="1" applyAlignment="1">
      <alignment horizontal="center" wrapText="1"/>
    </xf>
    <xf numFmtId="0" fontId="5" fillId="0" borderId="84" xfId="2" applyFont="1" applyBorder="1" applyAlignment="1">
      <alignment horizontal="right" vertical="center" wrapText="1"/>
    </xf>
    <xf numFmtId="0" fontId="5" fillId="0" borderId="86" xfId="2" applyFont="1" applyBorder="1" applyAlignment="1">
      <alignment horizontal="right" vertical="center" wrapText="1"/>
    </xf>
    <xf numFmtId="0" fontId="7" fillId="0" borderId="84" xfId="0" applyFont="1" applyBorder="1" applyAlignment="1">
      <alignment horizontal="right" vertical="center" wrapText="1"/>
    </xf>
    <xf numFmtId="0" fontId="7" fillId="0" borderId="86" xfId="0" applyFont="1" applyBorder="1" applyAlignment="1">
      <alignment horizontal="right" vertical="center" wrapText="1"/>
    </xf>
    <xf numFmtId="0" fontId="13" fillId="0" borderId="36" xfId="0" applyFont="1" applyBorder="1" applyAlignment="1">
      <alignment horizontal="left" vertical="top" wrapText="1"/>
    </xf>
    <xf numFmtId="0" fontId="4" fillId="3" borderId="35"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protection locked="0"/>
    </xf>
    <xf numFmtId="0" fontId="4" fillId="3" borderId="38" xfId="0" applyFont="1" applyFill="1" applyBorder="1" applyAlignment="1" applyProtection="1">
      <alignment horizontal="center" vertical="center" wrapText="1"/>
      <protection locked="0"/>
    </xf>
    <xf numFmtId="0" fontId="4" fillId="3" borderId="40" xfId="0" applyFont="1" applyFill="1" applyBorder="1" applyAlignment="1" applyProtection="1">
      <alignment horizontal="center" vertical="center" wrapText="1"/>
      <protection locked="0"/>
    </xf>
    <xf numFmtId="0" fontId="10" fillId="0" borderId="55" xfId="0" applyFont="1" applyBorder="1" applyAlignment="1">
      <alignment vertical="center" wrapText="1"/>
    </xf>
    <xf numFmtId="0" fontId="31" fillId="0" borderId="0" xfId="0" applyFont="1" applyAlignment="1">
      <alignment horizontal="center"/>
    </xf>
    <xf numFmtId="0" fontId="31" fillId="0" borderId="0" xfId="0" applyFont="1" applyAlignment="1">
      <alignment horizontal="center" vertical="center"/>
    </xf>
    <xf numFmtId="164" fontId="4" fillId="3" borderId="25" xfId="0" applyNumberFormat="1" applyFont="1" applyFill="1" applyBorder="1" applyAlignment="1" applyProtection="1">
      <alignment horizontal="center" vertical="center" wrapText="1"/>
      <protection locked="0"/>
    </xf>
    <xf numFmtId="164" fontId="4" fillId="3" borderId="47" xfId="0" applyNumberFormat="1" applyFont="1" applyFill="1" applyBorder="1" applyAlignment="1" applyProtection="1">
      <alignment horizontal="center" vertical="center" wrapText="1"/>
      <protection locked="0"/>
    </xf>
    <xf numFmtId="49" fontId="4" fillId="3" borderId="47" xfId="0" applyNumberFormat="1" applyFont="1" applyFill="1" applyBorder="1" applyAlignment="1" applyProtection="1">
      <alignment horizontal="center" vertical="center" wrapText="1"/>
      <protection locked="0"/>
    </xf>
    <xf numFmtId="0" fontId="42" fillId="7" borderId="6" xfId="0" applyFont="1" applyFill="1" applyBorder="1" applyAlignment="1" applyProtection="1">
      <alignment horizontal="center" vertical="center" wrapText="1"/>
      <protection locked="0"/>
    </xf>
    <xf numFmtId="49" fontId="22" fillId="0" borderId="22" xfId="0" applyNumberFormat="1" applyFont="1" applyBorder="1"/>
    <xf numFmtId="49" fontId="22" fillId="0" borderId="25" xfId="0" applyNumberFormat="1" applyFont="1" applyBorder="1"/>
    <xf numFmtId="0" fontId="5" fillId="0" borderId="7" xfId="0" applyFont="1" applyBorder="1" applyAlignment="1">
      <alignment horizontal="center" vertical="center" wrapText="1"/>
    </xf>
    <xf numFmtId="49" fontId="5" fillId="0" borderId="0" xfId="0" applyNumberFormat="1" applyFont="1" applyAlignment="1">
      <alignment horizontal="center" vertical="center" wrapText="1"/>
    </xf>
    <xf numFmtId="169" fontId="5" fillId="0" borderId="0" xfId="0" applyNumberFormat="1" applyFont="1" applyAlignment="1">
      <alignment horizontal="center" vertical="center" wrapText="1"/>
    </xf>
    <xf numFmtId="0" fontId="8" fillId="0" borderId="7" xfId="0" applyFont="1" applyBorder="1" applyAlignment="1">
      <alignment horizontal="center" vertical="center"/>
    </xf>
    <xf numFmtId="0" fontId="22" fillId="0" borderId="0" xfId="0" applyFont="1" applyProtection="1">
      <protection hidden="1"/>
    </xf>
    <xf numFmtId="44" fontId="5" fillId="0" borderId="54" xfId="0" applyNumberFormat="1" applyFont="1" applyBorder="1" applyAlignment="1">
      <alignment vertical="center" shrinkToFit="1"/>
    </xf>
    <xf numFmtId="44" fontId="5" fillId="0" borderId="39" xfId="0" applyNumberFormat="1" applyFont="1" applyBorder="1" applyAlignment="1">
      <alignment vertical="center" shrinkToFit="1"/>
    </xf>
    <xf numFmtId="164" fontId="4" fillId="0" borderId="22" xfId="0" applyNumberFormat="1" applyFont="1" applyBorder="1"/>
    <xf numFmtId="0" fontId="16" fillId="0" borderId="0" xfId="0" applyFont="1" applyAlignment="1">
      <alignment horizontal="left" vertical="center" indent="2"/>
    </xf>
    <xf numFmtId="49" fontId="5" fillId="7" borderId="45" xfId="0" applyNumberFormat="1" applyFont="1" applyFill="1" applyBorder="1" applyAlignment="1" applyProtection="1">
      <alignment vertical="center" shrinkToFit="1"/>
      <protection locked="0"/>
    </xf>
    <xf numFmtId="0" fontId="9" fillId="0" borderId="14" xfId="0" applyFont="1" applyBorder="1" applyAlignment="1">
      <alignment horizontal="left" vertical="center"/>
    </xf>
    <xf numFmtId="0" fontId="4" fillId="0" borderId="0" xfId="0" applyFont="1" applyAlignment="1">
      <alignment horizontal="left"/>
    </xf>
    <xf numFmtId="0" fontId="16" fillId="0" borderId="0" xfId="0" applyFont="1" applyAlignment="1">
      <alignment horizontal="left"/>
    </xf>
    <xf numFmtId="0" fontId="10" fillId="0" borderId="7" xfId="0" applyFont="1" applyBorder="1" applyAlignment="1">
      <alignment horizontal="left" wrapText="1" indent="1"/>
    </xf>
    <xf numFmtId="0" fontId="5" fillId="0" borderId="0" xfId="0" applyFont="1" applyAlignment="1">
      <alignment horizontal="left" wrapText="1" indent="1"/>
    </xf>
    <xf numFmtId="0" fontId="5" fillId="0" borderId="8" xfId="0" applyFont="1" applyBorder="1" applyAlignment="1">
      <alignment horizontal="left" wrapText="1" indent="1"/>
    </xf>
    <xf numFmtId="0" fontId="5" fillId="0" borderId="7" xfId="0" applyFont="1" applyBorder="1" applyAlignment="1">
      <alignment horizontal="left" wrapText="1" indent="1"/>
    </xf>
    <xf numFmtId="0" fontId="5" fillId="0" borderId="4" xfId="0" applyFont="1" applyBorder="1" applyAlignment="1">
      <alignment horizontal="left" wrapText="1" indent="1"/>
    </xf>
    <xf numFmtId="0" fontId="5" fillId="0" borderId="5" xfId="0" applyFont="1" applyBorder="1" applyAlignment="1">
      <alignment horizontal="left" wrapText="1" indent="1"/>
    </xf>
    <xf numFmtId="0" fontId="5" fillId="0" borderId="6" xfId="0" applyFont="1" applyBorder="1" applyAlignment="1">
      <alignment horizontal="left" wrapText="1" inden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1" fontId="9" fillId="0" borderId="9" xfId="0" applyNumberFormat="1" applyFont="1" applyBorder="1" applyAlignment="1" applyProtection="1">
      <alignment horizontal="center" vertical="center" wrapText="1"/>
      <protection hidden="1"/>
    </xf>
    <xf numFmtId="1" fontId="9" fillId="0" borderId="11" xfId="0" applyNumberFormat="1" applyFont="1" applyBorder="1" applyAlignment="1" applyProtection="1">
      <alignment horizontal="center" vertical="center" wrapText="1"/>
      <protection hidden="1"/>
    </xf>
    <xf numFmtId="0" fontId="5" fillId="0" borderId="1" xfId="0" applyFont="1" applyBorder="1" applyAlignment="1">
      <alignment horizontal="center" vertical="top" wrapText="1"/>
    </xf>
    <xf numFmtId="0" fontId="5" fillId="0" borderId="4" xfId="0" applyFont="1" applyBorder="1" applyAlignment="1">
      <alignment horizontal="center" vertical="top" wrapText="1"/>
    </xf>
    <xf numFmtId="0" fontId="5" fillId="3" borderId="2" xfId="0" applyFont="1" applyFill="1" applyBorder="1" applyAlignment="1" applyProtection="1">
      <alignment horizontal="left" vertical="top" wrapText="1"/>
      <protection locked="0"/>
    </xf>
    <xf numFmtId="0" fontId="5" fillId="3" borderId="3" xfId="0" applyFont="1" applyFill="1" applyBorder="1" applyAlignment="1" applyProtection="1">
      <alignment horizontal="left" vertical="top" wrapText="1"/>
      <protection locked="0"/>
    </xf>
    <xf numFmtId="0" fontId="5" fillId="3" borderId="5" xfId="0" applyFont="1" applyFill="1" applyBorder="1" applyAlignment="1" applyProtection="1">
      <alignment horizontal="left" vertical="top" wrapText="1"/>
      <protection locked="0"/>
    </xf>
    <xf numFmtId="0" fontId="5" fillId="3" borderId="6" xfId="0" applyFont="1" applyFill="1" applyBorder="1" applyAlignment="1" applyProtection="1">
      <alignment horizontal="left" vertical="top" wrapText="1"/>
      <protection locked="0"/>
    </xf>
    <xf numFmtId="0" fontId="9" fillId="0" borderId="1" xfId="0" applyFont="1" applyBorder="1" applyAlignment="1">
      <alignment horizontal="left" vertical="top" wrapText="1" indent="1"/>
    </xf>
    <xf numFmtId="0" fontId="9" fillId="0" borderId="2" xfId="0" applyFont="1" applyBorder="1" applyAlignment="1">
      <alignment horizontal="left" vertical="top" wrapText="1" indent="1"/>
    </xf>
    <xf numFmtId="0" fontId="9" fillId="0" borderId="3" xfId="0" applyFont="1" applyBorder="1" applyAlignment="1">
      <alignment horizontal="left" vertical="top" wrapText="1" indent="1"/>
    </xf>
    <xf numFmtId="0" fontId="9" fillId="0" borderId="7" xfId="0" applyFont="1" applyBorder="1" applyAlignment="1">
      <alignment horizontal="left" vertical="top" wrapText="1" indent="1"/>
    </xf>
    <xf numFmtId="0" fontId="9" fillId="0" borderId="0" xfId="0" applyFont="1" applyAlignment="1">
      <alignment horizontal="left" vertical="top" wrapText="1" indent="1"/>
    </xf>
    <xf numFmtId="0" fontId="9" fillId="0" borderId="8" xfId="0" applyFont="1" applyBorder="1" applyAlignment="1">
      <alignment horizontal="left" vertical="top" wrapText="1" indent="1"/>
    </xf>
    <xf numFmtId="0" fontId="8" fillId="0" borderId="1" xfId="0" applyFont="1" applyBorder="1" applyAlignment="1">
      <alignment horizontal="left" vertical="top" wrapText="1" indent="1"/>
    </xf>
    <xf numFmtId="0" fontId="8" fillId="0" borderId="2" xfId="0" applyFont="1" applyBorder="1" applyAlignment="1">
      <alignment horizontal="left" vertical="top" wrapText="1" indent="1"/>
    </xf>
    <xf numFmtId="0" fontId="8" fillId="0" borderId="3" xfId="0" applyFont="1" applyBorder="1" applyAlignment="1">
      <alignment horizontal="left" vertical="top" wrapText="1" indent="1"/>
    </xf>
    <xf numFmtId="0" fontId="19" fillId="0" borderId="4" xfId="0" applyFont="1" applyBorder="1" applyAlignment="1">
      <alignment horizontal="left" vertical="top" wrapText="1" indent="1"/>
    </xf>
    <xf numFmtId="0" fontId="19" fillId="0" borderId="5" xfId="0" applyFont="1" applyBorder="1" applyAlignment="1">
      <alignment horizontal="left" vertical="top" wrapText="1" indent="1"/>
    </xf>
    <xf numFmtId="0" fontId="19" fillId="0" borderId="6" xfId="0" applyFont="1" applyBorder="1" applyAlignment="1">
      <alignment horizontal="left" vertical="top" wrapText="1" indent="1"/>
    </xf>
    <xf numFmtId="0" fontId="7" fillId="0" borderId="1" xfId="1" applyFont="1" applyBorder="1" applyAlignment="1">
      <alignment horizontal="center" vertical="top" wrapText="1"/>
    </xf>
    <xf numFmtId="0" fontId="7" fillId="0" borderId="3" xfId="1" applyFont="1" applyBorder="1" applyAlignment="1">
      <alignment horizontal="center" vertical="top" wrapText="1"/>
    </xf>
    <xf numFmtId="0" fontId="7" fillId="0" borderId="34" xfId="1" applyFont="1" applyBorder="1" applyAlignment="1">
      <alignment horizontal="center" vertical="top" wrapText="1"/>
    </xf>
    <xf numFmtId="0" fontId="7" fillId="0" borderId="35" xfId="1" applyFont="1" applyBorder="1" applyAlignment="1">
      <alignment horizontal="center" vertical="top" wrapText="1"/>
    </xf>
    <xf numFmtId="0" fontId="8" fillId="0" borderId="1" xfId="0" applyFont="1" applyBorder="1" applyAlignment="1">
      <alignment horizontal="right" wrapText="1"/>
    </xf>
    <xf numFmtId="0" fontId="8" fillId="0" borderId="2" xfId="0" applyFont="1" applyBorder="1" applyAlignment="1">
      <alignment horizontal="right" wrapText="1"/>
    </xf>
    <xf numFmtId="0" fontId="8" fillId="0" borderId="3" xfId="0" applyFont="1" applyBorder="1" applyAlignment="1">
      <alignment horizontal="right" wrapText="1"/>
    </xf>
    <xf numFmtId="0" fontId="8" fillId="0" borderId="4" xfId="0" applyFont="1" applyBorder="1" applyAlignment="1">
      <alignment horizontal="right" wrapText="1"/>
    </xf>
    <xf numFmtId="0" fontId="8" fillId="0" borderId="5" xfId="0" applyFont="1" applyBorder="1" applyAlignment="1">
      <alignment horizontal="right" wrapText="1"/>
    </xf>
    <xf numFmtId="0" fontId="8" fillId="0" borderId="6" xfId="0" applyFont="1" applyBorder="1" applyAlignment="1">
      <alignment horizontal="right" wrapText="1"/>
    </xf>
    <xf numFmtId="0" fontId="35" fillId="0" borderId="1" xfId="0" applyFont="1" applyBorder="1" applyAlignment="1">
      <alignment horizontal="left" vertical="center" wrapText="1" indent="1"/>
    </xf>
    <xf numFmtId="0" fontId="35" fillId="0" borderId="2" xfId="0" applyFont="1" applyBorder="1" applyAlignment="1">
      <alignment horizontal="left" vertical="center" wrapText="1" indent="1"/>
    </xf>
    <xf numFmtId="0" fontId="35" fillId="0" borderId="3" xfId="0" applyFont="1" applyBorder="1" applyAlignment="1">
      <alignment horizontal="left" vertical="center" wrapText="1" indent="1"/>
    </xf>
    <xf numFmtId="0" fontId="9" fillId="0" borderId="7" xfId="0" applyFont="1" applyBorder="1" applyAlignment="1">
      <alignment horizontal="left" vertical="top" wrapText="1"/>
    </xf>
    <xf numFmtId="0" fontId="9" fillId="0" borderId="0" xfId="0" applyFont="1" applyAlignment="1">
      <alignment horizontal="left" vertical="top" wrapText="1"/>
    </xf>
    <xf numFmtId="0" fontId="9" fillId="0" borderId="8" xfId="0" applyFont="1" applyBorder="1" applyAlignment="1">
      <alignment horizontal="left" vertical="top"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4" fillId="3" borderId="9" xfId="0" applyFont="1" applyFill="1" applyBorder="1" applyAlignment="1" applyProtection="1">
      <alignment horizontal="center" vertical="center"/>
      <protection locked="0"/>
    </xf>
    <xf numFmtId="0" fontId="4" fillId="3" borderId="11" xfId="0" applyFont="1" applyFill="1" applyBorder="1" applyAlignment="1" applyProtection="1">
      <alignment horizontal="center" vertical="center"/>
      <protection locked="0"/>
    </xf>
    <xf numFmtId="0" fontId="7" fillId="0" borderId="1" xfId="0" applyFont="1" applyBorder="1" applyAlignment="1">
      <alignment horizontal="left" vertical="top" wrapText="1" indent="1"/>
    </xf>
    <xf numFmtId="0" fontId="7" fillId="0" borderId="2" xfId="0" applyFont="1" applyBorder="1" applyAlignment="1">
      <alignment horizontal="left" vertical="top" wrapText="1" indent="1"/>
    </xf>
    <xf numFmtId="0" fontId="7" fillId="0" borderId="3" xfId="0" applyFont="1" applyBorder="1" applyAlignment="1">
      <alignment horizontal="left" vertical="top" wrapText="1" indent="1"/>
    </xf>
    <xf numFmtId="49" fontId="4" fillId="3" borderId="70" xfId="0" applyNumberFormat="1" applyFont="1" applyFill="1" applyBorder="1" applyAlignment="1" applyProtection="1">
      <alignment horizontal="left" vertical="center" wrapText="1" indent="1"/>
      <protection locked="0"/>
    </xf>
    <xf numFmtId="49" fontId="4" fillId="3" borderId="60" xfId="0" applyNumberFormat="1" applyFont="1" applyFill="1" applyBorder="1" applyAlignment="1" applyProtection="1">
      <alignment horizontal="left" vertical="center" wrapText="1" indent="1"/>
      <protection locked="0"/>
    </xf>
    <xf numFmtId="49" fontId="4" fillId="3" borderId="74" xfId="0" applyNumberFormat="1" applyFont="1" applyFill="1" applyBorder="1" applyAlignment="1" applyProtection="1">
      <alignment horizontal="left" vertical="center" wrapText="1" indent="1"/>
      <protection locked="0"/>
    </xf>
    <xf numFmtId="49" fontId="4" fillId="3" borderId="70" xfId="0" applyNumberFormat="1" applyFont="1" applyFill="1" applyBorder="1" applyAlignment="1" applyProtection="1">
      <alignment horizontal="center" vertical="center" wrapText="1"/>
      <protection locked="0"/>
    </xf>
    <xf numFmtId="49" fontId="4" fillId="3" borderId="74" xfId="0" applyNumberFormat="1" applyFont="1" applyFill="1" applyBorder="1" applyAlignment="1" applyProtection="1">
      <alignment horizontal="center" vertical="center" wrapText="1"/>
      <protection locked="0"/>
    </xf>
    <xf numFmtId="49" fontId="4" fillId="3" borderId="60" xfId="0" applyNumberFormat="1" applyFont="1" applyFill="1" applyBorder="1" applyAlignment="1" applyProtection="1">
      <alignment horizontal="center" vertical="center" wrapText="1"/>
      <protection locked="0"/>
    </xf>
    <xf numFmtId="49" fontId="7" fillId="3" borderId="70" xfId="0" applyNumberFormat="1" applyFont="1" applyFill="1" applyBorder="1" applyAlignment="1" applyProtection="1">
      <alignment horizontal="left" vertical="top" wrapText="1" indent="1"/>
      <protection locked="0"/>
    </xf>
    <xf numFmtId="49" fontId="7" fillId="3" borderId="74" xfId="0" applyNumberFormat="1" applyFont="1" applyFill="1" applyBorder="1" applyAlignment="1" applyProtection="1">
      <alignment horizontal="left" vertical="top" wrapText="1" indent="1"/>
      <protection locked="0"/>
    </xf>
    <xf numFmtId="0" fontId="14" fillId="0" borderId="2" xfId="0" applyFont="1" applyBorder="1"/>
    <xf numFmtId="0" fontId="14" fillId="0" borderId="3" xfId="0" applyFont="1" applyBorder="1"/>
    <xf numFmtId="0" fontId="23" fillId="0" borderId="9" xfId="0" applyFont="1" applyBorder="1" applyAlignment="1">
      <alignment vertical="top" wrapText="1"/>
    </xf>
    <xf numFmtId="0" fontId="23" fillId="0" borderId="10" xfId="0" applyFont="1" applyBorder="1" applyAlignment="1">
      <alignment vertical="top" wrapText="1"/>
    </xf>
    <xf numFmtId="0" fontId="23" fillId="0" borderId="11" xfId="0" applyFont="1" applyBorder="1" applyAlignment="1">
      <alignment vertical="top" wrapText="1"/>
    </xf>
    <xf numFmtId="0" fontId="22" fillId="0" borderId="7" xfId="0" applyFont="1" applyBorder="1" applyAlignment="1">
      <alignment horizontal="left" vertical="top" wrapText="1" indent="2"/>
    </xf>
    <xf numFmtId="0" fontId="22" fillId="0" borderId="0" xfId="0" applyFont="1" applyAlignment="1">
      <alignment horizontal="left" vertical="top" wrapText="1" indent="2"/>
    </xf>
    <xf numFmtId="0" fontId="22" fillId="0" borderId="8" xfId="0" applyFont="1" applyBorder="1" applyAlignment="1">
      <alignment horizontal="left" vertical="top" wrapText="1" indent="2"/>
    </xf>
    <xf numFmtId="0" fontId="22" fillId="0" borderId="7" xfId="0" applyFont="1" applyBorder="1" applyAlignment="1">
      <alignment horizontal="left" vertical="top" wrapText="1" indent="1"/>
    </xf>
    <xf numFmtId="0" fontId="22" fillId="0" borderId="0" xfId="0" applyFont="1" applyAlignment="1">
      <alignment horizontal="left" vertical="top" wrapText="1" indent="1"/>
    </xf>
    <xf numFmtId="0" fontId="22" fillId="0" borderId="8" xfId="0" applyFont="1" applyBorder="1" applyAlignment="1">
      <alignment horizontal="left" vertical="top" wrapText="1" indent="1"/>
    </xf>
    <xf numFmtId="0" fontId="4" fillId="3" borderId="13" xfId="0" applyFont="1" applyFill="1" applyBorder="1" applyAlignment="1" applyProtection="1">
      <alignment horizontal="center" vertical="center" wrapText="1"/>
      <protection locked="0"/>
    </xf>
    <xf numFmtId="0" fontId="4" fillId="3" borderId="14" xfId="0" applyFont="1" applyFill="1" applyBorder="1" applyAlignment="1" applyProtection="1">
      <alignment horizontal="center" vertical="center" wrapText="1"/>
      <protection locked="0"/>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11" fillId="0" borderId="4" xfId="0" applyFont="1" applyBorder="1" applyAlignment="1">
      <alignment horizontal="left" vertical="top" wrapText="1" indent="1"/>
    </xf>
    <xf numFmtId="0" fontId="11" fillId="0" borderId="5" xfId="0" applyFont="1" applyBorder="1" applyAlignment="1">
      <alignment horizontal="left" vertical="top" wrapText="1" indent="1"/>
    </xf>
    <xf numFmtId="0" fontId="11" fillId="0" borderId="6" xfId="0" applyFont="1" applyBorder="1" applyAlignment="1">
      <alignment horizontal="left" vertical="top" wrapText="1" indent="1"/>
    </xf>
    <xf numFmtId="164" fontId="4" fillId="3" borderId="4" xfId="1" applyNumberFormat="1" applyFont="1" applyFill="1" applyBorder="1" applyAlignment="1" applyProtection="1">
      <alignment horizontal="center" vertical="top" wrapText="1"/>
      <protection locked="0"/>
    </xf>
    <xf numFmtId="164" fontId="4" fillId="3" borderId="6" xfId="1" applyNumberFormat="1" applyFont="1" applyFill="1" applyBorder="1" applyAlignment="1" applyProtection="1">
      <alignment horizontal="center" vertical="top" wrapText="1"/>
      <protection locked="0"/>
    </xf>
    <xf numFmtId="0" fontId="4" fillId="0" borderId="7" xfId="0" applyFont="1"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4" fillId="0" borderId="7" xfId="0" applyFont="1" applyBorder="1" applyAlignment="1">
      <alignment horizontal="left" vertical="top" wrapText="1" indent="3"/>
    </xf>
    <xf numFmtId="0" fontId="4" fillId="0" borderId="0" xfId="0" applyFont="1" applyAlignment="1">
      <alignment horizontal="left" vertical="top" wrapText="1" indent="3"/>
    </xf>
    <xf numFmtId="0" fontId="4" fillId="0" borderId="8" xfId="0" applyFont="1" applyBorder="1" applyAlignment="1">
      <alignment horizontal="left" vertical="top" wrapText="1" indent="3"/>
    </xf>
    <xf numFmtId="0" fontId="4" fillId="3" borderId="15" xfId="0" applyFont="1" applyFill="1" applyBorder="1" applyAlignment="1" applyProtection="1">
      <alignment horizontal="center" vertical="center" wrapText="1"/>
      <protection locked="0"/>
    </xf>
    <xf numFmtId="0" fontId="22" fillId="0" borderId="7" xfId="0" applyFont="1" applyBorder="1" applyAlignment="1">
      <alignment horizontal="left" vertical="top" wrapText="1" indent="5"/>
    </xf>
    <xf numFmtId="0" fontId="22" fillId="0" borderId="0" xfId="0" applyFont="1" applyAlignment="1">
      <alignment horizontal="left" vertical="top" wrapText="1" indent="5"/>
    </xf>
    <xf numFmtId="0" fontId="22" fillId="0" borderId="8" xfId="0" applyFont="1" applyBorder="1" applyAlignment="1">
      <alignment horizontal="left" vertical="top" wrapText="1" indent="5"/>
    </xf>
    <xf numFmtId="0" fontId="21" fillId="0" borderId="7" xfId="0" applyFont="1" applyBorder="1" applyAlignment="1">
      <alignment horizontal="left" vertical="top" wrapText="1" indent="1"/>
    </xf>
    <xf numFmtId="0" fontId="21" fillId="0" borderId="0" xfId="0" applyFont="1" applyAlignment="1">
      <alignment horizontal="left" vertical="top" wrapText="1" indent="1"/>
    </xf>
    <xf numFmtId="0" fontId="21" fillId="0" borderId="8" xfId="0" applyFont="1" applyBorder="1" applyAlignment="1">
      <alignment horizontal="left" vertical="top" wrapText="1" indent="1"/>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5"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center" vertical="top" wrapText="1"/>
    </xf>
    <xf numFmtId="0" fontId="5" fillId="3" borderId="0" xfId="0" applyFont="1" applyFill="1" applyAlignment="1" applyProtection="1">
      <alignment horizontal="left" vertical="top" wrapText="1"/>
      <protection locked="0"/>
    </xf>
    <xf numFmtId="0" fontId="5" fillId="3" borderId="8" xfId="0" applyFont="1" applyFill="1" applyBorder="1" applyAlignment="1" applyProtection="1">
      <alignment horizontal="left" vertical="top" wrapText="1"/>
      <protection locked="0"/>
    </xf>
    <xf numFmtId="0" fontId="5" fillId="0" borderId="4" xfId="0" applyFont="1" applyBorder="1" applyAlignment="1">
      <alignment horizontal="left" vertical="top" wrapText="1" indent="1"/>
    </xf>
    <xf numFmtId="0" fontId="5" fillId="0" borderId="5" xfId="0" applyFont="1" applyBorder="1" applyAlignment="1">
      <alignment horizontal="left" vertical="top" wrapText="1" indent="1"/>
    </xf>
    <xf numFmtId="0" fontId="5" fillId="0" borderId="6" xfId="0" applyFont="1" applyBorder="1" applyAlignment="1">
      <alignment horizontal="left" vertical="top" wrapText="1" indent="1"/>
    </xf>
    <xf numFmtId="49" fontId="5" fillId="3" borderId="10" xfId="0" applyNumberFormat="1" applyFont="1" applyFill="1" applyBorder="1" applyAlignment="1" applyProtection="1">
      <alignment horizontal="left" vertical="top" wrapText="1"/>
      <protection locked="0"/>
    </xf>
    <xf numFmtId="49" fontId="5" fillId="3" borderId="11" xfId="0" applyNumberFormat="1" applyFont="1" applyFill="1" applyBorder="1" applyAlignment="1" applyProtection="1">
      <alignment horizontal="left" vertical="top" wrapText="1"/>
      <protection locked="0"/>
    </xf>
    <xf numFmtId="0" fontId="10" fillId="0" borderId="4"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6" xfId="0" applyFont="1" applyBorder="1" applyAlignment="1">
      <alignment horizontal="left" vertical="center" wrapText="1" indent="1"/>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0" fontId="13" fillId="0" borderId="1" xfId="0" applyFont="1" applyBorder="1" applyAlignment="1">
      <alignment horizontal="left" vertical="top" wrapTex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3" fillId="0" borderId="7" xfId="0" applyFont="1" applyBorder="1" applyAlignment="1">
      <alignment horizontal="left" vertical="top" wrapText="1"/>
    </xf>
    <xf numFmtId="0" fontId="13" fillId="0" borderId="0" xfId="0" applyFont="1" applyAlignment="1">
      <alignment horizontal="left" vertical="top" wrapText="1"/>
    </xf>
    <xf numFmtId="0" fontId="13" fillId="0" borderId="8" xfId="0" applyFont="1" applyBorder="1" applyAlignment="1">
      <alignment horizontal="left" vertical="top" wrapText="1"/>
    </xf>
    <xf numFmtId="0" fontId="8" fillId="0" borderId="4" xfId="0" applyFont="1" applyBorder="1" applyAlignment="1">
      <alignment horizontal="right" vertical="top" wrapText="1" indent="1"/>
    </xf>
    <xf numFmtId="0" fontId="8" fillId="0" borderId="5" xfId="0" applyFont="1" applyBorder="1" applyAlignment="1">
      <alignment horizontal="right" vertical="top" wrapText="1" indent="1"/>
    </xf>
    <xf numFmtId="0" fontId="8" fillId="0" borderId="6" xfId="0" applyFont="1" applyBorder="1" applyAlignment="1">
      <alignment horizontal="right" vertical="top" wrapText="1" indent="1"/>
    </xf>
    <xf numFmtId="0" fontId="22" fillId="0" borderId="7" xfId="0" applyFont="1" applyBorder="1" applyAlignment="1">
      <alignment horizontal="left" vertical="top" wrapText="1" indent="3"/>
    </xf>
    <xf numFmtId="0" fontId="22" fillId="0" borderId="0" xfId="0" applyFont="1" applyAlignment="1">
      <alignment horizontal="left" vertical="top" wrapText="1" indent="3"/>
    </xf>
    <xf numFmtId="0" fontId="22" fillId="0" borderId="8" xfId="0" applyFont="1" applyBorder="1" applyAlignment="1">
      <alignment horizontal="left" vertical="top" wrapText="1" indent="3"/>
    </xf>
    <xf numFmtId="0" fontId="4" fillId="0" borderId="7" xfId="0" applyFont="1" applyBorder="1" applyAlignment="1">
      <alignment horizontal="left" vertical="top" wrapText="1" indent="5"/>
    </xf>
    <xf numFmtId="0" fontId="4" fillId="0" borderId="0" xfId="0" applyFont="1" applyAlignment="1">
      <alignment horizontal="left" vertical="top" wrapText="1" indent="5"/>
    </xf>
    <xf numFmtId="0" fontId="4" fillId="0" borderId="8" xfId="0" applyFont="1" applyBorder="1" applyAlignment="1">
      <alignment horizontal="left" vertical="top" wrapText="1" indent="5"/>
    </xf>
    <xf numFmtId="0" fontId="21" fillId="0" borderId="41" xfId="0" applyFont="1" applyBorder="1" applyAlignment="1">
      <alignment horizontal="left" vertical="top" wrapText="1" indent="1"/>
    </xf>
    <xf numFmtId="0" fontId="21" fillId="0" borderId="39" xfId="0" applyFont="1" applyBorder="1" applyAlignment="1">
      <alignment horizontal="left" vertical="top" wrapText="1" indent="1"/>
    </xf>
    <xf numFmtId="0" fontId="22" fillId="0" borderId="41" xfId="0" applyFont="1" applyBorder="1" applyAlignment="1">
      <alignment horizontal="left" vertical="top" wrapText="1" indent="2"/>
    </xf>
    <xf numFmtId="0" fontId="22" fillId="0" borderId="39" xfId="0" applyFont="1" applyBorder="1" applyAlignment="1">
      <alignment horizontal="left" vertical="top" wrapText="1" indent="2"/>
    </xf>
    <xf numFmtId="0" fontId="8" fillId="0" borderId="9" xfId="0" applyFont="1" applyBorder="1" applyAlignment="1">
      <alignment horizontal="left" vertical="top" wrapText="1" indent="1"/>
    </xf>
    <xf numFmtId="0" fontId="8" fillId="0" borderId="10" xfId="0" applyFont="1" applyBorder="1" applyAlignment="1">
      <alignment horizontal="left" vertical="top" wrapText="1" indent="1"/>
    </xf>
    <xf numFmtId="0" fontId="8" fillId="0" borderId="11" xfId="0" applyFont="1" applyBorder="1" applyAlignment="1">
      <alignment horizontal="left" vertical="top" wrapText="1" indent="1"/>
    </xf>
    <xf numFmtId="0" fontId="8" fillId="0" borderId="1" xfId="0" applyFont="1" applyBorder="1" applyAlignment="1">
      <alignment horizontal="right" vertical="center" wrapText="1"/>
    </xf>
    <xf numFmtId="0" fontId="8" fillId="0" borderId="2" xfId="0" applyFont="1" applyBorder="1" applyAlignment="1">
      <alignment horizontal="right" vertical="center" wrapText="1"/>
    </xf>
    <xf numFmtId="0" fontId="8" fillId="0" borderId="3" xfId="0" applyFont="1" applyBorder="1" applyAlignment="1">
      <alignment horizontal="right" vertical="center" wrapText="1"/>
    </xf>
    <xf numFmtId="0" fontId="8" fillId="0" borderId="4" xfId="0" applyFont="1" applyBorder="1" applyAlignment="1">
      <alignment horizontal="right" vertical="center" wrapText="1"/>
    </xf>
    <xf numFmtId="0" fontId="8" fillId="0" borderId="5" xfId="0" applyFont="1" applyBorder="1" applyAlignment="1">
      <alignment horizontal="right" vertical="center" wrapText="1"/>
    </xf>
    <xf numFmtId="0" fontId="8" fillId="0" borderId="6" xfId="0" applyFont="1" applyBorder="1" applyAlignment="1">
      <alignment horizontal="right" vertical="center" wrapText="1"/>
    </xf>
    <xf numFmtId="0" fontId="5" fillId="3" borderId="10" xfId="0" applyFont="1" applyFill="1" applyBorder="1" applyAlignment="1" applyProtection="1">
      <alignment horizontal="left" wrapText="1"/>
      <protection locked="0"/>
    </xf>
    <xf numFmtId="0" fontId="5" fillId="3" borderId="11" xfId="0" applyFont="1" applyFill="1" applyBorder="1" applyAlignment="1" applyProtection="1">
      <alignment horizontal="left" wrapText="1"/>
      <protection locked="0"/>
    </xf>
    <xf numFmtId="0" fontId="4" fillId="0" borderId="7" xfId="0" applyFont="1" applyBorder="1" applyAlignment="1">
      <alignment horizontal="left" wrapText="1" indent="1"/>
    </xf>
    <xf numFmtId="0" fontId="4" fillId="0" borderId="0" xfId="0" applyFont="1" applyAlignment="1">
      <alignment horizontal="left" wrapText="1" indent="1"/>
    </xf>
    <xf numFmtId="0" fontId="4" fillId="0" borderId="16" xfId="0" applyFont="1" applyBorder="1" applyAlignment="1">
      <alignment horizontal="center"/>
    </xf>
    <xf numFmtId="0" fontId="4" fillId="0" borderId="17" xfId="0" applyFont="1" applyBorder="1" applyAlignment="1">
      <alignment horizontal="center"/>
    </xf>
    <xf numFmtId="0" fontId="4" fillId="0" borderId="36" xfId="0" applyFont="1" applyBorder="1" applyAlignment="1">
      <alignment horizontal="center"/>
    </xf>
    <xf numFmtId="0" fontId="4" fillId="0" borderId="49" xfId="0" applyFont="1" applyBorder="1" applyAlignment="1">
      <alignment horizontal="left" indent="1"/>
    </xf>
    <xf numFmtId="0" fontId="4" fillId="0" borderId="50" xfId="0" applyFont="1" applyBorder="1" applyAlignment="1">
      <alignment horizontal="left" indent="1"/>
    </xf>
    <xf numFmtId="0" fontId="4" fillId="0" borderId="37" xfId="0" applyFont="1" applyBorder="1" applyAlignment="1">
      <alignment horizontal="left" indent="1"/>
    </xf>
    <xf numFmtId="0" fontId="4" fillId="0" borderId="52" xfId="0" applyFont="1" applyBorder="1" applyAlignment="1">
      <alignment horizontal="left" indent="1"/>
    </xf>
    <xf numFmtId="0" fontId="4" fillId="0" borderId="29" xfId="0" applyFont="1" applyBorder="1" applyAlignment="1">
      <alignment horizontal="left" indent="1"/>
    </xf>
    <xf numFmtId="0" fontId="4" fillId="3" borderId="9" xfId="0" applyFont="1" applyFill="1" applyBorder="1" applyAlignment="1" applyProtection="1">
      <alignment horizontal="center" vertical="center" wrapText="1"/>
      <protection locked="0"/>
    </xf>
    <xf numFmtId="0" fontId="4" fillId="3" borderId="11" xfId="0" applyFont="1" applyFill="1" applyBorder="1" applyAlignment="1" applyProtection="1">
      <alignment horizontal="center" vertical="center" wrapText="1"/>
      <protection locked="0"/>
    </xf>
    <xf numFmtId="0" fontId="19" fillId="0" borderId="7" xfId="0" applyFont="1" applyBorder="1" applyAlignment="1">
      <alignment horizontal="left" vertical="top" wrapText="1" indent="3"/>
    </xf>
    <xf numFmtId="0" fontId="19" fillId="0" borderId="0" xfId="0" applyFont="1" applyAlignment="1">
      <alignment horizontal="left" vertical="top" wrapText="1" indent="3"/>
    </xf>
    <xf numFmtId="0" fontId="19" fillId="0" borderId="8" xfId="0" applyFont="1" applyBorder="1" applyAlignment="1">
      <alignment horizontal="left" vertical="top" wrapText="1" indent="3"/>
    </xf>
    <xf numFmtId="0" fontId="23" fillId="0" borderId="4" xfId="0" applyFont="1" applyBorder="1" applyAlignment="1">
      <alignment horizontal="left" wrapText="1" indent="1"/>
    </xf>
    <xf numFmtId="0" fontId="23" fillId="0" borderId="5" xfId="0" applyFont="1" applyBorder="1" applyAlignment="1">
      <alignment horizontal="left" wrapText="1" indent="1"/>
    </xf>
    <xf numFmtId="0" fontId="23" fillId="0" borderId="6" xfId="0" applyFont="1" applyBorder="1" applyAlignment="1">
      <alignment horizontal="left" wrapText="1" indent="1"/>
    </xf>
    <xf numFmtId="0" fontId="4" fillId="3" borderId="39" xfId="0" applyFont="1" applyFill="1" applyBorder="1" applyAlignment="1" applyProtection="1">
      <alignment horizontal="left" wrapText="1" indent="1"/>
      <protection locked="0"/>
    </xf>
    <xf numFmtId="0" fontId="4" fillId="3" borderId="16" xfId="0" applyFont="1" applyFill="1" applyBorder="1" applyAlignment="1" applyProtection="1">
      <alignment horizontal="left" wrapText="1" indent="1"/>
      <protection locked="0"/>
    </xf>
    <xf numFmtId="0" fontId="4" fillId="3" borderId="39" xfId="0" applyFont="1" applyFill="1" applyBorder="1" applyAlignment="1" applyProtection="1">
      <alignment horizontal="center" wrapText="1"/>
      <protection locked="0"/>
    </xf>
    <xf numFmtId="0" fontId="4" fillId="3" borderId="45" xfId="0" applyFont="1" applyFill="1" applyBorder="1" applyAlignment="1" applyProtection="1">
      <alignment horizontal="center" wrapText="1"/>
      <protection locked="0"/>
    </xf>
    <xf numFmtId="0" fontId="4" fillId="0" borderId="1" xfId="0" applyFont="1" applyBorder="1" applyAlignment="1">
      <alignment horizontal="center" vertical="center"/>
    </xf>
    <xf numFmtId="0" fontId="4" fillId="0" borderId="3"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49" fontId="4" fillId="3" borderId="41" xfId="0" applyNumberFormat="1" applyFont="1" applyFill="1" applyBorder="1" applyAlignment="1" applyProtection="1">
      <alignment horizontal="left" indent="1"/>
      <protection locked="0"/>
    </xf>
    <xf numFmtId="49" fontId="4" fillId="3" borderId="39" xfId="0" applyNumberFormat="1" applyFont="1" applyFill="1" applyBorder="1" applyAlignment="1" applyProtection="1">
      <alignment horizontal="left" indent="1"/>
      <protection locked="0"/>
    </xf>
    <xf numFmtId="0" fontId="4" fillId="0" borderId="51" xfId="0" applyFont="1" applyBorder="1" applyAlignment="1">
      <alignment horizontal="left" vertical="top" indent="1"/>
    </xf>
    <xf numFmtId="0" fontId="4" fillId="0" borderId="38" xfId="0" applyFont="1" applyBorder="1" applyAlignment="1">
      <alignment horizontal="left" vertical="top" indent="1"/>
    </xf>
    <xf numFmtId="0" fontId="4" fillId="0" borderId="38" xfId="0" applyFont="1" applyBorder="1" applyAlignment="1">
      <alignment horizontal="left" vertical="top" wrapText="1" indent="1"/>
    </xf>
    <xf numFmtId="0" fontId="4" fillId="0" borderId="44" xfId="0" applyFont="1" applyBorder="1" applyAlignment="1">
      <alignment horizontal="left" vertical="top" wrapText="1" indent="1"/>
    </xf>
    <xf numFmtId="0" fontId="8" fillId="0" borderId="15"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0" fontId="7" fillId="0" borderId="30" xfId="0" applyFont="1" applyBorder="1"/>
    <xf numFmtId="0" fontId="7" fillId="0" borderId="31" xfId="0" applyFont="1" applyBorder="1"/>
    <xf numFmtId="0" fontId="7" fillId="0" borderId="32" xfId="0" applyFont="1" applyBorder="1"/>
    <xf numFmtId="0" fontId="7" fillId="0" borderId="7" xfId="0" applyFont="1" applyBorder="1"/>
    <xf numFmtId="0" fontId="7" fillId="0" borderId="0" xfId="0" applyFont="1"/>
    <xf numFmtId="0" fontId="7" fillId="0" borderId="8" xfId="0" applyFont="1" applyBorder="1"/>
    <xf numFmtId="0" fontId="5" fillId="0" borderId="4" xfId="0" applyFont="1" applyBorder="1" applyAlignment="1">
      <alignment horizontal="left"/>
    </xf>
    <xf numFmtId="0" fontId="5" fillId="0" borderId="5" xfId="0" applyFont="1" applyBorder="1" applyAlignment="1">
      <alignment horizontal="left"/>
    </xf>
    <xf numFmtId="0" fontId="5" fillId="0" borderId="6" xfId="0" applyFont="1" applyBorder="1" applyAlignment="1">
      <alignment horizontal="left"/>
    </xf>
    <xf numFmtId="0" fontId="4" fillId="0" borderId="4" xfId="0" applyFont="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4" fillId="0" borderId="69" xfId="1" applyFont="1" applyBorder="1" applyAlignment="1">
      <alignment horizontal="center" vertical="top" wrapText="1"/>
    </xf>
    <xf numFmtId="0" fontId="4" fillId="0" borderId="73" xfId="1" applyFont="1" applyBorder="1" applyAlignment="1">
      <alignment horizontal="center" vertical="top" wrapText="1"/>
    </xf>
    <xf numFmtId="164" fontId="4" fillId="3" borderId="70" xfId="1" applyNumberFormat="1" applyFont="1" applyFill="1" applyBorder="1" applyAlignment="1" applyProtection="1">
      <alignment horizontal="center" vertical="top" wrapText="1"/>
      <protection locked="0"/>
    </xf>
    <xf numFmtId="164" fontId="4" fillId="3" borderId="74" xfId="1" applyNumberFormat="1" applyFont="1" applyFill="1" applyBorder="1" applyAlignment="1" applyProtection="1">
      <alignment horizontal="center" vertical="top" wrapText="1"/>
      <protection locked="0"/>
    </xf>
    <xf numFmtId="0" fontId="36" fillId="0" borderId="7" xfId="0" applyFont="1" applyBorder="1" applyAlignment="1">
      <alignment horizontal="left" vertical="top" wrapText="1" indent="2"/>
    </xf>
    <xf numFmtId="0" fontId="36" fillId="0" borderId="0" xfId="0" applyFont="1" applyAlignment="1">
      <alignment horizontal="left" vertical="top" wrapText="1" indent="2"/>
    </xf>
    <xf numFmtId="0" fontId="36" fillId="0" borderId="8" xfId="0" applyFont="1" applyBorder="1" applyAlignment="1">
      <alignment horizontal="left" vertical="top" wrapText="1" indent="2"/>
    </xf>
    <xf numFmtId="0" fontId="4" fillId="0" borderId="7" xfId="0" applyFont="1" applyBorder="1" applyAlignment="1">
      <alignment horizontal="left" vertical="top" wrapText="1" indent="1"/>
    </xf>
    <xf numFmtId="0" fontId="4" fillId="0" borderId="0" xfId="0" applyFont="1" applyAlignment="1">
      <alignment horizontal="left" vertical="top" wrapText="1" indent="1"/>
    </xf>
    <xf numFmtId="0" fontId="4" fillId="0" borderId="8" xfId="0" applyFont="1" applyBorder="1" applyAlignment="1">
      <alignment horizontal="left" vertical="top" wrapText="1" indent="1"/>
    </xf>
    <xf numFmtId="0" fontId="22" fillId="3" borderId="15" xfId="0" applyFont="1" applyFill="1" applyBorder="1" applyAlignment="1" applyProtection="1">
      <alignment horizontal="center" vertical="center" wrapText="1"/>
      <protection locked="0"/>
    </xf>
    <xf numFmtId="0" fontId="22" fillId="3" borderId="13" xfId="0" applyFont="1" applyFill="1" applyBorder="1" applyAlignment="1" applyProtection="1">
      <alignment horizontal="center" vertical="center" wrapText="1"/>
      <protection locked="0"/>
    </xf>
    <xf numFmtId="0" fontId="22" fillId="3" borderId="14" xfId="0" applyFont="1" applyFill="1" applyBorder="1" applyAlignment="1" applyProtection="1">
      <alignment horizontal="center" vertical="center" wrapText="1"/>
      <protection locked="0"/>
    </xf>
    <xf numFmtId="0" fontId="11" fillId="0" borderId="4" xfId="0" applyFont="1" applyBorder="1" applyAlignment="1">
      <alignment horizontal="left" wrapText="1" indent="1"/>
    </xf>
    <xf numFmtId="0" fontId="11" fillId="0" borderId="5" xfId="0" applyFont="1" applyBorder="1" applyAlignment="1">
      <alignment horizontal="left" wrapText="1" indent="1"/>
    </xf>
    <xf numFmtId="0" fontId="11" fillId="0" borderId="6" xfId="0" applyFont="1" applyBorder="1" applyAlignment="1">
      <alignment horizontal="left" wrapText="1" indent="1"/>
    </xf>
    <xf numFmtId="0" fontId="42" fillId="0" borderId="7" xfId="0" applyFont="1" applyBorder="1" applyAlignment="1">
      <alignment horizontal="left" vertical="center" wrapText="1" indent="1"/>
    </xf>
    <xf numFmtId="0" fontId="42" fillId="0" borderId="0" xfId="0" applyFont="1" applyAlignment="1">
      <alignment horizontal="left" vertical="center" wrapText="1" indent="1"/>
    </xf>
    <xf numFmtId="0" fontId="42" fillId="0" borderId="8" xfId="0" applyFont="1" applyBorder="1" applyAlignment="1">
      <alignment horizontal="left" vertical="center" wrapText="1" indent="1"/>
    </xf>
    <xf numFmtId="0" fontId="22" fillId="7" borderId="15" xfId="5" applyFont="1" applyFill="1" applyBorder="1" applyAlignment="1" applyProtection="1">
      <alignment horizontal="center" vertical="center"/>
      <protection locked="0"/>
    </xf>
    <xf numFmtId="0" fontId="22" fillId="7" borderId="13" xfId="5" applyFont="1" applyFill="1" applyBorder="1" applyAlignment="1" applyProtection="1">
      <alignment horizontal="center" vertical="center"/>
      <protection locked="0"/>
    </xf>
    <xf numFmtId="0" fontId="22" fillId="7" borderId="14" xfId="5" applyFont="1" applyFill="1" applyBorder="1" applyAlignment="1" applyProtection="1">
      <alignment horizontal="center" vertical="center"/>
      <protection locked="0"/>
    </xf>
    <xf numFmtId="0" fontId="36" fillId="0" borderId="7" xfId="0" applyFont="1" applyBorder="1" applyAlignment="1">
      <alignment horizontal="left" vertical="top" wrapText="1"/>
    </xf>
    <xf numFmtId="0" fontId="36" fillId="0" borderId="0" xfId="0" applyFont="1" applyAlignment="1">
      <alignment horizontal="left" vertical="top" wrapText="1"/>
    </xf>
    <xf numFmtId="0" fontId="36" fillId="0" borderId="8" xfId="0" applyFont="1" applyBorder="1" applyAlignment="1">
      <alignment horizontal="left" vertical="top" wrapText="1"/>
    </xf>
    <xf numFmtId="0" fontId="35" fillId="0" borderId="1" xfId="0" applyFont="1" applyBorder="1" applyAlignment="1">
      <alignment horizontal="left" vertical="top" wrapText="1" indent="1"/>
    </xf>
    <xf numFmtId="0" fontId="35" fillId="0" borderId="2" xfId="0" applyFont="1" applyBorder="1" applyAlignment="1">
      <alignment horizontal="left" vertical="top" wrapText="1" indent="1"/>
    </xf>
    <xf numFmtId="0" fontId="35" fillId="0" borderId="3" xfId="0" applyFont="1" applyBorder="1" applyAlignment="1">
      <alignment horizontal="left" vertical="top" wrapText="1" inden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9" fillId="0" borderId="9" xfId="0" applyFont="1" applyBorder="1" applyAlignment="1">
      <alignment horizontal="left" vertical="center" wrapText="1"/>
    </xf>
    <xf numFmtId="0" fontId="4" fillId="7" borderId="10" xfId="0" applyFont="1" applyFill="1" applyBorder="1" applyAlignment="1" applyProtection="1">
      <alignment horizontal="center" vertical="center" wrapText="1"/>
      <protection locked="0"/>
    </xf>
    <xf numFmtId="0" fontId="4" fillId="7" borderId="11" xfId="0" applyFont="1" applyFill="1" applyBorder="1" applyAlignment="1" applyProtection="1">
      <alignment horizontal="center" vertical="center" wrapText="1"/>
      <protection locked="0"/>
    </xf>
    <xf numFmtId="0" fontId="4" fillId="0" borderId="41" xfId="0" applyFont="1" applyBorder="1" applyAlignment="1">
      <alignment horizontal="left" wrapText="1"/>
    </xf>
    <xf numFmtId="0" fontId="4" fillId="0" borderId="39" xfId="0" applyFont="1" applyBorder="1" applyAlignment="1">
      <alignment horizontal="left" wrapText="1"/>
    </xf>
    <xf numFmtId="164" fontId="4" fillId="3" borderId="39" xfId="0" applyNumberFormat="1" applyFont="1" applyFill="1" applyBorder="1" applyAlignment="1" applyProtection="1">
      <alignment horizontal="center"/>
      <protection locked="0"/>
    </xf>
    <xf numFmtId="164" fontId="4" fillId="3" borderId="45" xfId="0" applyNumberFormat="1" applyFont="1" applyFill="1" applyBorder="1" applyAlignment="1" applyProtection="1">
      <alignment horizontal="center"/>
      <protection locked="0"/>
    </xf>
    <xf numFmtId="0" fontId="9" fillId="0" borderId="66" xfId="0" applyFont="1" applyBorder="1" applyAlignment="1">
      <alignment horizontal="right" indent="1"/>
    </xf>
    <xf numFmtId="0" fontId="9" fillId="0" borderId="17" xfId="0" applyFont="1" applyBorder="1" applyAlignment="1">
      <alignment horizontal="right" indent="1"/>
    </xf>
    <xf numFmtId="0" fontId="9" fillId="0" borderId="18" xfId="0" applyFont="1" applyBorder="1" applyAlignment="1">
      <alignment horizontal="right" indent="1"/>
    </xf>
    <xf numFmtId="0" fontId="9" fillId="0" borderId="41" xfId="0" applyFont="1" applyBorder="1" applyAlignment="1">
      <alignment horizontal="center" wrapText="1"/>
    </xf>
    <xf numFmtId="0" fontId="9" fillId="0" borderId="39" xfId="0" applyFont="1" applyBorder="1" applyAlignment="1">
      <alignment horizontal="center" wrapText="1"/>
    </xf>
    <xf numFmtId="0" fontId="9" fillId="0" borderId="39" xfId="0" applyFont="1" applyBorder="1" applyAlignment="1">
      <alignment horizontal="center"/>
    </xf>
    <xf numFmtId="0" fontId="9" fillId="0" borderId="16" xfId="0" applyFont="1" applyBorder="1" applyAlignment="1">
      <alignment horizontal="center"/>
    </xf>
    <xf numFmtId="0" fontId="9" fillId="0" borderId="18" xfId="0" applyFont="1" applyBorder="1" applyAlignment="1">
      <alignment horizontal="center"/>
    </xf>
    <xf numFmtId="0" fontId="8" fillId="0" borderId="9" xfId="0" applyFont="1" applyBorder="1" applyAlignment="1">
      <alignment horizontal="left" wrapText="1"/>
    </xf>
    <xf numFmtId="0" fontId="8" fillId="0" borderId="10" xfId="0" applyFont="1" applyBorder="1" applyAlignment="1">
      <alignment horizontal="left" wrapText="1"/>
    </xf>
    <xf numFmtId="0" fontId="8" fillId="0" borderId="11" xfId="0" applyFont="1" applyBorder="1" applyAlignment="1">
      <alignment horizontal="left" wrapText="1"/>
    </xf>
    <xf numFmtId="0" fontId="4" fillId="0" borderId="1" xfId="0" applyFont="1" applyBorder="1" applyAlignment="1">
      <alignment horizontal="left" wrapText="1"/>
    </xf>
    <xf numFmtId="0" fontId="4" fillId="0" borderId="2" xfId="0" applyFont="1" applyBorder="1" applyAlignment="1">
      <alignment horizontal="left" wrapText="1"/>
    </xf>
    <xf numFmtId="0" fontId="4" fillId="0" borderId="3" xfId="0" applyFont="1" applyBorder="1" applyAlignment="1">
      <alignment horizontal="left" wrapText="1"/>
    </xf>
    <xf numFmtId="0" fontId="4" fillId="0" borderId="7" xfId="0" applyFont="1" applyBorder="1" applyAlignment="1">
      <alignment horizontal="left" wrapText="1"/>
    </xf>
    <xf numFmtId="0" fontId="4" fillId="0" borderId="0" xfId="0" applyFont="1" applyAlignment="1">
      <alignment horizontal="left" wrapText="1"/>
    </xf>
    <xf numFmtId="0" fontId="4" fillId="0" borderId="8" xfId="0" applyFont="1" applyBorder="1" applyAlignment="1">
      <alignment horizontal="left" wrapText="1"/>
    </xf>
    <xf numFmtId="0" fontId="22" fillId="0" borderId="7" xfId="0" applyFont="1" applyBorder="1" applyAlignment="1">
      <alignment horizontal="left" wrapText="1"/>
    </xf>
    <xf numFmtId="0" fontId="22" fillId="0" borderId="0" xfId="0" applyFont="1" applyAlignment="1">
      <alignment horizontal="left" wrapText="1"/>
    </xf>
    <xf numFmtId="0" fontId="22" fillId="0" borderId="8" xfId="0" applyFont="1" applyBorder="1" applyAlignment="1">
      <alignment horizontal="left" wrapText="1"/>
    </xf>
    <xf numFmtId="0" fontId="4" fillId="0" borderId="7" xfId="0" applyFont="1" applyBorder="1" applyAlignment="1">
      <alignment horizontal="left" vertical="center" wrapText="1" indent="2"/>
    </xf>
    <xf numFmtId="0" fontId="4" fillId="0" borderId="0" xfId="0" applyFont="1" applyAlignment="1">
      <alignment horizontal="left" vertical="center" wrapText="1" indent="2"/>
    </xf>
    <xf numFmtId="0" fontId="4" fillId="0" borderId="8" xfId="0" applyFont="1" applyBorder="1" applyAlignment="1">
      <alignment horizontal="left" vertical="center" wrapText="1" indent="2"/>
    </xf>
    <xf numFmtId="0" fontId="4" fillId="0" borderId="4" xfId="0" applyFont="1" applyBorder="1" applyAlignment="1">
      <alignment horizontal="left" vertical="center" wrapText="1" indent="2"/>
    </xf>
    <xf numFmtId="0" fontId="4" fillId="0" borderId="5" xfId="0" applyFont="1" applyBorder="1" applyAlignment="1">
      <alignment horizontal="left" vertical="center" wrapText="1" indent="2"/>
    </xf>
    <xf numFmtId="0" fontId="4" fillId="0" borderId="6" xfId="0" applyFont="1" applyBorder="1" applyAlignment="1">
      <alignment horizontal="left" vertical="center" wrapText="1" indent="2"/>
    </xf>
    <xf numFmtId="0" fontId="9" fillId="0" borderId="15"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9" fillId="0" borderId="9" xfId="0" applyFont="1" applyBorder="1" applyAlignment="1">
      <alignment horizontal="left" vertical="top" wrapText="1" inden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4" fillId="3" borderId="70" xfId="0" applyFont="1" applyFill="1" applyBorder="1" applyAlignment="1" applyProtection="1">
      <alignment horizontal="center" vertical="center"/>
      <protection locked="0"/>
    </xf>
    <xf numFmtId="0" fontId="4" fillId="3" borderId="74" xfId="0" applyFont="1" applyFill="1" applyBorder="1" applyAlignment="1" applyProtection="1">
      <alignment horizontal="center" vertical="center"/>
      <protection locked="0"/>
    </xf>
    <xf numFmtId="0" fontId="22" fillId="0" borderId="1"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9" fillId="0" borderId="9" xfId="0" applyFont="1" applyBorder="1" applyAlignment="1">
      <alignment vertical="top" wrapText="1"/>
    </xf>
    <xf numFmtId="0" fontId="9" fillId="0" borderId="10" xfId="0" applyFont="1" applyBorder="1" applyAlignment="1">
      <alignment vertical="top" wrapText="1"/>
    </xf>
    <xf numFmtId="0" fontId="9" fillId="0" borderId="11" xfId="0" applyFont="1" applyBorder="1" applyAlignment="1">
      <alignment vertical="top" wrapText="1"/>
    </xf>
    <xf numFmtId="0" fontId="4" fillId="0" borderId="7" xfId="0" applyFont="1" applyBorder="1" applyAlignment="1">
      <alignment horizontal="left" wrapText="1" indent="2"/>
    </xf>
    <xf numFmtId="0" fontId="4" fillId="0" borderId="0" xfId="0" applyFont="1" applyAlignment="1">
      <alignment horizontal="left" wrapText="1" indent="2"/>
    </xf>
    <xf numFmtId="0" fontId="4" fillId="0" borderId="8" xfId="0" applyFont="1" applyBorder="1" applyAlignment="1">
      <alignment horizontal="left" wrapText="1" indent="2"/>
    </xf>
    <xf numFmtId="0" fontId="4" fillId="3" borderId="1" xfId="0" applyFont="1" applyFill="1" applyBorder="1" applyAlignment="1" applyProtection="1">
      <alignment horizontal="center" vertical="center"/>
      <protection locked="0"/>
    </xf>
    <xf numFmtId="0" fontId="4" fillId="3" borderId="3" xfId="0" applyFont="1" applyFill="1" applyBorder="1" applyAlignment="1" applyProtection="1">
      <alignment horizontal="center" vertical="center"/>
      <protection locked="0"/>
    </xf>
    <xf numFmtId="0" fontId="4" fillId="3" borderId="7" xfId="0" applyFont="1" applyFill="1" applyBorder="1" applyAlignment="1" applyProtection="1">
      <alignment horizontal="center" vertical="center"/>
      <protection locked="0"/>
    </xf>
    <xf numFmtId="0" fontId="4" fillId="3" borderId="8" xfId="0" applyFont="1" applyFill="1" applyBorder="1" applyAlignment="1" applyProtection="1">
      <alignment horizontal="center" vertical="center"/>
      <protection locked="0"/>
    </xf>
    <xf numFmtId="0" fontId="8" fillId="0" borderId="1" xfId="0" applyFont="1" applyBorder="1" applyAlignment="1">
      <alignment horizontal="left" wrapText="1"/>
    </xf>
    <xf numFmtId="0" fontId="8" fillId="0" borderId="2" xfId="0" applyFont="1" applyBorder="1" applyAlignment="1">
      <alignment horizontal="left" wrapText="1"/>
    </xf>
    <xf numFmtId="0" fontId="8" fillId="0" borderId="3" xfId="0" applyFont="1" applyBorder="1" applyAlignment="1">
      <alignment horizontal="left" wrapText="1"/>
    </xf>
    <xf numFmtId="0" fontId="19" fillId="0" borderId="4" xfId="0" applyFont="1" applyBorder="1" applyAlignment="1">
      <alignment horizontal="left" wrapText="1"/>
    </xf>
    <xf numFmtId="0" fontId="19" fillId="0" borderId="5" xfId="0" applyFont="1" applyBorder="1" applyAlignment="1">
      <alignment horizontal="left" wrapText="1"/>
    </xf>
    <xf numFmtId="0" fontId="19" fillId="0" borderId="6" xfId="0" applyFont="1" applyBorder="1" applyAlignment="1">
      <alignment horizontal="left" wrapText="1"/>
    </xf>
    <xf numFmtId="0" fontId="4" fillId="0" borderId="12" xfId="0" applyFont="1" applyBorder="1" applyAlignment="1">
      <alignment horizontal="left" wrapText="1"/>
    </xf>
    <xf numFmtId="0" fontId="4" fillId="3" borderId="23" xfId="0" applyFont="1" applyFill="1" applyBorder="1" applyAlignment="1" applyProtection="1">
      <alignment horizontal="center" vertical="center"/>
      <protection locked="0"/>
    </xf>
    <xf numFmtId="0" fontId="4" fillId="3" borderId="35" xfId="0" applyFont="1" applyFill="1" applyBorder="1" applyAlignment="1" applyProtection="1">
      <alignment horizontal="center" vertical="center"/>
      <protection locked="0"/>
    </xf>
    <xf numFmtId="0" fontId="7" fillId="0" borderId="27" xfId="0" applyFont="1" applyBorder="1" applyAlignment="1">
      <alignment horizontal="left" vertical="top" wrapText="1" indent="1"/>
    </xf>
    <xf numFmtId="0" fontId="7" fillId="0" borderId="28" xfId="0" applyFont="1" applyBorder="1" applyAlignment="1">
      <alignment horizontal="left" vertical="top" wrapText="1" indent="1"/>
    </xf>
    <xf numFmtId="165" fontId="7" fillId="2" borderId="21" xfId="0" applyNumberFormat="1" applyFont="1" applyFill="1" applyBorder="1" applyAlignment="1">
      <alignment horizontal="center" vertical="center" wrapText="1"/>
    </xf>
    <xf numFmtId="165" fontId="7" fillId="2" borderId="22" xfId="0" applyNumberFormat="1" applyFont="1" applyFill="1" applyBorder="1" applyAlignment="1">
      <alignment horizontal="center" vertical="center" wrapText="1"/>
    </xf>
    <xf numFmtId="0" fontId="7" fillId="0" borderId="30" xfId="0" applyFont="1" applyBorder="1" applyAlignment="1">
      <alignment horizontal="left" vertical="center" wrapText="1" indent="1"/>
    </xf>
    <xf numFmtId="0" fontId="7" fillId="0" borderId="31"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0" xfId="0" applyFont="1" applyAlignment="1">
      <alignment horizontal="left" vertical="center" wrapText="1" indent="1"/>
    </xf>
    <xf numFmtId="0" fontId="7" fillId="3" borderId="19" xfId="0" applyFont="1" applyFill="1" applyBorder="1" applyAlignment="1" applyProtection="1">
      <alignment horizontal="left" vertical="top" wrapText="1"/>
      <protection locked="0"/>
    </xf>
    <xf numFmtId="0" fontId="7" fillId="3" borderId="31" xfId="0" applyFont="1" applyFill="1" applyBorder="1" applyAlignment="1" applyProtection="1">
      <alignment horizontal="left" vertical="top" wrapText="1"/>
      <protection locked="0"/>
    </xf>
    <xf numFmtId="0" fontId="7" fillId="3" borderId="20" xfId="0" applyFont="1" applyFill="1" applyBorder="1" applyAlignment="1" applyProtection="1">
      <alignment horizontal="left" vertical="top" wrapText="1"/>
      <protection locked="0"/>
    </xf>
    <xf numFmtId="0" fontId="7" fillId="0" borderId="31" xfId="0" applyFont="1" applyBorder="1" applyAlignment="1">
      <alignment horizontal="left" vertical="top" wrapText="1" indent="1"/>
    </xf>
    <xf numFmtId="0" fontId="7" fillId="0" borderId="0" xfId="0" applyFont="1" applyAlignment="1">
      <alignment horizontal="left" vertical="top" wrapText="1" indent="1"/>
    </xf>
    <xf numFmtId="0" fontId="7" fillId="0" borderId="8" xfId="0" applyFont="1" applyBorder="1" applyAlignment="1">
      <alignment horizontal="left" vertical="top" wrapText="1" indent="1"/>
    </xf>
    <xf numFmtId="0" fontId="7" fillId="3" borderId="21"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22" xfId="0" applyFont="1" applyFill="1" applyBorder="1" applyAlignment="1" applyProtection="1">
      <alignment horizontal="left" vertical="top" wrapText="1"/>
      <protection locked="0"/>
    </xf>
    <xf numFmtId="164" fontId="7" fillId="3" borderId="0" xfId="0" applyNumberFormat="1" applyFont="1" applyFill="1" applyAlignment="1" applyProtection="1">
      <alignment horizontal="left" vertical="top" wrapText="1" indent="1"/>
      <protection locked="0"/>
    </xf>
    <xf numFmtId="164" fontId="7" fillId="3" borderId="8" xfId="0" applyNumberFormat="1" applyFont="1" applyFill="1" applyBorder="1" applyAlignment="1" applyProtection="1">
      <alignment horizontal="left" vertical="top" wrapText="1" indent="1"/>
      <protection locked="0"/>
    </xf>
    <xf numFmtId="0" fontId="7" fillId="0" borderId="27" xfId="0" applyFont="1" applyBorder="1" applyAlignment="1">
      <alignment horizontal="center" vertical="top" wrapText="1"/>
    </xf>
    <xf numFmtId="0" fontId="7" fillId="0" borderId="2" xfId="0" applyFont="1" applyBorder="1" applyAlignment="1">
      <alignment horizontal="center" vertical="top" wrapText="1"/>
    </xf>
    <xf numFmtId="0" fontId="7" fillId="0" borderId="28" xfId="0" applyFont="1" applyBorder="1" applyAlignment="1">
      <alignment horizontal="center" vertical="top" wrapText="1"/>
    </xf>
    <xf numFmtId="0" fontId="7" fillId="0" borderId="3" xfId="0" applyFont="1" applyBorder="1" applyAlignment="1">
      <alignment horizontal="center" vertical="top" wrapText="1"/>
    </xf>
    <xf numFmtId="0" fontId="4" fillId="0" borderId="46" xfId="0" applyFont="1" applyBorder="1" applyAlignment="1">
      <alignment horizontal="left" wrapText="1"/>
    </xf>
    <xf numFmtId="0" fontId="4" fillId="0" borderId="40" xfId="0" applyFont="1" applyBorder="1" applyAlignment="1">
      <alignment horizontal="left" wrapText="1"/>
    </xf>
    <xf numFmtId="164" fontId="4" fillId="3" borderId="40" xfId="0" applyNumberFormat="1" applyFont="1" applyFill="1" applyBorder="1" applyAlignment="1" applyProtection="1">
      <alignment horizontal="center"/>
      <protection locked="0"/>
    </xf>
    <xf numFmtId="164" fontId="4" fillId="3" borderId="48" xfId="0" applyNumberFormat="1" applyFont="1" applyFill="1" applyBorder="1" applyAlignment="1" applyProtection="1">
      <alignment horizontal="center"/>
      <protection locked="0"/>
    </xf>
    <xf numFmtId="0" fontId="4" fillId="0" borderId="4" xfId="0" applyFont="1" applyBorder="1" applyAlignment="1">
      <alignment horizontal="left" wrapText="1"/>
    </xf>
    <xf numFmtId="0" fontId="4" fillId="0" borderId="5" xfId="0" applyFont="1" applyBorder="1" applyAlignment="1">
      <alignment horizontal="left" wrapText="1"/>
    </xf>
    <xf numFmtId="0" fontId="4" fillId="0" borderId="6" xfId="0" applyFont="1" applyBorder="1" applyAlignment="1">
      <alignment horizontal="left" wrapText="1"/>
    </xf>
    <xf numFmtId="0" fontId="4" fillId="3" borderId="4" xfId="0" applyFont="1" applyFill="1" applyBorder="1" applyAlignment="1" applyProtection="1">
      <alignment horizontal="center" vertical="center"/>
      <protection locked="0"/>
    </xf>
    <xf numFmtId="0" fontId="4" fillId="3" borderId="6" xfId="0" applyFont="1" applyFill="1" applyBorder="1" applyAlignment="1" applyProtection="1">
      <alignment horizontal="center" vertical="center"/>
      <protection locked="0"/>
    </xf>
    <xf numFmtId="0" fontId="9" fillId="0" borderId="1" xfId="0" applyFont="1" applyBorder="1" applyAlignment="1">
      <alignment horizontal="left" wrapText="1"/>
    </xf>
    <xf numFmtId="0" fontId="9" fillId="0" borderId="2" xfId="0" applyFont="1" applyBorder="1" applyAlignment="1">
      <alignment horizontal="left" wrapText="1"/>
    </xf>
    <xf numFmtId="0" fontId="9" fillId="0" borderId="3" xfId="0" applyFont="1" applyBorder="1" applyAlignment="1">
      <alignment horizontal="left" wrapText="1"/>
    </xf>
    <xf numFmtId="0" fontId="4" fillId="0" borderId="53" xfId="0" applyFont="1" applyBorder="1" applyAlignment="1">
      <alignment horizontal="left" wrapText="1"/>
    </xf>
    <xf numFmtId="0" fontId="4" fillId="0" borderId="54" xfId="0" applyFont="1" applyBorder="1" applyAlignment="1">
      <alignment horizontal="left" wrapText="1"/>
    </xf>
    <xf numFmtId="164" fontId="4" fillId="3" borderId="54" xfId="0" applyNumberFormat="1" applyFont="1" applyFill="1" applyBorder="1" applyAlignment="1" applyProtection="1">
      <alignment horizontal="center"/>
      <protection locked="0"/>
    </xf>
    <xf numFmtId="0" fontId="4" fillId="0" borderId="54" xfId="0" applyFont="1" applyBorder="1" applyAlignment="1">
      <alignment horizontal="left"/>
    </xf>
    <xf numFmtId="164" fontId="4" fillId="3" borderId="55" xfId="0" applyNumberFormat="1" applyFont="1" applyFill="1" applyBorder="1" applyAlignment="1" applyProtection="1">
      <alignment horizontal="center"/>
      <protection locked="0"/>
    </xf>
    <xf numFmtId="0" fontId="4" fillId="0" borderId="41" xfId="0" applyFont="1" applyBorder="1" applyAlignment="1">
      <alignment horizontal="left"/>
    </xf>
    <xf numFmtId="0" fontId="4" fillId="0" borderId="39" xfId="0" applyFont="1" applyBorder="1" applyAlignment="1">
      <alignment horizontal="left"/>
    </xf>
    <xf numFmtId="0" fontId="0" fillId="0" borderId="14" xfId="0" applyBorder="1" applyAlignment="1">
      <alignment horizontal="center" vertical="center"/>
    </xf>
    <xf numFmtId="0" fontId="9" fillId="0" borderId="15" xfId="0" applyFont="1" applyBorder="1" applyAlignment="1">
      <alignment horizontal="center" vertical="center" wrapText="1"/>
    </xf>
    <xf numFmtId="0" fontId="0" fillId="0" borderId="14" xfId="0" applyBorder="1" applyAlignment="1">
      <alignment horizont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9" fillId="0" borderId="57" xfId="0" applyFont="1" applyBorder="1" applyAlignment="1">
      <alignment horizontal="left" vertical="center" wrapText="1"/>
    </xf>
    <xf numFmtId="0" fontId="9" fillId="0" borderId="58" xfId="0" applyFont="1" applyBorder="1" applyAlignment="1">
      <alignment horizontal="left" vertical="center" wrapText="1"/>
    </xf>
    <xf numFmtId="0" fontId="9" fillId="0" borderId="59" xfId="0" applyFont="1" applyBorder="1" applyAlignment="1">
      <alignment horizontal="left" vertical="center" wrapText="1"/>
    </xf>
    <xf numFmtId="0" fontId="4" fillId="0" borderId="57" xfId="0" applyFont="1" applyBorder="1" applyAlignment="1">
      <alignment horizontal="center" vertical="center"/>
    </xf>
    <xf numFmtId="0" fontId="4" fillId="0" borderId="59" xfId="0" applyFont="1" applyBorder="1" applyAlignment="1">
      <alignment horizontal="center" vertical="center"/>
    </xf>
    <xf numFmtId="0" fontId="4" fillId="3" borderId="56" xfId="0" applyFont="1" applyFill="1" applyBorder="1" applyAlignment="1" applyProtection="1">
      <alignment horizontal="center" vertical="center"/>
      <protection locked="0"/>
    </xf>
    <xf numFmtId="0" fontId="4" fillId="3" borderId="73" xfId="0" applyFont="1" applyFill="1" applyBorder="1" applyAlignment="1" applyProtection="1">
      <alignment horizontal="center" vertical="center"/>
      <protection locked="0"/>
    </xf>
    <xf numFmtId="0" fontId="4" fillId="0" borderId="69"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66" xfId="0" applyFont="1" applyBorder="1" applyAlignment="1">
      <alignment horizontal="left" vertical="top" wrapText="1"/>
    </xf>
    <xf numFmtId="0" fontId="4" fillId="0" borderId="17" xfId="0" applyFont="1" applyBorder="1" applyAlignment="1">
      <alignment horizontal="left" vertical="top" wrapText="1"/>
    </xf>
    <xf numFmtId="0" fontId="4" fillId="0" borderId="18" xfId="0" applyFont="1" applyBorder="1" applyAlignment="1">
      <alignment horizontal="left" vertical="top" wrapText="1"/>
    </xf>
    <xf numFmtId="0" fontId="9" fillId="0" borderId="4" xfId="0" applyFont="1" applyBorder="1" applyAlignment="1">
      <alignment horizontal="left" vertical="top"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0" fontId="4" fillId="0" borderId="12" xfId="0" applyFont="1" applyBorder="1" applyAlignment="1">
      <alignment horizontal="left" vertical="center" wrapText="1"/>
    </xf>
    <xf numFmtId="0" fontId="4" fillId="0" borderId="12" xfId="0" applyFont="1" applyBorder="1" applyAlignment="1">
      <alignment horizontal="center" vertical="center"/>
    </xf>
    <xf numFmtId="0" fontId="22" fillId="0" borderId="7" xfId="0" applyFont="1" applyBorder="1" applyAlignment="1">
      <alignment horizontal="left" vertical="center" wrapText="1" indent="2"/>
    </xf>
    <xf numFmtId="0" fontId="22" fillId="0" borderId="0" xfId="0" applyFont="1" applyAlignment="1">
      <alignment horizontal="left" vertical="center" wrapText="1" indent="2"/>
    </xf>
    <xf numFmtId="0" fontId="22" fillId="0" borderId="8" xfId="0" applyFont="1" applyBorder="1" applyAlignment="1">
      <alignment horizontal="left" vertical="center" wrapText="1" indent="2"/>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top" wrapText="1" indent="2"/>
    </xf>
    <xf numFmtId="0" fontId="4" fillId="0" borderId="5" xfId="0" applyFont="1" applyBorder="1" applyAlignment="1">
      <alignment horizontal="left" vertical="top" wrapText="1" indent="2"/>
    </xf>
    <xf numFmtId="0" fontId="4" fillId="0" borderId="6" xfId="0" applyFont="1" applyBorder="1" applyAlignment="1">
      <alignment horizontal="left" vertical="top" wrapText="1" indent="2"/>
    </xf>
    <xf numFmtId="0" fontId="9" fillId="0" borderId="1" xfId="0" applyFont="1" applyBorder="1" applyAlignment="1">
      <alignment horizontal="left" vertical="center" wrapText="1" indent="1"/>
    </xf>
    <xf numFmtId="0" fontId="9" fillId="0" borderId="2" xfId="0" applyFont="1" applyBorder="1" applyAlignment="1">
      <alignment horizontal="left" vertical="center" wrapText="1" indent="1"/>
    </xf>
    <xf numFmtId="0" fontId="9" fillId="0" borderId="3" xfId="0" applyFont="1" applyBorder="1" applyAlignment="1">
      <alignment horizontal="left" vertical="center" wrapText="1" indent="1"/>
    </xf>
    <xf numFmtId="0" fontId="4" fillId="0" borderId="7" xfId="0" applyFont="1" applyBorder="1" applyAlignment="1">
      <alignment horizontal="left" vertical="top" wrapText="1" indent="2"/>
    </xf>
    <xf numFmtId="0" fontId="4" fillId="0" borderId="0" xfId="0" applyFont="1" applyAlignment="1">
      <alignment horizontal="left" vertical="top" wrapText="1" indent="2"/>
    </xf>
    <xf numFmtId="0" fontId="4" fillId="0" borderId="8" xfId="0" applyFont="1" applyBorder="1" applyAlignment="1">
      <alignment horizontal="left" vertical="top" wrapText="1" indent="2"/>
    </xf>
    <xf numFmtId="0" fontId="0" fillId="0" borderId="7" xfId="0" applyBorder="1" applyAlignment="1">
      <alignment horizontal="left" vertical="top" wrapText="1" indent="2"/>
    </xf>
    <xf numFmtId="0" fontId="0" fillId="0" borderId="0" xfId="0" applyAlignment="1">
      <alignment horizontal="left" vertical="top" wrapText="1" indent="2"/>
    </xf>
    <xf numFmtId="0" fontId="0" fillId="0" borderId="8" xfId="0" applyBorder="1" applyAlignment="1">
      <alignment horizontal="left" vertical="top" wrapText="1" indent="2"/>
    </xf>
    <xf numFmtId="0" fontId="0" fillId="0" borderId="34" xfId="0" applyBorder="1" applyAlignment="1">
      <alignment horizontal="center" vertical="center"/>
    </xf>
    <xf numFmtId="0" fontId="0" fillId="0" borderId="35" xfId="0" applyBorder="1" applyAlignment="1">
      <alignment horizontal="center" vertical="center"/>
    </xf>
    <xf numFmtId="0" fontId="22" fillId="0" borderId="56" xfId="0" applyFont="1" applyBorder="1" applyAlignment="1">
      <alignment horizontal="left" vertical="top" wrapText="1"/>
    </xf>
    <xf numFmtId="0" fontId="22" fillId="0" borderId="67" xfId="0" applyFont="1" applyBorder="1" applyAlignment="1">
      <alignment horizontal="left" vertical="top" wrapText="1"/>
    </xf>
    <xf numFmtId="0" fontId="22" fillId="0" borderId="73" xfId="0" applyFont="1" applyBorder="1" applyAlignment="1">
      <alignment horizontal="left" vertical="top" wrapText="1"/>
    </xf>
    <xf numFmtId="0" fontId="22" fillId="0" borderId="9" xfId="0" applyFont="1" applyBorder="1" applyAlignment="1">
      <alignment horizontal="left" vertical="center" wrapText="1"/>
    </xf>
    <xf numFmtId="0" fontId="22" fillId="0" borderId="10" xfId="0" applyFont="1" applyBorder="1" applyAlignment="1">
      <alignment horizontal="left" vertical="center" wrapText="1"/>
    </xf>
    <xf numFmtId="0" fontId="22" fillId="0" borderId="11" xfId="0" applyFont="1" applyBorder="1" applyAlignment="1">
      <alignment horizontal="left" vertical="center" wrapText="1"/>
    </xf>
    <xf numFmtId="0" fontId="22" fillId="0" borderId="7" xfId="0" applyFont="1" applyBorder="1" applyAlignment="1">
      <alignment horizontal="left" vertical="center" wrapText="1"/>
    </xf>
    <xf numFmtId="0" fontId="22" fillId="0" borderId="0" xfId="0" applyFont="1" applyAlignment="1">
      <alignment horizontal="left" vertical="center" wrapText="1"/>
    </xf>
    <xf numFmtId="0" fontId="22" fillId="0" borderId="8" xfId="0" applyFont="1" applyBorder="1" applyAlignment="1">
      <alignment horizontal="left" vertical="center" wrapText="1"/>
    </xf>
    <xf numFmtId="0" fontId="9" fillId="0" borderId="70" xfId="0" applyFont="1" applyBorder="1" applyAlignment="1">
      <alignment horizontal="right" indent="1"/>
    </xf>
    <xf numFmtId="0" fontId="9" fillId="0" borderId="60" xfId="0" applyFont="1" applyBorder="1" applyAlignment="1">
      <alignment horizontal="right" indent="1"/>
    </xf>
    <xf numFmtId="0" fontId="9" fillId="0" borderId="47" xfId="0" applyFont="1" applyBorder="1" applyAlignment="1">
      <alignment horizontal="right" indent="1"/>
    </xf>
    <xf numFmtId="0" fontId="4" fillId="3" borderId="0" xfId="0" applyFont="1" applyFill="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9" fillId="0" borderId="69" xfId="0" applyFont="1" applyBorder="1" applyAlignment="1">
      <alignment horizontal="left" wrapText="1"/>
    </xf>
    <xf numFmtId="0" fontId="9" fillId="0" borderId="67" xfId="0" applyFont="1" applyBorder="1" applyAlignment="1">
      <alignment horizontal="left" wrapText="1"/>
    </xf>
    <xf numFmtId="0" fontId="9" fillId="0" borderId="73" xfId="0" applyFont="1" applyBorder="1" applyAlignment="1">
      <alignment horizontal="left" wrapText="1"/>
    </xf>
    <xf numFmtId="0" fontId="4" fillId="0" borderId="53" xfId="0" applyFont="1" applyBorder="1" applyAlignment="1">
      <alignment horizontal="left"/>
    </xf>
    <xf numFmtId="0" fontId="4" fillId="0" borderId="12" xfId="0" applyFont="1" applyBorder="1" applyAlignment="1">
      <alignment horizontal="left" vertical="center"/>
    </xf>
    <xf numFmtId="0" fontId="7" fillId="0" borderId="7" xfId="1" applyFont="1" applyBorder="1" applyAlignment="1">
      <alignment horizontal="center" vertical="top" wrapText="1"/>
    </xf>
    <xf numFmtId="0" fontId="7" fillId="0" borderId="8" xfId="1" applyFont="1" applyBorder="1" applyAlignment="1">
      <alignment horizontal="center" vertical="top" wrapText="1"/>
    </xf>
    <xf numFmtId="164" fontId="7" fillId="2" borderId="4" xfId="0" applyNumberFormat="1" applyFont="1" applyFill="1" applyBorder="1" applyAlignment="1">
      <alignment horizontal="center" vertical="top" wrapText="1"/>
    </xf>
    <xf numFmtId="164" fontId="7" fillId="2" borderId="6" xfId="0" applyNumberFormat="1" applyFont="1" applyFill="1" applyBorder="1" applyAlignment="1">
      <alignment horizontal="center" vertical="top" wrapText="1"/>
    </xf>
    <xf numFmtId="1" fontId="7" fillId="0" borderId="15" xfId="0" applyNumberFormat="1" applyFont="1" applyBorder="1" applyAlignment="1">
      <alignment horizontal="center" vertical="center" wrapText="1"/>
    </xf>
    <xf numFmtId="1" fontId="7" fillId="0" borderId="14" xfId="0" applyNumberFormat="1" applyFont="1" applyBorder="1" applyAlignment="1">
      <alignment horizontal="center" vertical="center" wrapText="1"/>
    </xf>
    <xf numFmtId="0" fontId="7" fillId="0" borderId="1" xfId="0" applyFont="1" applyBorder="1" applyAlignment="1">
      <alignment horizontal="center" vertical="top" wrapText="1"/>
    </xf>
    <xf numFmtId="0" fontId="13" fillId="0" borderId="4" xfId="0" applyFont="1" applyBorder="1" applyAlignment="1">
      <alignment horizontal="left" vertical="center" wrapText="1" indent="1"/>
    </xf>
    <xf numFmtId="0" fontId="13" fillId="0" borderId="5" xfId="0" applyFont="1" applyBorder="1" applyAlignment="1">
      <alignment horizontal="left" vertical="center" wrapText="1" indent="1"/>
    </xf>
    <xf numFmtId="0" fontId="13" fillId="0" borderId="6" xfId="0" applyFont="1" applyBorder="1" applyAlignment="1">
      <alignment horizontal="left" vertical="center" wrapText="1" inden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10" fontId="7" fillId="0" borderId="15" xfId="0" applyNumberFormat="1" applyFont="1" applyBorder="1" applyAlignment="1">
      <alignment horizontal="center" vertical="center" wrapText="1"/>
    </xf>
    <xf numFmtId="10" fontId="7" fillId="0" borderId="14" xfId="0" applyNumberFormat="1" applyFont="1" applyBorder="1" applyAlignment="1">
      <alignment horizontal="center" vertical="center" wrapText="1"/>
    </xf>
    <xf numFmtId="165" fontId="7" fillId="2" borderId="4" xfId="0" applyNumberFormat="1" applyFont="1" applyFill="1" applyBorder="1" applyAlignment="1">
      <alignment horizontal="left" vertical="center" wrapText="1" indent="1"/>
    </xf>
    <xf numFmtId="165" fontId="7" fillId="2" borderId="5" xfId="0" applyNumberFormat="1" applyFont="1" applyFill="1" applyBorder="1" applyAlignment="1">
      <alignment horizontal="left" vertical="center" wrapText="1" indent="1"/>
    </xf>
    <xf numFmtId="165" fontId="7" fillId="2" borderId="6" xfId="0" applyNumberFormat="1" applyFont="1" applyFill="1" applyBorder="1" applyAlignment="1">
      <alignment horizontal="left" vertical="center" wrapText="1" indent="1"/>
    </xf>
    <xf numFmtId="165" fontId="7" fillId="2" borderId="4" xfId="0" applyNumberFormat="1" applyFont="1" applyFill="1" applyBorder="1" applyAlignment="1">
      <alignment horizontal="center" vertical="center" wrapText="1"/>
    </xf>
    <xf numFmtId="165" fontId="7" fillId="2" borderId="6" xfId="0" applyNumberFormat="1" applyFont="1" applyFill="1" applyBorder="1" applyAlignment="1">
      <alignment horizontal="center" vertical="center" wrapText="1"/>
    </xf>
    <xf numFmtId="165" fontId="7" fillId="2" borderId="5" xfId="0" applyNumberFormat="1" applyFont="1" applyFill="1" applyBorder="1" applyAlignment="1">
      <alignment horizontal="center" vertical="center" wrapText="1"/>
    </xf>
    <xf numFmtId="165" fontId="7" fillId="2" borderId="4" xfId="0" applyNumberFormat="1" applyFont="1" applyFill="1" applyBorder="1" applyAlignment="1">
      <alignment horizontal="left" vertical="top" wrapText="1" indent="1"/>
    </xf>
    <xf numFmtId="165" fontId="7" fillId="2" borderId="6" xfId="0" applyNumberFormat="1" applyFont="1" applyFill="1" applyBorder="1" applyAlignment="1">
      <alignment horizontal="left" vertical="top" wrapText="1" indent="1"/>
    </xf>
    <xf numFmtId="0" fontId="7" fillId="0" borderId="1" xfId="2" applyFont="1" applyBorder="1" applyAlignment="1">
      <alignment horizontal="center" vertical="top" wrapText="1"/>
    </xf>
    <xf numFmtId="0" fontId="7" fillId="0" borderId="3" xfId="2" applyFont="1" applyBorder="1" applyAlignment="1">
      <alignment horizontal="center" vertical="top" wrapText="1"/>
    </xf>
    <xf numFmtId="164" fontId="7" fillId="2" borderId="4" xfId="1" applyNumberFormat="1" applyFont="1" applyFill="1" applyBorder="1" applyAlignment="1">
      <alignment horizontal="center" vertical="center" wrapText="1"/>
    </xf>
    <xf numFmtId="164" fontId="7" fillId="2" borderId="6" xfId="1" applyNumberFormat="1" applyFont="1" applyFill="1" applyBorder="1" applyAlignment="1">
      <alignment horizontal="center" vertical="center" wrapText="1"/>
    </xf>
    <xf numFmtId="1" fontId="9" fillId="0" borderId="15" xfId="0" applyNumberFormat="1" applyFont="1" applyBorder="1" applyAlignment="1">
      <alignment horizontal="center" vertical="center" wrapText="1"/>
    </xf>
    <xf numFmtId="1" fontId="9" fillId="0" borderId="14" xfId="0" applyNumberFormat="1" applyFont="1" applyBorder="1" applyAlignment="1">
      <alignment horizontal="center" vertical="center" wrapText="1"/>
    </xf>
    <xf numFmtId="0" fontId="13" fillId="0" borderId="1" xfId="0" applyFont="1" applyBorder="1" applyAlignment="1">
      <alignment horizontal="left" vertical="center" wrapText="1" indent="1"/>
    </xf>
    <xf numFmtId="0" fontId="13" fillId="0" borderId="2" xfId="0" applyFont="1" applyBorder="1" applyAlignment="1">
      <alignment horizontal="left" vertical="center" wrapText="1" indent="1"/>
    </xf>
    <xf numFmtId="0" fontId="13" fillId="0" borderId="3" xfId="0" applyFont="1" applyBorder="1" applyAlignment="1">
      <alignment horizontal="left" vertical="center" wrapText="1" indent="1"/>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44" fontId="9" fillId="0" borderId="9" xfId="0" applyNumberFormat="1" applyFont="1" applyBorder="1" applyAlignment="1">
      <alignment horizontal="center" vertical="center"/>
    </xf>
    <xf numFmtId="44" fontId="9" fillId="0" borderId="11" xfId="0" applyNumberFormat="1" applyFont="1" applyBorder="1" applyAlignment="1">
      <alignment horizontal="center" vertical="center"/>
    </xf>
    <xf numFmtId="0" fontId="19" fillId="0" borderId="4" xfId="0" applyFont="1" applyBorder="1" applyAlignment="1">
      <alignment horizontal="left"/>
    </xf>
    <xf numFmtId="0" fontId="19" fillId="0" borderId="5" xfId="0" applyFont="1" applyBorder="1" applyAlignment="1">
      <alignment horizontal="left"/>
    </xf>
    <xf numFmtId="0" fontId="19" fillId="0" borderId="6" xfId="0" applyFont="1" applyBorder="1" applyAlignment="1">
      <alignment horizontal="left"/>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10" fontId="9" fillId="0" borderId="15"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0" fontId="9" fillId="0" borderId="1" xfId="0" applyFont="1" applyBorder="1" applyAlignment="1">
      <alignment horizontal="right" vertical="center" wrapText="1" indent="1"/>
    </xf>
    <xf numFmtId="0" fontId="9" fillId="0" borderId="2" xfId="0" applyFont="1" applyBorder="1" applyAlignment="1">
      <alignment horizontal="right" vertical="center" wrapText="1" indent="1"/>
    </xf>
    <xf numFmtId="0" fontId="9" fillId="0" borderId="3" xfId="0" applyFont="1" applyBorder="1" applyAlignment="1">
      <alignment horizontal="right" vertical="center" wrapText="1" indent="1"/>
    </xf>
    <xf numFmtId="0" fontId="0" fillId="0" borderId="4" xfId="0" applyBorder="1" applyAlignment="1">
      <alignment horizontal="right" vertical="center" wrapText="1" indent="1"/>
    </xf>
    <xf numFmtId="0" fontId="0" fillId="0" borderId="5" xfId="0" applyBorder="1" applyAlignment="1">
      <alignment horizontal="right" vertical="center" wrapText="1" indent="1"/>
    </xf>
    <xf numFmtId="0" fontId="0" fillId="0" borderId="6" xfId="0" applyBorder="1" applyAlignment="1">
      <alignment horizontal="right" vertical="center" wrapText="1" inden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13" fillId="0" borderId="1" xfId="0" applyFont="1" applyBorder="1" applyAlignment="1">
      <alignment horizontal="left" vertical="top" wrapText="1" indent="1"/>
    </xf>
    <xf numFmtId="0" fontId="13" fillId="0" borderId="2" xfId="0" applyFont="1" applyBorder="1" applyAlignment="1">
      <alignment horizontal="left" vertical="top" wrapText="1" indent="1"/>
    </xf>
    <xf numFmtId="0" fontId="13" fillId="0" borderId="3" xfId="0" applyFont="1" applyBorder="1" applyAlignment="1">
      <alignment horizontal="left" vertical="top" wrapText="1" indent="1"/>
    </xf>
    <xf numFmtId="0" fontId="10" fillId="0" borderId="111" xfId="0" applyFont="1" applyBorder="1" applyAlignment="1">
      <alignment horizontal="center" wrapText="1"/>
    </xf>
    <xf numFmtId="0" fontId="0" fillId="0" borderId="111" xfId="0" applyBorder="1" applyAlignment="1">
      <alignment horizontal="center" wrapText="1"/>
    </xf>
    <xf numFmtId="0" fontId="0" fillId="0" borderId="44" xfId="0" applyBorder="1" applyAlignment="1">
      <alignment horizontal="center" wrapText="1"/>
    </xf>
    <xf numFmtId="0" fontId="7" fillId="0" borderId="9" xfId="0" applyFont="1" applyBorder="1" applyAlignment="1">
      <alignment horizontal="center" wrapText="1"/>
    </xf>
    <xf numFmtId="0" fontId="7" fillId="0" borderId="10" xfId="0" applyFont="1" applyBorder="1" applyAlignment="1">
      <alignment horizontal="center" wrapText="1"/>
    </xf>
    <xf numFmtId="0" fontId="0" fillId="0" borderId="10" xfId="0" applyBorder="1" applyAlignment="1">
      <alignment wrapText="1"/>
    </xf>
    <xf numFmtId="0" fontId="0" fillId="0" borderId="11" xfId="0" applyBorder="1" applyAlignment="1">
      <alignment wrapText="1"/>
    </xf>
    <xf numFmtId="44" fontId="13" fillId="0" borderId="62" xfId="0" applyNumberFormat="1" applyFont="1" applyBorder="1" applyAlignment="1">
      <alignment horizontal="center" vertical="center"/>
    </xf>
    <xf numFmtId="44" fontId="13" fillId="0" borderId="10" xfId="0" applyNumberFormat="1" applyFont="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7" fillId="0" borderId="19" xfId="0" applyFont="1" applyBorder="1" applyAlignment="1">
      <alignment horizontal="center" vertical="center" wrapText="1"/>
    </xf>
    <xf numFmtId="0" fontId="7" fillId="0" borderId="31" xfId="0" applyFont="1" applyBorder="1" applyAlignment="1">
      <alignment horizontal="center" vertical="center" wrapText="1"/>
    </xf>
    <xf numFmtId="0" fontId="0" fillId="0" borderId="31" xfId="0" applyBorder="1"/>
    <xf numFmtId="0" fontId="0" fillId="0" borderId="32" xfId="0" applyBorder="1"/>
    <xf numFmtId="164" fontId="7" fillId="2" borderId="0" xfId="0" applyNumberFormat="1" applyFont="1" applyFill="1" applyAlignment="1">
      <alignment horizontal="center" vertical="center" wrapText="1"/>
    </xf>
    <xf numFmtId="164" fontId="7" fillId="2" borderId="8" xfId="0" applyNumberFormat="1" applyFont="1" applyFill="1" applyBorder="1" applyAlignment="1">
      <alignment horizontal="center" vertical="center" wrapText="1"/>
    </xf>
    <xf numFmtId="0" fontId="0" fillId="0" borderId="0" xfId="0"/>
    <xf numFmtId="0" fontId="0" fillId="0" borderId="8" xfId="0" applyBorder="1"/>
    <xf numFmtId="164" fontId="7" fillId="2" borderId="5" xfId="0" applyNumberFormat="1" applyFont="1" applyFill="1" applyBorder="1" applyAlignment="1">
      <alignment horizontal="center" vertical="center" wrapText="1"/>
    </xf>
    <xf numFmtId="0" fontId="0" fillId="0" borderId="5" xfId="0" applyBorder="1"/>
    <xf numFmtId="0" fontId="0" fillId="0" borderId="6" xfId="0" applyBorder="1"/>
    <xf numFmtId="0" fontId="10" fillId="0" borderId="37" xfId="0" applyFont="1" applyBorder="1" applyAlignment="1">
      <alignment horizontal="center" vertical="center" wrapText="1"/>
    </xf>
    <xf numFmtId="0" fontId="10" fillId="0" borderId="0" xfId="0" applyFont="1" applyAlignment="1">
      <alignment horizontal="left" wrapText="1" indent="1"/>
    </xf>
    <xf numFmtId="0" fontId="10" fillId="0" borderId="22" xfId="0" applyFont="1" applyBorder="1" applyAlignment="1">
      <alignment horizontal="left" wrapText="1" indent="1"/>
    </xf>
    <xf numFmtId="0" fontId="13" fillId="0" borderId="1" xfId="0" applyFont="1" applyBorder="1" applyAlignment="1">
      <alignment horizontal="right" wrapText="1"/>
    </xf>
    <xf numFmtId="0" fontId="13" fillId="0" borderId="2" xfId="0" applyFont="1" applyBorder="1" applyAlignment="1">
      <alignment horizontal="right" wrapText="1"/>
    </xf>
    <xf numFmtId="0" fontId="13" fillId="0" borderId="28" xfId="0" applyFont="1" applyBorder="1" applyAlignment="1">
      <alignment horizontal="right" wrapText="1"/>
    </xf>
    <xf numFmtId="0" fontId="10" fillId="0" borderId="7" xfId="0" applyFont="1" applyBorder="1" applyAlignment="1">
      <alignment horizontal="left" vertical="top" wrapText="1" indent="1"/>
    </xf>
    <xf numFmtId="0" fontId="10" fillId="0" borderId="0" xfId="0" applyFont="1" applyAlignment="1">
      <alignment horizontal="left" vertical="top" wrapText="1" indent="1"/>
    </xf>
    <xf numFmtId="0" fontId="10" fillId="0" borderId="22" xfId="0" applyFont="1" applyBorder="1" applyAlignment="1">
      <alignment horizontal="left" vertical="top" wrapText="1" indent="1"/>
    </xf>
    <xf numFmtId="0" fontId="10" fillId="0" borderId="34" xfId="0" applyFont="1" applyBorder="1" applyAlignment="1">
      <alignment horizontal="left" vertical="top" wrapText="1" indent="1"/>
    </xf>
    <xf numFmtId="0" fontId="10" fillId="0" borderId="24" xfId="0" applyFont="1" applyBorder="1" applyAlignment="1">
      <alignment horizontal="left" vertical="top" wrapText="1" indent="1"/>
    </xf>
    <xf numFmtId="0" fontId="10" fillId="0" borderId="25" xfId="0" applyFont="1" applyBorder="1" applyAlignment="1">
      <alignment horizontal="left" vertical="top" wrapText="1" indent="1"/>
    </xf>
    <xf numFmtId="0" fontId="7" fillId="0" borderId="30" xfId="0" applyFont="1" applyBorder="1" applyAlignment="1">
      <alignment horizontal="center" vertical="center" wrapText="1"/>
    </xf>
    <xf numFmtId="0" fontId="7" fillId="0" borderId="20" xfId="0" applyFont="1" applyBorder="1" applyAlignment="1">
      <alignment horizontal="center" vertical="center" wrapText="1"/>
    </xf>
    <xf numFmtId="0" fontId="7" fillId="2" borderId="0" xfId="0" applyFont="1" applyFill="1" applyAlignment="1">
      <alignment horizontal="left" vertical="center" wrapText="1"/>
    </xf>
    <xf numFmtId="0" fontId="7" fillId="2" borderId="22"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76" xfId="0" applyFont="1" applyFill="1" applyBorder="1" applyAlignment="1">
      <alignment horizontal="left" vertical="center" wrapText="1"/>
    </xf>
    <xf numFmtId="164" fontId="7" fillId="2" borderId="33" xfId="0" applyNumberFormat="1" applyFont="1" applyFill="1" applyBorder="1" applyAlignment="1">
      <alignment horizontal="center" vertical="center" wrapText="1"/>
    </xf>
    <xf numFmtId="164" fontId="7" fillId="2" borderId="76" xfId="0" applyNumberFormat="1" applyFont="1" applyFill="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165" fontId="7" fillId="2" borderId="23" xfId="0" applyNumberFormat="1" applyFont="1" applyFill="1" applyBorder="1" applyAlignment="1">
      <alignment horizontal="center" vertical="center" wrapText="1"/>
    </xf>
    <xf numFmtId="165" fontId="7" fillId="2" borderId="24" xfId="0" applyNumberFormat="1" applyFont="1" applyFill="1" applyBorder="1" applyAlignment="1">
      <alignment horizontal="center" vertical="center" wrapText="1"/>
    </xf>
    <xf numFmtId="0" fontId="0" fillId="0" borderId="24" xfId="0" applyBorder="1"/>
    <xf numFmtId="0" fontId="0" fillId="0" borderId="35" xfId="0" applyBorder="1"/>
    <xf numFmtId="0" fontId="7" fillId="0" borderId="2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165" fontId="7" fillId="2" borderId="25"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Alignment="1">
      <alignment horizontal="center" vertical="center" wrapText="1"/>
    </xf>
    <xf numFmtId="165" fontId="7" fillId="2" borderId="34" xfId="0" applyNumberFormat="1" applyFont="1" applyFill="1" applyBorder="1" applyAlignment="1">
      <alignment horizontal="center" vertical="center" wrapText="1"/>
    </xf>
    <xf numFmtId="0" fontId="7" fillId="0" borderId="7" xfId="0" applyFont="1" applyBorder="1" applyAlignment="1">
      <alignment horizontal="center" vertical="top" wrapText="1"/>
    </xf>
    <xf numFmtId="0" fontId="7" fillId="0" borderId="8" xfId="0" applyFont="1" applyBorder="1" applyAlignment="1">
      <alignment horizontal="center" vertical="top" wrapText="1"/>
    </xf>
    <xf numFmtId="164" fontId="7" fillId="2" borderId="4" xfId="0" applyNumberFormat="1" applyFont="1" applyFill="1" applyBorder="1" applyAlignment="1">
      <alignment horizontal="center" vertical="top"/>
    </xf>
    <xf numFmtId="164" fontId="7" fillId="2" borderId="6" xfId="0" applyNumberFormat="1" applyFont="1" applyFill="1" applyBorder="1" applyAlignment="1">
      <alignment horizontal="center" vertical="top"/>
    </xf>
    <xf numFmtId="0" fontId="34" fillId="0" borderId="2" xfId="0" applyFont="1" applyBorder="1" applyAlignment="1">
      <alignment wrapText="1"/>
    </xf>
    <xf numFmtId="0" fontId="4" fillId="0" borderId="38" xfId="0" applyFont="1" applyBorder="1" applyAlignment="1">
      <alignment horizontal="center"/>
    </xf>
    <xf numFmtId="0" fontId="7" fillId="0" borderId="7" xfId="0" applyFont="1" applyBorder="1" applyAlignment="1">
      <alignment horizontal="left" vertical="top" wrapText="1" indent="1"/>
    </xf>
    <xf numFmtId="0" fontId="7" fillId="0" borderId="22" xfId="0" applyFont="1" applyBorder="1" applyAlignment="1">
      <alignment horizontal="left" vertical="top" wrapText="1" indent="1"/>
    </xf>
    <xf numFmtId="0" fontId="4" fillId="3" borderId="39" xfId="0" applyFont="1" applyFill="1" applyBorder="1" applyAlignment="1" applyProtection="1">
      <alignment horizontal="center"/>
      <protection locked="0"/>
    </xf>
    <xf numFmtId="0" fontId="4" fillId="0" borderId="66" xfId="0" applyFont="1" applyBorder="1" applyAlignment="1">
      <alignment horizontal="left" wrapText="1" indent="1"/>
    </xf>
    <xf numFmtId="0" fontId="4" fillId="0" borderId="17" xfId="0" applyFont="1" applyBorder="1" applyAlignment="1">
      <alignment horizontal="left" wrapText="1" indent="1"/>
    </xf>
    <xf numFmtId="0" fontId="4" fillId="0" borderId="18" xfId="0" applyFont="1" applyBorder="1" applyAlignment="1">
      <alignment horizontal="left" wrapText="1" indent="1"/>
    </xf>
    <xf numFmtId="0" fontId="4" fillId="0" borderId="27" xfId="0" applyFont="1" applyBorder="1" applyAlignment="1">
      <alignment horizontal="center"/>
    </xf>
    <xf numFmtId="0" fontId="4" fillId="0" borderId="28" xfId="0" applyFont="1" applyBorder="1" applyAlignment="1">
      <alignment horizontal="center"/>
    </xf>
    <xf numFmtId="0" fontId="4" fillId="0" borderId="3" xfId="0" applyFont="1" applyBorder="1" applyAlignment="1">
      <alignment horizontal="center"/>
    </xf>
    <xf numFmtId="0" fontId="4" fillId="0" borderId="44" xfId="0" applyFont="1" applyBorder="1" applyAlignment="1">
      <alignment horizontal="center"/>
    </xf>
    <xf numFmtId="0" fontId="4" fillId="3" borderId="45" xfId="0" applyFont="1" applyFill="1" applyBorder="1" applyAlignment="1" applyProtection="1">
      <alignment horizontal="center"/>
      <protection locked="0"/>
    </xf>
    <xf numFmtId="0" fontId="4" fillId="0" borderId="39" xfId="0" applyFont="1" applyBorder="1" applyAlignment="1">
      <alignment horizontal="center"/>
    </xf>
    <xf numFmtId="0" fontId="4" fillId="0" borderId="45" xfId="0" applyFont="1" applyBorder="1" applyAlignment="1">
      <alignment horizontal="center"/>
    </xf>
    <xf numFmtId="0" fontId="9" fillId="0" borderId="69" xfId="0" applyFont="1" applyBorder="1" applyAlignment="1">
      <alignment horizontal="right" wrapText="1"/>
    </xf>
    <xf numFmtId="0" fontId="9" fillId="0" borderId="67" xfId="0" applyFont="1" applyBorder="1" applyAlignment="1">
      <alignment horizontal="right" wrapText="1"/>
    </xf>
    <xf numFmtId="0" fontId="9" fillId="0" borderId="68" xfId="0" applyFont="1" applyBorder="1" applyAlignment="1">
      <alignment horizontal="right" wrapText="1"/>
    </xf>
    <xf numFmtId="0" fontId="7" fillId="0" borderId="20" xfId="0" applyFont="1" applyBorder="1"/>
    <xf numFmtId="0" fontId="13" fillId="0" borderId="7" xfId="0" applyFont="1" applyBorder="1" applyAlignment="1">
      <alignment horizontal="left" indent="1"/>
    </xf>
    <xf numFmtId="0" fontId="13" fillId="0" borderId="0" xfId="0" applyFont="1" applyAlignment="1">
      <alignment horizontal="left" indent="1"/>
    </xf>
    <xf numFmtId="0" fontId="13" fillId="0" borderId="22" xfId="0" applyFont="1" applyBorder="1" applyAlignment="1">
      <alignment horizontal="left" indent="1"/>
    </xf>
    <xf numFmtId="0" fontId="4" fillId="0" borderId="70" xfId="0" applyFont="1" applyBorder="1" applyAlignment="1">
      <alignment horizontal="left" wrapText="1" indent="1"/>
    </xf>
    <xf numFmtId="0" fontId="4" fillId="0" borderId="60" xfId="0" applyFont="1" applyBorder="1" applyAlignment="1">
      <alignment horizontal="left" wrapText="1" indent="1"/>
    </xf>
    <xf numFmtId="0" fontId="4" fillId="0" borderId="47" xfId="0" applyFont="1" applyBorder="1" applyAlignment="1">
      <alignment horizontal="left" wrapText="1" indent="1"/>
    </xf>
    <xf numFmtId="0" fontId="7" fillId="0" borderId="34" xfId="0" applyFont="1" applyBorder="1" applyAlignment="1">
      <alignment horizontal="left" vertical="top" wrapText="1" indent="1"/>
    </xf>
    <xf numFmtId="0" fontId="7" fillId="0" borderId="24" xfId="0" applyFont="1" applyBorder="1" applyAlignment="1">
      <alignment horizontal="left" vertical="top" wrapText="1" indent="1"/>
    </xf>
    <xf numFmtId="0" fontId="7" fillId="0" borderId="25" xfId="0" applyFont="1" applyBorder="1" applyAlignment="1">
      <alignment horizontal="left" vertical="top" wrapText="1" indent="1"/>
    </xf>
    <xf numFmtId="0" fontId="10" fillId="0" borderId="39" xfId="0" applyFont="1" applyBorder="1" applyAlignment="1">
      <alignment horizontal="left" vertical="top" wrapText="1"/>
    </xf>
    <xf numFmtId="0" fontId="10" fillId="0" borderId="45" xfId="0" applyFont="1" applyBorder="1" applyAlignment="1">
      <alignment horizontal="left" vertical="top" wrapText="1"/>
    </xf>
    <xf numFmtId="0" fontId="0" fillId="0" borderId="68" xfId="0" applyBorder="1"/>
    <xf numFmtId="0" fontId="9" fillId="0" borderId="9"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19" xfId="0" applyFont="1" applyBorder="1" applyAlignment="1">
      <alignment horizontal="center" vertical="top" wrapText="1"/>
    </xf>
    <xf numFmtId="0" fontId="9" fillId="0" borderId="31" xfId="0" applyFont="1" applyBorder="1" applyAlignment="1">
      <alignment horizontal="center" vertical="top" wrapText="1"/>
    </xf>
    <xf numFmtId="0" fontId="9" fillId="0" borderId="32" xfId="0" applyFont="1" applyBorder="1" applyAlignment="1">
      <alignment horizontal="center" vertical="top" wrapText="1"/>
    </xf>
    <xf numFmtId="0" fontId="9" fillId="0" borderId="21" xfId="0" applyFont="1" applyBorder="1" applyAlignment="1">
      <alignment horizontal="center" vertical="top" wrapText="1"/>
    </xf>
    <xf numFmtId="0" fontId="9" fillId="0" borderId="0" xfId="0" applyFont="1" applyAlignment="1">
      <alignment horizontal="center" vertical="top" wrapText="1"/>
    </xf>
    <xf numFmtId="0" fontId="9" fillId="0" borderId="8" xfId="0" applyFont="1" applyBorder="1" applyAlignment="1">
      <alignment horizontal="center" vertical="top" wrapText="1"/>
    </xf>
    <xf numFmtId="0" fontId="9" fillId="0" borderId="33" xfId="0" applyFont="1" applyBorder="1" applyAlignment="1">
      <alignment horizontal="center" vertical="top" wrapText="1"/>
    </xf>
    <xf numFmtId="0" fontId="9" fillId="0" borderId="5" xfId="0" applyFont="1" applyBorder="1" applyAlignment="1">
      <alignment horizontal="center" vertical="top" wrapText="1"/>
    </xf>
    <xf numFmtId="0" fontId="9" fillId="0" borderId="6" xfId="0" applyFont="1" applyBorder="1" applyAlignment="1">
      <alignment horizontal="center" vertical="top" wrapText="1"/>
    </xf>
    <xf numFmtId="0" fontId="7" fillId="0" borderId="41" xfId="0" applyFont="1" applyBorder="1" applyAlignment="1">
      <alignment horizontal="left" vertical="center" wrapText="1" indent="1"/>
    </xf>
    <xf numFmtId="0" fontId="7" fillId="0" borderId="39" xfId="0" applyFont="1" applyBorder="1" applyAlignment="1">
      <alignment horizontal="left" vertical="center" wrapText="1" indent="1"/>
    </xf>
    <xf numFmtId="0" fontId="7" fillId="0" borderId="39" xfId="0" applyFont="1" applyBorder="1" applyAlignment="1">
      <alignment horizontal="left" vertical="center" wrapText="1"/>
    </xf>
    <xf numFmtId="0" fontId="7" fillId="0" borderId="16" xfId="0" applyFont="1" applyBorder="1" applyAlignment="1">
      <alignment horizontal="left" vertical="center" wrapText="1"/>
    </xf>
    <xf numFmtId="0" fontId="7" fillId="0" borderId="49" xfId="0" applyFont="1" applyBorder="1" applyAlignment="1">
      <alignment horizontal="left" vertical="center" wrapText="1" indent="1"/>
    </xf>
    <xf numFmtId="0" fontId="7" fillId="0" borderId="45" xfId="0" applyFont="1" applyBorder="1" applyAlignment="1">
      <alignment horizontal="left" vertical="center" wrapText="1" indent="1"/>
    </xf>
    <xf numFmtId="0" fontId="7" fillId="0" borderId="50" xfId="0" applyFont="1" applyBorder="1" applyAlignment="1">
      <alignment horizontal="left" vertical="center" wrapText="1" indent="1"/>
    </xf>
    <xf numFmtId="49" fontId="4" fillId="3" borderId="16" xfId="0" applyNumberFormat="1" applyFont="1" applyFill="1" applyBorder="1" applyAlignment="1" applyProtection="1">
      <alignment horizontal="left" vertical="center" wrapText="1"/>
      <protection locked="0"/>
    </xf>
    <xf numFmtId="49" fontId="4" fillId="3" borderId="17" xfId="0" applyNumberFormat="1" applyFont="1" applyFill="1" applyBorder="1" applyAlignment="1" applyProtection="1">
      <alignment horizontal="left" vertical="center" wrapText="1"/>
      <protection locked="0"/>
    </xf>
    <xf numFmtId="49" fontId="4" fillId="3" borderId="18" xfId="0" applyNumberFormat="1" applyFont="1" applyFill="1" applyBorder="1" applyAlignment="1" applyProtection="1">
      <alignment horizontal="left" vertical="center" wrapText="1"/>
      <protection locked="0"/>
    </xf>
    <xf numFmtId="0" fontId="7" fillId="0" borderId="19" xfId="0" applyFont="1" applyBorder="1" applyAlignment="1">
      <alignment horizontal="left" vertical="center" wrapText="1" indent="1"/>
    </xf>
    <xf numFmtId="0" fontId="7" fillId="0" borderId="32" xfId="0" applyFont="1" applyBorder="1" applyAlignment="1">
      <alignment horizontal="left" vertical="center" wrapText="1" indent="1"/>
    </xf>
    <xf numFmtId="0" fontId="7" fillId="0" borderId="21"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23" xfId="0" applyFont="1" applyBorder="1" applyAlignment="1">
      <alignment horizontal="left" vertical="center" wrapText="1" indent="1"/>
    </xf>
    <xf numFmtId="0" fontId="7" fillId="0" borderId="24" xfId="0" applyFont="1" applyBorder="1" applyAlignment="1">
      <alignment horizontal="left" vertical="center" wrapText="1" indent="1"/>
    </xf>
    <xf numFmtId="0" fontId="7" fillId="0" borderId="35" xfId="0" applyFont="1" applyBorder="1" applyAlignment="1">
      <alignment horizontal="left" vertical="center" wrapText="1" indent="1"/>
    </xf>
    <xf numFmtId="0" fontId="7" fillId="0" borderId="20" xfId="0" applyFont="1" applyBorder="1" applyAlignment="1">
      <alignment horizontal="left" vertical="center" wrapText="1" indent="1"/>
    </xf>
    <xf numFmtId="0" fontId="7" fillId="0" borderId="22" xfId="0" applyFont="1" applyBorder="1" applyAlignment="1">
      <alignment horizontal="left" vertical="center" wrapText="1" indent="1"/>
    </xf>
    <xf numFmtId="0" fontId="7" fillId="0" borderId="25" xfId="0" applyFont="1" applyBorder="1" applyAlignment="1">
      <alignment horizontal="left" vertical="center" wrapText="1" indent="1"/>
    </xf>
    <xf numFmtId="0" fontId="7" fillId="0" borderId="54" xfId="0" applyFont="1" applyBorder="1" applyAlignment="1">
      <alignment horizontal="left" vertical="center" wrapText="1" indent="1"/>
    </xf>
    <xf numFmtId="0" fontId="7" fillId="0" borderId="55" xfId="0" applyFont="1" applyBorder="1" applyAlignment="1">
      <alignment horizontal="left" vertical="center" wrapText="1" indent="1"/>
    </xf>
    <xf numFmtId="0" fontId="7" fillId="0" borderId="53" xfId="0" applyFont="1" applyBorder="1" applyAlignment="1">
      <alignment horizontal="left" vertical="center" wrapText="1" indent="1"/>
    </xf>
    <xf numFmtId="0" fontId="7" fillId="0" borderId="54" xfId="0" applyFont="1" applyBorder="1" applyAlignment="1">
      <alignment horizontal="left" vertical="center" wrapText="1"/>
    </xf>
    <xf numFmtId="0" fontId="7" fillId="0" borderId="56" xfId="0" applyFont="1" applyBorder="1" applyAlignment="1">
      <alignment horizontal="left" vertical="center" wrapText="1"/>
    </xf>
    <xf numFmtId="49" fontId="4" fillId="3" borderId="42" xfId="0" applyNumberFormat="1" applyFont="1" applyFill="1" applyBorder="1" applyAlignment="1" applyProtection="1">
      <alignment horizontal="left" vertical="center" wrapText="1"/>
      <protection locked="0"/>
    </xf>
    <xf numFmtId="49" fontId="4" fillId="3" borderId="60" xfId="0" applyNumberFormat="1" applyFont="1" applyFill="1" applyBorder="1" applyAlignment="1" applyProtection="1">
      <alignment horizontal="left" vertical="center" wrapText="1"/>
      <protection locked="0"/>
    </xf>
    <xf numFmtId="49" fontId="4" fillId="3" borderId="47" xfId="0" applyNumberFormat="1" applyFont="1" applyFill="1" applyBorder="1" applyAlignment="1" applyProtection="1">
      <alignment horizontal="left" vertical="center" wrapText="1"/>
      <protection locked="0"/>
    </xf>
    <xf numFmtId="0" fontId="9" fillId="0" borderId="15" xfId="0" applyFont="1" applyBorder="1" applyAlignment="1">
      <alignment horizontal="left" vertical="top" wrapText="1" indent="1"/>
    </xf>
    <xf numFmtId="0" fontId="9" fillId="0" borderId="14" xfId="0" applyFont="1" applyBorder="1" applyAlignment="1">
      <alignment horizontal="left" vertical="top" wrapText="1" indent="1"/>
    </xf>
    <xf numFmtId="0" fontId="9" fillId="0" borderId="4" xfId="0" applyFont="1" applyBorder="1" applyAlignment="1">
      <alignment horizontal="left" vertical="top" wrapText="1" indent="1"/>
    </xf>
    <xf numFmtId="0" fontId="4" fillId="0" borderId="63" xfId="0" applyFont="1" applyBorder="1" applyAlignment="1">
      <alignment horizontal="left" vertical="top" wrapText="1" indent="1"/>
    </xf>
    <xf numFmtId="0" fontId="25" fillId="0" borderId="9" xfId="0" applyFont="1" applyBorder="1" applyAlignment="1">
      <alignment horizontal="left" vertical="center" wrapTex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9" fillId="0" borderId="43" xfId="0" applyFont="1" applyBorder="1" applyAlignment="1">
      <alignment horizontal="left" vertical="center" wrapText="1" indent="1"/>
    </xf>
    <xf numFmtId="0" fontId="9" fillId="0" borderId="15" xfId="0" applyFont="1" applyBorder="1" applyAlignment="1">
      <alignment horizontal="left" vertical="center" wrapText="1" indent="1"/>
    </xf>
    <xf numFmtId="0" fontId="5" fillId="0" borderId="65" xfId="0" applyFont="1" applyBorder="1" applyAlignment="1">
      <alignment horizontal="left" vertical="center" wrapText="1" indent="1"/>
    </xf>
    <xf numFmtId="0" fontId="5" fillId="0" borderId="14" xfId="0" applyFont="1" applyBorder="1" applyAlignment="1">
      <alignment horizontal="left" vertical="center" wrapText="1" indent="1"/>
    </xf>
    <xf numFmtId="0" fontId="4" fillId="0" borderId="1" xfId="0" applyFont="1" applyBorder="1" applyAlignment="1">
      <alignment horizontal="left" vertical="top" wrapText="1" indent="1"/>
    </xf>
    <xf numFmtId="0" fontId="4" fillId="0" borderId="2" xfId="0" applyFont="1" applyBorder="1" applyAlignment="1">
      <alignment horizontal="left" vertical="top" wrapText="1" indent="1"/>
    </xf>
    <xf numFmtId="0" fontId="4" fillId="0" borderId="3" xfId="0" applyFont="1" applyBorder="1" applyAlignment="1">
      <alignment horizontal="left" vertical="top" wrapText="1" indent="1"/>
    </xf>
    <xf numFmtId="165" fontId="4" fillId="2" borderId="4" xfId="0" applyNumberFormat="1" applyFont="1" applyFill="1" applyBorder="1" applyAlignment="1">
      <alignment horizontal="left" vertical="center" wrapText="1" indent="1"/>
    </xf>
    <xf numFmtId="165" fontId="4" fillId="2" borderId="5" xfId="0" applyNumberFormat="1" applyFont="1" applyFill="1" applyBorder="1" applyAlignment="1">
      <alignment horizontal="left" vertical="center" wrapText="1" indent="1"/>
    </xf>
    <xf numFmtId="165" fontId="4" fillId="2" borderId="6" xfId="0" applyNumberFormat="1" applyFont="1" applyFill="1" applyBorder="1" applyAlignment="1">
      <alignment horizontal="left" vertical="center" wrapText="1" indent="1"/>
    </xf>
    <xf numFmtId="165" fontId="4" fillId="2" borderId="4" xfId="0" applyNumberFormat="1" applyFont="1" applyFill="1" applyBorder="1" applyAlignment="1">
      <alignment horizontal="center" vertical="center" wrapText="1"/>
    </xf>
    <xf numFmtId="165" fontId="4" fillId="2" borderId="6" xfId="0" applyNumberFormat="1" applyFont="1" applyFill="1" applyBorder="1" applyAlignment="1">
      <alignment horizontal="center" vertical="center" wrapText="1"/>
    </xf>
    <xf numFmtId="165" fontId="4" fillId="2" borderId="5" xfId="0" applyNumberFormat="1" applyFont="1" applyFill="1" applyBorder="1" applyAlignment="1">
      <alignment horizontal="center" vertical="center" wrapText="1"/>
    </xf>
    <xf numFmtId="165" fontId="4" fillId="2" borderId="4" xfId="0" applyNumberFormat="1" applyFont="1" applyFill="1" applyBorder="1" applyAlignment="1">
      <alignment horizontal="left" vertical="top" wrapText="1" indent="1"/>
    </xf>
    <xf numFmtId="165" fontId="4" fillId="2" borderId="6" xfId="0" applyNumberFormat="1" applyFont="1" applyFill="1" applyBorder="1" applyAlignment="1">
      <alignment horizontal="left" vertical="top" wrapText="1" indent="1"/>
    </xf>
    <xf numFmtId="165" fontId="4" fillId="2" borderId="0" xfId="0" applyNumberFormat="1" applyFont="1" applyFill="1" applyAlignment="1">
      <alignment horizontal="left" vertical="center" wrapText="1" indent="1"/>
    </xf>
    <xf numFmtId="165" fontId="4" fillId="2" borderId="8" xfId="0" applyNumberFormat="1" applyFont="1" applyFill="1" applyBorder="1" applyAlignment="1">
      <alignment horizontal="left" vertical="center" wrapText="1" indent="1"/>
    </xf>
    <xf numFmtId="164" fontId="4" fillId="2" borderId="7" xfId="0" applyNumberFormat="1" applyFont="1" applyFill="1" applyBorder="1" applyAlignment="1">
      <alignment horizontal="center" vertical="top" wrapText="1"/>
    </xf>
    <xf numFmtId="164" fontId="4" fillId="2" borderId="8" xfId="0" applyNumberFormat="1" applyFont="1" applyFill="1" applyBorder="1" applyAlignment="1">
      <alignment horizontal="center" vertical="top" wrapText="1"/>
    </xf>
    <xf numFmtId="164" fontId="4" fillId="2" borderId="0" xfId="0" applyNumberFormat="1" applyFont="1" applyFill="1" applyAlignment="1">
      <alignment horizontal="right" vertical="center" wrapText="1"/>
    </xf>
    <xf numFmtId="164" fontId="4" fillId="2" borderId="8" xfId="0" applyNumberFormat="1" applyFont="1" applyFill="1" applyBorder="1" applyAlignment="1">
      <alignment horizontal="right" vertical="center" wrapText="1"/>
    </xf>
    <xf numFmtId="0" fontId="4" fillId="0" borderId="1" xfId="0" applyFont="1" applyBorder="1" applyAlignment="1">
      <alignment horizontal="center" vertical="top" wrapText="1"/>
    </xf>
    <xf numFmtId="0" fontId="4" fillId="0" borderId="3" xfId="0" applyFont="1" applyBorder="1" applyAlignment="1">
      <alignment horizontal="center" vertical="top" wrapText="1"/>
    </xf>
    <xf numFmtId="0" fontId="4" fillId="0" borderId="7" xfId="0" applyFont="1" applyBorder="1" applyAlignment="1">
      <alignment horizontal="center" vertical="top" wrapText="1"/>
    </xf>
    <xf numFmtId="0" fontId="4" fillId="0" borderId="8" xfId="0" applyFont="1" applyBorder="1" applyAlignment="1">
      <alignment horizontal="center" vertical="top" wrapText="1"/>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3" fillId="0" borderId="7" xfId="0" applyFont="1" applyBorder="1" applyAlignment="1">
      <alignment horizontal="left" vertical="center" wrapText="1"/>
    </xf>
    <xf numFmtId="0" fontId="13" fillId="0" borderId="0" xfId="0" applyFont="1" applyAlignment="1">
      <alignment horizontal="left" vertical="center" wrapText="1"/>
    </xf>
    <xf numFmtId="0" fontId="13" fillId="0" borderId="8" xfId="0" applyFont="1" applyBorder="1" applyAlignment="1">
      <alignment horizontal="left" vertical="center" wrapText="1"/>
    </xf>
    <xf numFmtId="49" fontId="4" fillId="3" borderId="23" xfId="0" applyNumberFormat="1" applyFont="1" applyFill="1" applyBorder="1" applyAlignment="1" applyProtection="1">
      <alignment horizontal="left" vertical="center" wrapText="1"/>
      <protection locked="0"/>
    </xf>
    <xf numFmtId="49" fontId="4" fillId="3" borderId="24" xfId="0" applyNumberFormat="1" applyFont="1" applyFill="1" applyBorder="1" applyAlignment="1" applyProtection="1">
      <alignment horizontal="left" vertical="center" wrapText="1"/>
      <protection locked="0"/>
    </xf>
    <xf numFmtId="49" fontId="4" fillId="3" borderId="25" xfId="0" applyNumberFormat="1" applyFont="1" applyFill="1" applyBorder="1" applyAlignment="1" applyProtection="1">
      <alignment horizontal="left" vertical="center" wrapText="1"/>
      <protection locked="0"/>
    </xf>
    <xf numFmtId="0" fontId="32" fillId="0" borderId="7" xfId="0" applyFont="1" applyBorder="1" applyAlignment="1">
      <alignment horizontal="left" vertical="center" wrapText="1"/>
    </xf>
    <xf numFmtId="0" fontId="32" fillId="0" borderId="0" xfId="0" applyFont="1" applyAlignment="1">
      <alignment horizontal="left" vertical="center" wrapText="1"/>
    </xf>
    <xf numFmtId="0" fontId="32" fillId="0" borderId="8" xfId="0" applyFont="1" applyBorder="1" applyAlignment="1">
      <alignment horizontal="left" vertical="center" wrapText="1"/>
    </xf>
    <xf numFmtId="0" fontId="40" fillId="0" borderId="7" xfId="0" applyFont="1" applyBorder="1" applyAlignment="1">
      <alignment horizontal="left" vertical="center" wrapText="1"/>
    </xf>
    <xf numFmtId="0" fontId="7" fillId="0" borderId="0" xfId="0" applyFont="1" applyAlignment="1">
      <alignment horizontal="left" vertical="center" wrapText="1"/>
    </xf>
    <xf numFmtId="0" fontId="7" fillId="0" borderId="8" xfId="0" applyFont="1" applyBorder="1" applyAlignment="1">
      <alignment horizontal="left" vertical="center" wrapText="1"/>
    </xf>
    <xf numFmtId="0" fontId="26" fillId="0" borderId="39" xfId="0" applyFont="1" applyBorder="1" applyAlignment="1">
      <alignment horizontal="center" vertical="center" wrapText="1"/>
    </xf>
    <xf numFmtId="0" fontId="9" fillId="0" borderId="39" xfId="0" applyFont="1" applyBorder="1" applyAlignment="1">
      <alignment horizontal="left" vertical="top" wrapText="1"/>
    </xf>
    <xf numFmtId="0" fontId="10" fillId="0" borderId="39" xfId="0" applyFont="1" applyBorder="1" applyAlignment="1">
      <alignment horizontal="center" vertical="center" wrapText="1"/>
    </xf>
    <xf numFmtId="0" fontId="13" fillId="0" borderId="24" xfId="0" applyFont="1" applyBorder="1" applyAlignment="1">
      <alignment horizontal="left" vertical="top" wrapText="1"/>
    </xf>
    <xf numFmtId="0" fontId="13" fillId="0" borderId="35" xfId="0" applyFont="1" applyBorder="1" applyAlignment="1">
      <alignment horizontal="left" vertical="top" wrapText="1"/>
    </xf>
    <xf numFmtId="0" fontId="19" fillId="0" borderId="2" xfId="0" applyFont="1" applyBorder="1" applyAlignment="1">
      <alignment horizontal="left" vertical="center" wrapText="1"/>
    </xf>
    <xf numFmtId="0" fontId="4" fillId="0" borderId="64" xfId="0" applyFont="1" applyBorder="1" applyAlignment="1">
      <alignment horizontal="left" vertical="top" wrapText="1" indent="1"/>
    </xf>
    <xf numFmtId="0" fontId="4" fillId="0" borderId="61" xfId="0" applyFont="1" applyBorder="1" applyAlignment="1">
      <alignment horizontal="left" vertical="top" wrapText="1" indent="1"/>
    </xf>
    <xf numFmtId="0" fontId="4" fillId="0" borderId="62" xfId="0" applyFont="1" applyBorder="1" applyAlignment="1">
      <alignment horizontal="left" vertical="top" wrapText="1" indent="1"/>
    </xf>
    <xf numFmtId="0" fontId="9" fillId="0" borderId="17" xfId="0" applyFont="1" applyBorder="1" applyAlignment="1">
      <alignment horizontal="center"/>
    </xf>
    <xf numFmtId="0" fontId="8" fillId="0" borderId="16" xfId="0" applyFont="1" applyBorder="1" applyAlignment="1">
      <alignment horizontal="left" wrapText="1"/>
    </xf>
    <xf numFmtId="0" fontId="8" fillId="0" borderId="17" xfId="0" applyFont="1" applyBorder="1" applyAlignment="1">
      <alignment horizontal="left" wrapText="1"/>
    </xf>
    <xf numFmtId="0" fontId="8" fillId="0" borderId="18" xfId="0" applyFont="1" applyBorder="1" applyAlignment="1">
      <alignment horizontal="left" wrapText="1"/>
    </xf>
    <xf numFmtId="49" fontId="0" fillId="7" borderId="81" xfId="0" applyNumberFormat="1" applyFill="1" applyBorder="1" applyAlignment="1" applyProtection="1">
      <alignment horizontal="center" vertical="center" wrapText="1"/>
      <protection locked="0"/>
    </xf>
    <xf numFmtId="49" fontId="0" fillId="7" borderId="82" xfId="0" applyNumberFormat="1" applyFill="1" applyBorder="1" applyAlignment="1" applyProtection="1">
      <alignment horizontal="center" vertical="center" wrapText="1"/>
      <protection locked="0"/>
    </xf>
    <xf numFmtId="49" fontId="0" fillId="7" borderId="82" xfId="0" applyNumberFormat="1" applyFill="1" applyBorder="1" applyAlignment="1" applyProtection="1">
      <alignment horizontal="left" vertical="top" wrapText="1"/>
      <protection locked="0"/>
    </xf>
    <xf numFmtId="49" fontId="0" fillId="7" borderId="83" xfId="0" applyNumberFormat="1" applyFill="1" applyBorder="1" applyAlignment="1" applyProtection="1">
      <alignment horizontal="left" vertical="top" wrapText="1"/>
      <protection locked="0"/>
    </xf>
    <xf numFmtId="49" fontId="0" fillId="7" borderId="84" xfId="0" applyNumberFormat="1" applyFill="1" applyBorder="1" applyAlignment="1" applyProtection="1">
      <alignment horizontal="center" vertical="center" wrapText="1"/>
      <protection locked="0"/>
    </xf>
    <xf numFmtId="49" fontId="0" fillId="7" borderId="77" xfId="0" applyNumberFormat="1" applyFill="1" applyBorder="1" applyAlignment="1" applyProtection="1">
      <alignment horizontal="center" vertical="center" wrapText="1"/>
      <protection locked="0"/>
    </xf>
    <xf numFmtId="49" fontId="0" fillId="7" borderId="77" xfId="0" applyNumberFormat="1" applyFill="1" applyBorder="1" applyAlignment="1" applyProtection="1">
      <alignment horizontal="left" vertical="top" wrapText="1"/>
      <protection locked="0"/>
    </xf>
    <xf numFmtId="49" fontId="0" fillId="7" borderId="85" xfId="0" applyNumberFormat="1" applyFill="1" applyBorder="1" applyAlignment="1" applyProtection="1">
      <alignment horizontal="left" vertical="top" wrapText="1"/>
      <protection locked="0"/>
    </xf>
    <xf numFmtId="164" fontId="7" fillId="2" borderId="86" xfId="1" applyNumberFormat="1" applyFont="1" applyFill="1" applyBorder="1" applyAlignment="1">
      <alignment horizontal="center" vertical="center" wrapText="1"/>
    </xf>
    <xf numFmtId="164" fontId="7" fillId="2" borderId="88" xfId="1" applyNumberFormat="1" applyFont="1" applyFill="1" applyBorder="1" applyAlignment="1">
      <alignment horizontal="center" vertical="center" wrapText="1"/>
    </xf>
    <xf numFmtId="0" fontId="7" fillId="0" borderId="78" xfId="2" applyFont="1" applyBorder="1" applyAlignment="1">
      <alignment horizontal="left" vertical="center" wrapText="1"/>
    </xf>
    <xf numFmtId="0" fontId="7" fillId="0" borderId="79" xfId="2" applyFont="1" applyBorder="1" applyAlignment="1">
      <alignment horizontal="left" vertical="center" wrapText="1"/>
    </xf>
    <xf numFmtId="0" fontId="7" fillId="0" borderId="80" xfId="2" applyFont="1" applyBorder="1" applyAlignment="1">
      <alignment horizontal="left" vertical="center" wrapText="1"/>
    </xf>
    <xf numFmtId="165" fontId="7" fillId="2" borderId="77" xfId="1" applyNumberFormat="1" applyFont="1" applyFill="1" applyBorder="1" applyAlignment="1">
      <alignment horizontal="left" vertical="center" wrapText="1"/>
    </xf>
    <xf numFmtId="165" fontId="7" fillId="2" borderId="85" xfId="1" applyNumberFormat="1" applyFont="1" applyFill="1" applyBorder="1" applyAlignment="1">
      <alignment horizontal="left" vertical="center" wrapText="1"/>
    </xf>
    <xf numFmtId="165" fontId="7" fillId="2" borderId="87" xfId="1" applyNumberFormat="1" applyFont="1" applyFill="1" applyBorder="1" applyAlignment="1">
      <alignment horizontal="left" vertical="center" wrapText="1"/>
    </xf>
    <xf numFmtId="165" fontId="7" fillId="2" borderId="88" xfId="1" applyNumberFormat="1" applyFont="1" applyFill="1" applyBorder="1" applyAlignment="1">
      <alignment horizontal="left" vertical="center" wrapText="1"/>
    </xf>
    <xf numFmtId="0" fontId="14" fillId="0" borderId="78" xfId="0" applyFont="1" applyBorder="1" applyAlignment="1">
      <alignment horizontal="center" vertical="center"/>
    </xf>
    <xf numFmtId="0" fontId="14" fillId="0" borderId="79" xfId="0" applyFont="1" applyBorder="1" applyAlignment="1">
      <alignment horizontal="center" vertical="center"/>
    </xf>
    <xf numFmtId="0" fontId="14" fillId="0" borderId="80" xfId="0" applyFont="1" applyBorder="1" applyAlignment="1">
      <alignment horizontal="center" vertical="center"/>
    </xf>
    <xf numFmtId="0" fontId="7" fillId="0" borderId="78" xfId="1" applyFont="1" applyBorder="1" applyAlignment="1">
      <alignment horizontal="center" vertical="center" wrapText="1"/>
    </xf>
    <xf numFmtId="0" fontId="7" fillId="0" borderId="80" xfId="1" applyFont="1" applyBorder="1" applyAlignment="1">
      <alignment horizontal="center" vertical="center" wrapText="1"/>
    </xf>
    <xf numFmtId="0" fontId="7" fillId="0" borderId="84" xfId="1" applyFont="1" applyBorder="1" applyAlignment="1">
      <alignment horizontal="center" vertical="center" wrapText="1"/>
    </xf>
    <xf numFmtId="0" fontId="7" fillId="0" borderId="85" xfId="1" applyFont="1" applyBorder="1" applyAlignment="1">
      <alignment horizontal="center" vertical="center" wrapText="1"/>
    </xf>
    <xf numFmtId="164" fontId="7" fillId="2" borderId="86" xfId="0" applyNumberFormat="1" applyFont="1" applyFill="1" applyBorder="1" applyAlignment="1">
      <alignment horizontal="center" vertical="center" wrapText="1"/>
    </xf>
    <xf numFmtId="164" fontId="7" fillId="2" borderId="88" xfId="0" applyNumberFormat="1" applyFont="1" applyFill="1" applyBorder="1" applyAlignment="1">
      <alignment horizontal="center" vertical="center" wrapText="1"/>
    </xf>
    <xf numFmtId="0" fontId="7" fillId="0" borderId="78" xfId="0" applyFont="1" applyBorder="1" applyAlignment="1">
      <alignment horizontal="center" vertical="center" wrapText="1"/>
    </xf>
    <xf numFmtId="0" fontId="7" fillId="0" borderId="80" xfId="0" applyFont="1" applyBorder="1" applyAlignment="1">
      <alignment horizontal="center" vertical="center" wrapText="1"/>
    </xf>
    <xf numFmtId="165" fontId="7" fillId="2" borderId="81" xfId="0" applyNumberFormat="1" applyFont="1" applyFill="1" applyBorder="1" applyAlignment="1">
      <alignment horizontal="center" vertical="center" wrapText="1"/>
    </xf>
    <xf numFmtId="165" fontId="7" fillId="2" borderId="83" xfId="0" applyNumberFormat="1" applyFont="1" applyFill="1" applyBorder="1" applyAlignment="1">
      <alignment horizontal="center" vertical="center" wrapText="1"/>
    </xf>
    <xf numFmtId="0" fontId="7" fillId="0" borderId="79" xfId="0" applyFont="1" applyBorder="1" applyAlignment="1">
      <alignment horizontal="center" vertical="center" wrapText="1"/>
    </xf>
    <xf numFmtId="164" fontId="7" fillId="2" borderId="77" xfId="0" applyNumberFormat="1" applyFont="1" applyFill="1" applyBorder="1" applyAlignment="1">
      <alignment horizontal="left" vertical="center" wrapText="1"/>
    </xf>
    <xf numFmtId="164" fontId="7" fillId="2" borderId="85" xfId="0" applyNumberFormat="1" applyFont="1" applyFill="1" applyBorder="1" applyAlignment="1">
      <alignment horizontal="left" vertical="center" wrapText="1"/>
    </xf>
    <xf numFmtId="164" fontId="7" fillId="2" borderId="87" xfId="0" applyNumberFormat="1" applyFont="1" applyFill="1" applyBorder="1" applyAlignment="1">
      <alignment horizontal="left" vertical="center" wrapText="1"/>
    </xf>
    <xf numFmtId="164" fontId="7" fillId="2" borderId="88" xfId="0" applyNumberFormat="1" applyFont="1" applyFill="1" applyBorder="1" applyAlignment="1">
      <alignment horizontal="left" vertical="center" wrapText="1"/>
    </xf>
    <xf numFmtId="165" fontId="7" fillId="2" borderId="82" xfId="0" applyNumberFormat="1" applyFont="1" applyFill="1" applyBorder="1" applyAlignment="1">
      <alignment horizontal="center" vertical="center" wrapText="1"/>
    </xf>
    <xf numFmtId="0" fontId="7" fillId="0" borderId="78" xfId="0" applyFont="1" applyBorder="1" applyAlignment="1">
      <alignment horizontal="left" vertical="center" wrapText="1"/>
    </xf>
    <xf numFmtId="0" fontId="7" fillId="0" borderId="79" xfId="0" applyFont="1" applyBorder="1" applyAlignment="1">
      <alignment horizontal="left" vertical="center" wrapText="1"/>
    </xf>
    <xf numFmtId="0" fontId="7" fillId="0" borderId="80" xfId="0" applyFont="1" applyBorder="1" applyAlignment="1">
      <alignment horizontal="left" vertical="center" wrapText="1"/>
    </xf>
    <xf numFmtId="165" fontId="7" fillId="2" borderId="81" xfId="0" applyNumberFormat="1" applyFont="1" applyFill="1" applyBorder="1" applyAlignment="1">
      <alignment horizontal="left" vertical="center" wrapText="1"/>
    </xf>
    <xf numFmtId="165" fontId="7" fillId="2" borderId="82" xfId="0" applyNumberFormat="1" applyFont="1" applyFill="1" applyBorder="1" applyAlignment="1">
      <alignment horizontal="left" vertical="center" wrapText="1"/>
    </xf>
    <xf numFmtId="165" fontId="7" fillId="2" borderId="83" xfId="0" applyNumberFormat="1" applyFont="1" applyFill="1" applyBorder="1" applyAlignment="1">
      <alignment horizontal="left" vertical="center" wrapText="1"/>
    </xf>
  </cellXfs>
  <cellStyles count="586">
    <cellStyle name="20% - Accent1 2" xfId="7" xr:uid="{00000000-0005-0000-0000-000000000000}"/>
    <cellStyle name="20% - Accent2 2" xfId="8" xr:uid="{00000000-0005-0000-0000-000001000000}"/>
    <cellStyle name="20% - Accent3 2" xfId="9" xr:uid="{00000000-0005-0000-0000-000002000000}"/>
    <cellStyle name="20% - Accent4 2" xfId="10" xr:uid="{00000000-0005-0000-0000-000003000000}"/>
    <cellStyle name="20% - Accent5 2" xfId="11" xr:uid="{00000000-0005-0000-0000-000004000000}"/>
    <cellStyle name="20% - Accent6 2" xfId="12" xr:uid="{00000000-0005-0000-0000-000005000000}"/>
    <cellStyle name="40% - Accent1 2" xfId="13" xr:uid="{00000000-0005-0000-0000-000006000000}"/>
    <cellStyle name="40% - Accent2 2" xfId="14" xr:uid="{00000000-0005-0000-0000-000007000000}"/>
    <cellStyle name="40% - Accent3 2" xfId="15" xr:uid="{00000000-0005-0000-0000-000008000000}"/>
    <cellStyle name="40% - Accent4 2" xfId="16" xr:uid="{00000000-0005-0000-0000-000009000000}"/>
    <cellStyle name="40% - Accent5 2" xfId="17" xr:uid="{00000000-0005-0000-0000-00000A000000}"/>
    <cellStyle name="40% - Accent6 2" xfId="18" xr:uid="{00000000-0005-0000-0000-00000B000000}"/>
    <cellStyle name="60% - Accent1 2" xfId="19" xr:uid="{00000000-0005-0000-0000-00000C000000}"/>
    <cellStyle name="60% - Accent2 2" xfId="20" xr:uid="{00000000-0005-0000-0000-00000D000000}"/>
    <cellStyle name="60% - Accent3 2" xfId="21" xr:uid="{00000000-0005-0000-0000-00000E000000}"/>
    <cellStyle name="60% - Accent4 2" xfId="22" xr:uid="{00000000-0005-0000-0000-00000F000000}"/>
    <cellStyle name="60% - Accent5 2" xfId="23" xr:uid="{00000000-0005-0000-0000-000010000000}"/>
    <cellStyle name="60% - Accent6 2" xfId="24" xr:uid="{00000000-0005-0000-0000-000011000000}"/>
    <cellStyle name="Accent1 2" xfId="25" xr:uid="{00000000-0005-0000-0000-000012000000}"/>
    <cellStyle name="Accent2 2" xfId="26" xr:uid="{00000000-0005-0000-0000-000013000000}"/>
    <cellStyle name="Accent3 2" xfId="27" xr:uid="{00000000-0005-0000-0000-000014000000}"/>
    <cellStyle name="Accent4 2" xfId="28" xr:uid="{00000000-0005-0000-0000-000015000000}"/>
    <cellStyle name="Accent5 2" xfId="29" xr:uid="{00000000-0005-0000-0000-000016000000}"/>
    <cellStyle name="Accent6 2" xfId="30" xr:uid="{00000000-0005-0000-0000-000017000000}"/>
    <cellStyle name="Bad 2" xfId="31" xr:uid="{00000000-0005-0000-0000-000018000000}"/>
    <cellStyle name="Calculation 2" xfId="32" xr:uid="{00000000-0005-0000-0000-000019000000}"/>
    <cellStyle name="Calculation 2 10" xfId="92" xr:uid="{00000000-0005-0000-0000-00001A000000}"/>
    <cellStyle name="Calculation 2 10 2" xfId="217" xr:uid="{00000000-0005-0000-0000-00001B000000}"/>
    <cellStyle name="Calculation 2 10 2 2" xfId="488" xr:uid="{00000000-0005-0000-0000-00001C000000}"/>
    <cellStyle name="Calculation 2 10 3" xfId="364" xr:uid="{00000000-0005-0000-0000-00001D000000}"/>
    <cellStyle name="Calculation 2 11" xfId="100" xr:uid="{00000000-0005-0000-0000-00001E000000}"/>
    <cellStyle name="Calculation 2 11 2" xfId="225" xr:uid="{00000000-0005-0000-0000-00001F000000}"/>
    <cellStyle name="Calculation 2 11 2 2" xfId="496" xr:uid="{00000000-0005-0000-0000-000020000000}"/>
    <cellStyle name="Calculation 2 11 3" xfId="372" xr:uid="{00000000-0005-0000-0000-000021000000}"/>
    <cellStyle name="Calculation 2 12" xfId="54" xr:uid="{00000000-0005-0000-0000-000022000000}"/>
    <cellStyle name="Calculation 2 12 2" xfId="179" xr:uid="{00000000-0005-0000-0000-000023000000}"/>
    <cellStyle name="Calculation 2 12 2 2" xfId="450" xr:uid="{00000000-0005-0000-0000-000024000000}"/>
    <cellStyle name="Calculation 2 12 3" xfId="326" xr:uid="{00000000-0005-0000-0000-000025000000}"/>
    <cellStyle name="Calculation 2 13" xfId="101" xr:uid="{00000000-0005-0000-0000-000026000000}"/>
    <cellStyle name="Calculation 2 13 2" xfId="226" xr:uid="{00000000-0005-0000-0000-000027000000}"/>
    <cellStyle name="Calculation 2 13 2 2" xfId="497" xr:uid="{00000000-0005-0000-0000-000028000000}"/>
    <cellStyle name="Calculation 2 13 3" xfId="373" xr:uid="{00000000-0005-0000-0000-000029000000}"/>
    <cellStyle name="Calculation 2 14" xfId="75" xr:uid="{00000000-0005-0000-0000-00002A000000}"/>
    <cellStyle name="Calculation 2 14 2" xfId="200" xr:uid="{00000000-0005-0000-0000-00002B000000}"/>
    <cellStyle name="Calculation 2 14 2 2" xfId="471" xr:uid="{00000000-0005-0000-0000-00002C000000}"/>
    <cellStyle name="Calculation 2 14 3" xfId="347" xr:uid="{00000000-0005-0000-0000-00002D000000}"/>
    <cellStyle name="Calculation 2 15" xfId="99" xr:uid="{00000000-0005-0000-0000-00002E000000}"/>
    <cellStyle name="Calculation 2 15 2" xfId="224" xr:uid="{00000000-0005-0000-0000-00002F000000}"/>
    <cellStyle name="Calculation 2 15 2 2" xfId="495" xr:uid="{00000000-0005-0000-0000-000030000000}"/>
    <cellStyle name="Calculation 2 15 3" xfId="371" xr:uid="{00000000-0005-0000-0000-000031000000}"/>
    <cellStyle name="Calculation 2 16" xfId="53" xr:uid="{00000000-0005-0000-0000-000032000000}"/>
    <cellStyle name="Calculation 2 16 2" xfId="178" xr:uid="{00000000-0005-0000-0000-000033000000}"/>
    <cellStyle name="Calculation 2 16 2 2" xfId="449" xr:uid="{00000000-0005-0000-0000-000034000000}"/>
    <cellStyle name="Calculation 2 16 3" xfId="325" xr:uid="{00000000-0005-0000-0000-000035000000}"/>
    <cellStyle name="Calculation 2 17" xfId="102" xr:uid="{00000000-0005-0000-0000-000036000000}"/>
    <cellStyle name="Calculation 2 17 2" xfId="227" xr:uid="{00000000-0005-0000-0000-000037000000}"/>
    <cellStyle name="Calculation 2 17 2 2" xfId="498" xr:uid="{00000000-0005-0000-0000-000038000000}"/>
    <cellStyle name="Calculation 2 17 3" xfId="374" xr:uid="{00000000-0005-0000-0000-000039000000}"/>
    <cellStyle name="Calculation 2 18" xfId="126" xr:uid="{00000000-0005-0000-0000-00003A000000}"/>
    <cellStyle name="Calculation 2 18 2" xfId="251" xr:uid="{00000000-0005-0000-0000-00003B000000}"/>
    <cellStyle name="Calculation 2 18 2 2" xfId="522" xr:uid="{00000000-0005-0000-0000-00003C000000}"/>
    <cellStyle name="Calculation 2 18 3" xfId="398" xr:uid="{00000000-0005-0000-0000-00003D000000}"/>
    <cellStyle name="Calculation 2 19" xfId="97" xr:uid="{00000000-0005-0000-0000-00003E000000}"/>
    <cellStyle name="Calculation 2 19 2" xfId="222" xr:uid="{00000000-0005-0000-0000-00003F000000}"/>
    <cellStyle name="Calculation 2 19 2 2" xfId="493" xr:uid="{00000000-0005-0000-0000-000040000000}"/>
    <cellStyle name="Calculation 2 19 3" xfId="369" xr:uid="{00000000-0005-0000-0000-000041000000}"/>
    <cellStyle name="Calculation 2 2" xfId="56" xr:uid="{00000000-0005-0000-0000-000042000000}"/>
    <cellStyle name="Calculation 2 2 2" xfId="181" xr:uid="{00000000-0005-0000-0000-000043000000}"/>
    <cellStyle name="Calculation 2 2 2 2" xfId="452" xr:uid="{00000000-0005-0000-0000-000044000000}"/>
    <cellStyle name="Calculation 2 2 3" xfId="328" xr:uid="{00000000-0005-0000-0000-000045000000}"/>
    <cellStyle name="Calculation 2 20" xfId="48" xr:uid="{00000000-0005-0000-0000-000046000000}"/>
    <cellStyle name="Calculation 2 20 2" xfId="173" xr:uid="{00000000-0005-0000-0000-000047000000}"/>
    <cellStyle name="Calculation 2 20 2 2" xfId="444" xr:uid="{00000000-0005-0000-0000-000048000000}"/>
    <cellStyle name="Calculation 2 20 3" xfId="320" xr:uid="{00000000-0005-0000-0000-000049000000}"/>
    <cellStyle name="Calculation 2 21" xfId="134" xr:uid="{00000000-0005-0000-0000-00004A000000}"/>
    <cellStyle name="Calculation 2 21 2" xfId="259" xr:uid="{00000000-0005-0000-0000-00004B000000}"/>
    <cellStyle name="Calculation 2 21 2 2" xfId="530" xr:uid="{00000000-0005-0000-0000-00004C000000}"/>
    <cellStyle name="Calculation 2 21 3" xfId="406" xr:uid="{00000000-0005-0000-0000-00004D000000}"/>
    <cellStyle name="Calculation 2 22" xfId="52" xr:uid="{00000000-0005-0000-0000-00004E000000}"/>
    <cellStyle name="Calculation 2 22 2" xfId="177" xr:uid="{00000000-0005-0000-0000-00004F000000}"/>
    <cellStyle name="Calculation 2 22 2 2" xfId="448" xr:uid="{00000000-0005-0000-0000-000050000000}"/>
    <cellStyle name="Calculation 2 22 3" xfId="324" xr:uid="{00000000-0005-0000-0000-000051000000}"/>
    <cellStyle name="Calculation 2 23" xfId="140" xr:uid="{00000000-0005-0000-0000-000052000000}"/>
    <cellStyle name="Calculation 2 23 2" xfId="265" xr:uid="{00000000-0005-0000-0000-000053000000}"/>
    <cellStyle name="Calculation 2 23 2 2" xfId="536" xr:uid="{00000000-0005-0000-0000-000054000000}"/>
    <cellStyle name="Calculation 2 23 3" xfId="412" xr:uid="{00000000-0005-0000-0000-000055000000}"/>
    <cellStyle name="Calculation 2 24" xfId="50" xr:uid="{00000000-0005-0000-0000-000056000000}"/>
    <cellStyle name="Calculation 2 24 2" xfId="175" xr:uid="{00000000-0005-0000-0000-000057000000}"/>
    <cellStyle name="Calculation 2 24 2 2" xfId="446" xr:uid="{00000000-0005-0000-0000-000058000000}"/>
    <cellStyle name="Calculation 2 24 3" xfId="322" xr:uid="{00000000-0005-0000-0000-000059000000}"/>
    <cellStyle name="Calculation 2 25" xfId="136" xr:uid="{00000000-0005-0000-0000-00005A000000}"/>
    <cellStyle name="Calculation 2 25 2" xfId="261" xr:uid="{00000000-0005-0000-0000-00005B000000}"/>
    <cellStyle name="Calculation 2 25 2 2" xfId="532" xr:uid="{00000000-0005-0000-0000-00005C000000}"/>
    <cellStyle name="Calculation 2 25 3" xfId="408" xr:uid="{00000000-0005-0000-0000-00005D000000}"/>
    <cellStyle name="Calculation 2 26" xfId="49" xr:uid="{00000000-0005-0000-0000-00005E000000}"/>
    <cellStyle name="Calculation 2 26 2" xfId="174" xr:uid="{00000000-0005-0000-0000-00005F000000}"/>
    <cellStyle name="Calculation 2 26 2 2" xfId="445" xr:uid="{00000000-0005-0000-0000-000060000000}"/>
    <cellStyle name="Calculation 2 26 3" xfId="321" xr:uid="{00000000-0005-0000-0000-000061000000}"/>
    <cellStyle name="Calculation 2 27" xfId="168" xr:uid="{00000000-0005-0000-0000-000062000000}"/>
    <cellStyle name="Calculation 2 27 2" xfId="439" xr:uid="{00000000-0005-0000-0000-000063000000}"/>
    <cellStyle name="Calculation 2 28" xfId="315" xr:uid="{00000000-0005-0000-0000-000064000000}"/>
    <cellStyle name="Calculation 2 3" xfId="61" xr:uid="{00000000-0005-0000-0000-000065000000}"/>
    <cellStyle name="Calculation 2 3 2" xfId="186" xr:uid="{00000000-0005-0000-0000-000066000000}"/>
    <cellStyle name="Calculation 2 3 2 2" xfId="457" xr:uid="{00000000-0005-0000-0000-000067000000}"/>
    <cellStyle name="Calculation 2 3 3" xfId="333" xr:uid="{00000000-0005-0000-0000-000068000000}"/>
    <cellStyle name="Calculation 2 4" xfId="55" xr:uid="{00000000-0005-0000-0000-000069000000}"/>
    <cellStyle name="Calculation 2 4 2" xfId="180" xr:uid="{00000000-0005-0000-0000-00006A000000}"/>
    <cellStyle name="Calculation 2 4 2 2" xfId="451" xr:uid="{00000000-0005-0000-0000-00006B000000}"/>
    <cellStyle name="Calculation 2 4 3" xfId="327" xr:uid="{00000000-0005-0000-0000-00006C000000}"/>
    <cellStyle name="Calculation 2 5" xfId="70" xr:uid="{00000000-0005-0000-0000-00006D000000}"/>
    <cellStyle name="Calculation 2 5 2" xfId="195" xr:uid="{00000000-0005-0000-0000-00006E000000}"/>
    <cellStyle name="Calculation 2 5 2 2" xfId="466" xr:uid="{00000000-0005-0000-0000-00006F000000}"/>
    <cellStyle name="Calculation 2 5 3" xfId="342" xr:uid="{00000000-0005-0000-0000-000070000000}"/>
    <cellStyle name="Calculation 2 6" xfId="76" xr:uid="{00000000-0005-0000-0000-000071000000}"/>
    <cellStyle name="Calculation 2 6 2" xfId="201" xr:uid="{00000000-0005-0000-0000-000072000000}"/>
    <cellStyle name="Calculation 2 6 2 2" xfId="472" xr:uid="{00000000-0005-0000-0000-000073000000}"/>
    <cellStyle name="Calculation 2 6 3" xfId="348" xr:uid="{00000000-0005-0000-0000-000074000000}"/>
    <cellStyle name="Calculation 2 7" xfId="51" xr:uid="{00000000-0005-0000-0000-000075000000}"/>
    <cellStyle name="Calculation 2 7 2" xfId="176" xr:uid="{00000000-0005-0000-0000-000076000000}"/>
    <cellStyle name="Calculation 2 7 2 2" xfId="447" xr:uid="{00000000-0005-0000-0000-000077000000}"/>
    <cellStyle name="Calculation 2 7 3" xfId="323" xr:uid="{00000000-0005-0000-0000-000078000000}"/>
    <cellStyle name="Calculation 2 8" xfId="77" xr:uid="{00000000-0005-0000-0000-000079000000}"/>
    <cellStyle name="Calculation 2 8 2" xfId="202" xr:uid="{00000000-0005-0000-0000-00007A000000}"/>
    <cellStyle name="Calculation 2 8 2 2" xfId="473" xr:uid="{00000000-0005-0000-0000-00007B000000}"/>
    <cellStyle name="Calculation 2 8 3" xfId="349" xr:uid="{00000000-0005-0000-0000-00007C000000}"/>
    <cellStyle name="Calculation 2 9" xfId="87" xr:uid="{00000000-0005-0000-0000-00007D000000}"/>
    <cellStyle name="Calculation 2 9 2" xfId="212" xr:uid="{00000000-0005-0000-0000-00007E000000}"/>
    <cellStyle name="Calculation 2 9 2 2" xfId="483" xr:uid="{00000000-0005-0000-0000-00007F000000}"/>
    <cellStyle name="Calculation 2 9 3" xfId="359" xr:uid="{00000000-0005-0000-0000-000080000000}"/>
    <cellStyle name="Check Cell 2" xfId="33" xr:uid="{00000000-0005-0000-0000-000081000000}"/>
    <cellStyle name="Explanatory Text 2" xfId="34" xr:uid="{00000000-0005-0000-0000-000082000000}"/>
    <cellStyle name="Good" xfId="5" builtinId="26"/>
    <cellStyle name="Good 2" xfId="35" xr:uid="{00000000-0005-0000-0000-000084000000}"/>
    <cellStyle name="Heading 1 2" xfId="36" xr:uid="{00000000-0005-0000-0000-000085000000}"/>
    <cellStyle name="Heading 2 2" xfId="37" xr:uid="{00000000-0005-0000-0000-000086000000}"/>
    <cellStyle name="Heading 3 2" xfId="38" xr:uid="{00000000-0005-0000-0000-000087000000}"/>
    <cellStyle name="Heading 4 2" xfId="39" xr:uid="{00000000-0005-0000-0000-000088000000}"/>
    <cellStyle name="Input 2" xfId="40" xr:uid="{00000000-0005-0000-0000-000089000000}"/>
    <cellStyle name="Input 2 10" xfId="93" xr:uid="{00000000-0005-0000-0000-00008A000000}"/>
    <cellStyle name="Input 2 10 2" xfId="218" xr:uid="{00000000-0005-0000-0000-00008B000000}"/>
    <cellStyle name="Input 2 10 2 2" xfId="489" xr:uid="{00000000-0005-0000-0000-00008C000000}"/>
    <cellStyle name="Input 2 10 3" xfId="365" xr:uid="{00000000-0005-0000-0000-00008D000000}"/>
    <cellStyle name="Input 2 11" xfId="103" xr:uid="{00000000-0005-0000-0000-00008E000000}"/>
    <cellStyle name="Input 2 11 2" xfId="228" xr:uid="{00000000-0005-0000-0000-00008F000000}"/>
    <cellStyle name="Input 2 11 2 2" xfId="499" xr:uid="{00000000-0005-0000-0000-000090000000}"/>
    <cellStyle name="Input 2 11 3" xfId="375" xr:uid="{00000000-0005-0000-0000-000091000000}"/>
    <cellStyle name="Input 2 12" xfId="108" xr:uid="{00000000-0005-0000-0000-000092000000}"/>
    <cellStyle name="Input 2 12 2" xfId="233" xr:uid="{00000000-0005-0000-0000-000093000000}"/>
    <cellStyle name="Input 2 12 2 2" xfId="504" xr:uid="{00000000-0005-0000-0000-000094000000}"/>
    <cellStyle name="Input 2 12 3" xfId="380" xr:uid="{00000000-0005-0000-0000-000095000000}"/>
    <cellStyle name="Input 2 13" xfId="112" xr:uid="{00000000-0005-0000-0000-000096000000}"/>
    <cellStyle name="Input 2 13 2" xfId="237" xr:uid="{00000000-0005-0000-0000-000097000000}"/>
    <cellStyle name="Input 2 13 2 2" xfId="508" xr:uid="{00000000-0005-0000-0000-000098000000}"/>
    <cellStyle name="Input 2 13 3" xfId="384" xr:uid="{00000000-0005-0000-0000-000099000000}"/>
    <cellStyle name="Input 2 14" xfId="116" xr:uid="{00000000-0005-0000-0000-00009A000000}"/>
    <cellStyle name="Input 2 14 2" xfId="241" xr:uid="{00000000-0005-0000-0000-00009B000000}"/>
    <cellStyle name="Input 2 14 2 2" xfId="512" xr:uid="{00000000-0005-0000-0000-00009C000000}"/>
    <cellStyle name="Input 2 14 3" xfId="388" xr:uid="{00000000-0005-0000-0000-00009D000000}"/>
    <cellStyle name="Input 2 15" xfId="122" xr:uid="{00000000-0005-0000-0000-00009E000000}"/>
    <cellStyle name="Input 2 15 2" xfId="247" xr:uid="{00000000-0005-0000-0000-00009F000000}"/>
    <cellStyle name="Input 2 15 2 2" xfId="518" xr:uid="{00000000-0005-0000-0000-0000A0000000}"/>
    <cellStyle name="Input 2 15 3" xfId="394" xr:uid="{00000000-0005-0000-0000-0000A1000000}"/>
    <cellStyle name="Input 2 16" xfId="104" xr:uid="{00000000-0005-0000-0000-0000A2000000}"/>
    <cellStyle name="Input 2 16 2" xfId="229" xr:uid="{00000000-0005-0000-0000-0000A3000000}"/>
    <cellStyle name="Input 2 16 2 2" xfId="500" xr:uid="{00000000-0005-0000-0000-0000A4000000}"/>
    <cellStyle name="Input 2 16 3" xfId="376" xr:uid="{00000000-0005-0000-0000-0000A5000000}"/>
    <cellStyle name="Input 2 17" xfId="123" xr:uid="{00000000-0005-0000-0000-0000A6000000}"/>
    <cellStyle name="Input 2 17 2" xfId="248" xr:uid="{00000000-0005-0000-0000-0000A7000000}"/>
    <cellStyle name="Input 2 17 2 2" xfId="519" xr:uid="{00000000-0005-0000-0000-0000A8000000}"/>
    <cellStyle name="Input 2 17 3" xfId="395" xr:uid="{00000000-0005-0000-0000-0000A9000000}"/>
    <cellStyle name="Input 2 18" xfId="135" xr:uid="{00000000-0005-0000-0000-0000AA000000}"/>
    <cellStyle name="Input 2 18 2" xfId="260" xr:uid="{00000000-0005-0000-0000-0000AB000000}"/>
    <cellStyle name="Input 2 18 2 2" xfId="531" xr:uid="{00000000-0005-0000-0000-0000AC000000}"/>
    <cellStyle name="Input 2 18 3" xfId="407" xr:uid="{00000000-0005-0000-0000-0000AD000000}"/>
    <cellStyle name="Input 2 19" xfId="121" xr:uid="{00000000-0005-0000-0000-0000AE000000}"/>
    <cellStyle name="Input 2 19 2" xfId="246" xr:uid="{00000000-0005-0000-0000-0000AF000000}"/>
    <cellStyle name="Input 2 19 2 2" xfId="517" xr:uid="{00000000-0005-0000-0000-0000B0000000}"/>
    <cellStyle name="Input 2 19 3" xfId="393" xr:uid="{00000000-0005-0000-0000-0000B1000000}"/>
    <cellStyle name="Input 2 2" xfId="57" xr:uid="{00000000-0005-0000-0000-0000B2000000}"/>
    <cellStyle name="Input 2 2 2" xfId="182" xr:uid="{00000000-0005-0000-0000-0000B3000000}"/>
    <cellStyle name="Input 2 2 2 2" xfId="453" xr:uid="{00000000-0005-0000-0000-0000B4000000}"/>
    <cellStyle name="Input 2 2 3" xfId="329" xr:uid="{00000000-0005-0000-0000-0000B5000000}"/>
    <cellStyle name="Input 2 20" xfId="120" xr:uid="{00000000-0005-0000-0000-0000B6000000}"/>
    <cellStyle name="Input 2 20 2" xfId="245" xr:uid="{00000000-0005-0000-0000-0000B7000000}"/>
    <cellStyle name="Input 2 20 2 2" xfId="516" xr:uid="{00000000-0005-0000-0000-0000B8000000}"/>
    <cellStyle name="Input 2 20 3" xfId="392" xr:uid="{00000000-0005-0000-0000-0000B9000000}"/>
    <cellStyle name="Input 2 21" xfId="147" xr:uid="{00000000-0005-0000-0000-0000BA000000}"/>
    <cellStyle name="Input 2 21 2" xfId="272" xr:uid="{00000000-0005-0000-0000-0000BB000000}"/>
    <cellStyle name="Input 2 21 2 2" xfId="543" xr:uid="{00000000-0005-0000-0000-0000BC000000}"/>
    <cellStyle name="Input 2 21 3" xfId="419" xr:uid="{00000000-0005-0000-0000-0000BD000000}"/>
    <cellStyle name="Input 2 22" xfId="98" xr:uid="{00000000-0005-0000-0000-0000BE000000}"/>
    <cellStyle name="Input 2 22 2" xfId="223" xr:uid="{00000000-0005-0000-0000-0000BF000000}"/>
    <cellStyle name="Input 2 22 2 2" xfId="494" xr:uid="{00000000-0005-0000-0000-0000C0000000}"/>
    <cellStyle name="Input 2 22 3" xfId="370" xr:uid="{00000000-0005-0000-0000-0000C1000000}"/>
    <cellStyle name="Input 2 23" xfId="155" xr:uid="{00000000-0005-0000-0000-0000C2000000}"/>
    <cellStyle name="Input 2 23 2" xfId="280" xr:uid="{00000000-0005-0000-0000-0000C3000000}"/>
    <cellStyle name="Input 2 23 2 2" xfId="551" xr:uid="{00000000-0005-0000-0000-0000C4000000}"/>
    <cellStyle name="Input 2 23 3" xfId="427" xr:uid="{00000000-0005-0000-0000-0000C5000000}"/>
    <cellStyle name="Input 2 24" xfId="159" xr:uid="{00000000-0005-0000-0000-0000C6000000}"/>
    <cellStyle name="Input 2 24 2" xfId="284" xr:uid="{00000000-0005-0000-0000-0000C7000000}"/>
    <cellStyle name="Input 2 24 2 2" xfId="555" xr:uid="{00000000-0005-0000-0000-0000C8000000}"/>
    <cellStyle name="Input 2 24 3" xfId="431" xr:uid="{00000000-0005-0000-0000-0000C9000000}"/>
    <cellStyle name="Input 2 25" xfId="154" xr:uid="{00000000-0005-0000-0000-0000CA000000}"/>
    <cellStyle name="Input 2 25 2" xfId="279" xr:uid="{00000000-0005-0000-0000-0000CB000000}"/>
    <cellStyle name="Input 2 25 2 2" xfId="550" xr:uid="{00000000-0005-0000-0000-0000CC000000}"/>
    <cellStyle name="Input 2 25 3" xfId="426" xr:uid="{00000000-0005-0000-0000-0000CD000000}"/>
    <cellStyle name="Input 2 26" xfId="160" xr:uid="{00000000-0005-0000-0000-0000CE000000}"/>
    <cellStyle name="Input 2 26 2" xfId="285" xr:uid="{00000000-0005-0000-0000-0000CF000000}"/>
    <cellStyle name="Input 2 26 2 2" xfId="556" xr:uid="{00000000-0005-0000-0000-0000D0000000}"/>
    <cellStyle name="Input 2 26 3" xfId="432" xr:uid="{00000000-0005-0000-0000-0000D1000000}"/>
    <cellStyle name="Input 2 27" xfId="169" xr:uid="{00000000-0005-0000-0000-0000D2000000}"/>
    <cellStyle name="Input 2 27 2" xfId="440" xr:uid="{00000000-0005-0000-0000-0000D3000000}"/>
    <cellStyle name="Input 2 28" xfId="316" xr:uid="{00000000-0005-0000-0000-0000D4000000}"/>
    <cellStyle name="Input 2 3" xfId="62" xr:uid="{00000000-0005-0000-0000-0000D5000000}"/>
    <cellStyle name="Input 2 3 2" xfId="187" xr:uid="{00000000-0005-0000-0000-0000D6000000}"/>
    <cellStyle name="Input 2 3 2 2" xfId="458" xr:uid="{00000000-0005-0000-0000-0000D7000000}"/>
    <cellStyle name="Input 2 3 3" xfId="334" xr:uid="{00000000-0005-0000-0000-0000D8000000}"/>
    <cellStyle name="Input 2 4" xfId="66" xr:uid="{00000000-0005-0000-0000-0000D9000000}"/>
    <cellStyle name="Input 2 4 2" xfId="191" xr:uid="{00000000-0005-0000-0000-0000DA000000}"/>
    <cellStyle name="Input 2 4 2 2" xfId="462" xr:uid="{00000000-0005-0000-0000-0000DB000000}"/>
    <cellStyle name="Input 2 4 3" xfId="338" xr:uid="{00000000-0005-0000-0000-0000DC000000}"/>
    <cellStyle name="Input 2 5" xfId="71" xr:uid="{00000000-0005-0000-0000-0000DD000000}"/>
    <cellStyle name="Input 2 5 2" xfId="196" xr:uid="{00000000-0005-0000-0000-0000DE000000}"/>
    <cellStyle name="Input 2 5 2 2" xfId="467" xr:uid="{00000000-0005-0000-0000-0000DF000000}"/>
    <cellStyle name="Input 2 5 3" xfId="343" xr:uid="{00000000-0005-0000-0000-0000E0000000}"/>
    <cellStyle name="Input 2 6" xfId="78" xr:uid="{00000000-0005-0000-0000-0000E1000000}"/>
    <cellStyle name="Input 2 6 2" xfId="203" xr:uid="{00000000-0005-0000-0000-0000E2000000}"/>
    <cellStyle name="Input 2 6 2 2" xfId="474" xr:uid="{00000000-0005-0000-0000-0000E3000000}"/>
    <cellStyle name="Input 2 6 3" xfId="350" xr:uid="{00000000-0005-0000-0000-0000E4000000}"/>
    <cellStyle name="Input 2 7" xfId="79" xr:uid="{00000000-0005-0000-0000-0000E5000000}"/>
    <cellStyle name="Input 2 7 2" xfId="204" xr:uid="{00000000-0005-0000-0000-0000E6000000}"/>
    <cellStyle name="Input 2 7 2 2" xfId="475" xr:uid="{00000000-0005-0000-0000-0000E7000000}"/>
    <cellStyle name="Input 2 7 3" xfId="351" xr:uid="{00000000-0005-0000-0000-0000E8000000}"/>
    <cellStyle name="Input 2 8" xfId="83" xr:uid="{00000000-0005-0000-0000-0000E9000000}"/>
    <cellStyle name="Input 2 8 2" xfId="208" xr:uid="{00000000-0005-0000-0000-0000EA000000}"/>
    <cellStyle name="Input 2 8 2 2" xfId="479" xr:uid="{00000000-0005-0000-0000-0000EB000000}"/>
    <cellStyle name="Input 2 8 3" xfId="355" xr:uid="{00000000-0005-0000-0000-0000EC000000}"/>
    <cellStyle name="Input 2 9" xfId="88" xr:uid="{00000000-0005-0000-0000-0000ED000000}"/>
    <cellStyle name="Input 2 9 2" xfId="213" xr:uid="{00000000-0005-0000-0000-0000EE000000}"/>
    <cellStyle name="Input 2 9 2 2" xfId="484" xr:uid="{00000000-0005-0000-0000-0000EF000000}"/>
    <cellStyle name="Input 2 9 3" xfId="360" xr:uid="{00000000-0005-0000-0000-0000F0000000}"/>
    <cellStyle name="Linked Cell 2" xfId="41" xr:uid="{00000000-0005-0000-0000-0000F1000000}"/>
    <cellStyle name="Neutral 2" xfId="42" xr:uid="{00000000-0005-0000-0000-0000F2000000}"/>
    <cellStyle name="Normal" xfId="0" builtinId="0"/>
    <cellStyle name="Normal 2" xfId="2" xr:uid="{00000000-0005-0000-0000-0000F4000000}"/>
    <cellStyle name="Normal 2 2" xfId="3" xr:uid="{00000000-0005-0000-0000-0000F5000000}"/>
    <cellStyle name="Normal 2 3" xfId="167" xr:uid="{00000000-0005-0000-0000-0000F6000000}"/>
    <cellStyle name="Normal 2 4" xfId="6" xr:uid="{00000000-0005-0000-0000-0000F7000000}"/>
    <cellStyle name="Normal 3" xfId="1" xr:uid="{00000000-0005-0000-0000-0000F8000000}"/>
    <cellStyle name="Normal 3 2" xfId="4" xr:uid="{00000000-0005-0000-0000-0000F9000000}"/>
    <cellStyle name="Note 2" xfId="43" xr:uid="{00000000-0005-0000-0000-0000FA000000}"/>
    <cellStyle name="Note 2 10" xfId="105" xr:uid="{00000000-0005-0000-0000-0000FB000000}"/>
    <cellStyle name="Note 2 10 2" xfId="230" xr:uid="{00000000-0005-0000-0000-0000FC000000}"/>
    <cellStyle name="Note 2 10 2 2" xfId="501" xr:uid="{00000000-0005-0000-0000-0000FD000000}"/>
    <cellStyle name="Note 2 10 3" xfId="377" xr:uid="{00000000-0005-0000-0000-0000FE000000}"/>
    <cellStyle name="Note 2 11" xfId="109" xr:uid="{00000000-0005-0000-0000-0000FF000000}"/>
    <cellStyle name="Note 2 11 2" xfId="234" xr:uid="{00000000-0005-0000-0000-000000010000}"/>
    <cellStyle name="Note 2 11 2 2" xfId="505" xr:uid="{00000000-0005-0000-0000-000001010000}"/>
    <cellStyle name="Note 2 11 3" xfId="381" xr:uid="{00000000-0005-0000-0000-000002010000}"/>
    <cellStyle name="Note 2 12" xfId="113" xr:uid="{00000000-0005-0000-0000-000003010000}"/>
    <cellStyle name="Note 2 12 2" xfId="238" xr:uid="{00000000-0005-0000-0000-000004010000}"/>
    <cellStyle name="Note 2 12 2 2" xfId="509" xr:uid="{00000000-0005-0000-0000-000005010000}"/>
    <cellStyle name="Note 2 12 3" xfId="385" xr:uid="{00000000-0005-0000-0000-000006010000}"/>
    <cellStyle name="Note 2 13" xfId="117" xr:uid="{00000000-0005-0000-0000-000007010000}"/>
    <cellStyle name="Note 2 13 2" xfId="242" xr:uid="{00000000-0005-0000-0000-000008010000}"/>
    <cellStyle name="Note 2 13 2 2" xfId="513" xr:uid="{00000000-0005-0000-0000-000009010000}"/>
    <cellStyle name="Note 2 13 3" xfId="389" xr:uid="{00000000-0005-0000-0000-00000A010000}"/>
    <cellStyle name="Note 2 14" xfId="124" xr:uid="{00000000-0005-0000-0000-00000B010000}"/>
    <cellStyle name="Note 2 14 2" xfId="249" xr:uid="{00000000-0005-0000-0000-00000C010000}"/>
    <cellStyle name="Note 2 14 2 2" xfId="520" xr:uid="{00000000-0005-0000-0000-00000D010000}"/>
    <cellStyle name="Note 2 14 3" xfId="396" xr:uid="{00000000-0005-0000-0000-00000E010000}"/>
    <cellStyle name="Note 2 15" xfId="128" xr:uid="{00000000-0005-0000-0000-00000F010000}"/>
    <cellStyle name="Note 2 15 2" xfId="253" xr:uid="{00000000-0005-0000-0000-000010010000}"/>
    <cellStyle name="Note 2 15 2 2" xfId="524" xr:uid="{00000000-0005-0000-0000-000011010000}"/>
    <cellStyle name="Note 2 15 3" xfId="400" xr:uid="{00000000-0005-0000-0000-000012010000}"/>
    <cellStyle name="Note 2 16" xfId="131" xr:uid="{00000000-0005-0000-0000-000013010000}"/>
    <cellStyle name="Note 2 16 2" xfId="256" xr:uid="{00000000-0005-0000-0000-000014010000}"/>
    <cellStyle name="Note 2 16 2 2" xfId="527" xr:uid="{00000000-0005-0000-0000-000015010000}"/>
    <cellStyle name="Note 2 16 3" xfId="403" xr:uid="{00000000-0005-0000-0000-000016010000}"/>
    <cellStyle name="Note 2 17" xfId="137" xr:uid="{00000000-0005-0000-0000-000017010000}"/>
    <cellStyle name="Note 2 17 2" xfId="262" xr:uid="{00000000-0005-0000-0000-000018010000}"/>
    <cellStyle name="Note 2 17 2 2" xfId="533" xr:uid="{00000000-0005-0000-0000-000019010000}"/>
    <cellStyle name="Note 2 17 3" xfId="409" xr:uid="{00000000-0005-0000-0000-00001A010000}"/>
    <cellStyle name="Note 2 18" xfId="141" xr:uid="{00000000-0005-0000-0000-00001B010000}"/>
    <cellStyle name="Note 2 18 2" xfId="266" xr:uid="{00000000-0005-0000-0000-00001C010000}"/>
    <cellStyle name="Note 2 18 2 2" xfId="537" xr:uid="{00000000-0005-0000-0000-00001D010000}"/>
    <cellStyle name="Note 2 18 3" xfId="413" xr:uid="{00000000-0005-0000-0000-00001E010000}"/>
    <cellStyle name="Note 2 19" xfId="144" xr:uid="{00000000-0005-0000-0000-00001F010000}"/>
    <cellStyle name="Note 2 19 2" xfId="269" xr:uid="{00000000-0005-0000-0000-000020010000}"/>
    <cellStyle name="Note 2 19 2 2" xfId="540" xr:uid="{00000000-0005-0000-0000-000021010000}"/>
    <cellStyle name="Note 2 19 3" xfId="416" xr:uid="{00000000-0005-0000-0000-000022010000}"/>
    <cellStyle name="Note 2 2" xfId="58" xr:uid="{00000000-0005-0000-0000-000023010000}"/>
    <cellStyle name="Note 2 2 2" xfId="183" xr:uid="{00000000-0005-0000-0000-000024010000}"/>
    <cellStyle name="Note 2 2 2 2" xfId="454" xr:uid="{00000000-0005-0000-0000-000025010000}"/>
    <cellStyle name="Note 2 2 3" xfId="330" xr:uid="{00000000-0005-0000-0000-000026010000}"/>
    <cellStyle name="Note 2 20" xfId="148" xr:uid="{00000000-0005-0000-0000-000027010000}"/>
    <cellStyle name="Note 2 20 2" xfId="273" xr:uid="{00000000-0005-0000-0000-000028010000}"/>
    <cellStyle name="Note 2 20 2 2" xfId="544" xr:uid="{00000000-0005-0000-0000-000029010000}"/>
    <cellStyle name="Note 2 20 3" xfId="420" xr:uid="{00000000-0005-0000-0000-00002A010000}"/>
    <cellStyle name="Note 2 21" xfId="151" xr:uid="{00000000-0005-0000-0000-00002B010000}"/>
    <cellStyle name="Note 2 21 2" xfId="276" xr:uid="{00000000-0005-0000-0000-00002C010000}"/>
    <cellStyle name="Note 2 21 2 2" xfId="547" xr:uid="{00000000-0005-0000-0000-00002D010000}"/>
    <cellStyle name="Note 2 21 3" xfId="423" xr:uid="{00000000-0005-0000-0000-00002E010000}"/>
    <cellStyle name="Note 2 22" xfId="156" xr:uid="{00000000-0005-0000-0000-00002F010000}"/>
    <cellStyle name="Note 2 22 2" xfId="281" xr:uid="{00000000-0005-0000-0000-000030010000}"/>
    <cellStyle name="Note 2 22 2 2" xfId="552" xr:uid="{00000000-0005-0000-0000-000031010000}"/>
    <cellStyle name="Note 2 22 3" xfId="428" xr:uid="{00000000-0005-0000-0000-000032010000}"/>
    <cellStyle name="Note 2 23" xfId="161" xr:uid="{00000000-0005-0000-0000-000033010000}"/>
    <cellStyle name="Note 2 23 2" xfId="286" xr:uid="{00000000-0005-0000-0000-000034010000}"/>
    <cellStyle name="Note 2 23 2 2" xfId="557" xr:uid="{00000000-0005-0000-0000-000035010000}"/>
    <cellStyle name="Note 2 23 3" xfId="433" xr:uid="{00000000-0005-0000-0000-000036010000}"/>
    <cellStyle name="Note 2 24" xfId="164" xr:uid="{00000000-0005-0000-0000-000037010000}"/>
    <cellStyle name="Note 2 24 2" xfId="289" xr:uid="{00000000-0005-0000-0000-000038010000}"/>
    <cellStyle name="Note 2 24 2 2" xfId="560" xr:uid="{00000000-0005-0000-0000-000039010000}"/>
    <cellStyle name="Note 2 24 3" xfId="436" xr:uid="{00000000-0005-0000-0000-00003A010000}"/>
    <cellStyle name="Note 2 25" xfId="170" xr:uid="{00000000-0005-0000-0000-00003B010000}"/>
    <cellStyle name="Note 2 25 2" xfId="441" xr:uid="{00000000-0005-0000-0000-00003C010000}"/>
    <cellStyle name="Note 2 26" xfId="317" xr:uid="{00000000-0005-0000-0000-00003D010000}"/>
    <cellStyle name="Note 2 3" xfId="63" xr:uid="{00000000-0005-0000-0000-00003E010000}"/>
    <cellStyle name="Note 2 3 2" xfId="188" xr:uid="{00000000-0005-0000-0000-00003F010000}"/>
    <cellStyle name="Note 2 3 2 2" xfId="459" xr:uid="{00000000-0005-0000-0000-000040010000}"/>
    <cellStyle name="Note 2 3 3" xfId="335" xr:uid="{00000000-0005-0000-0000-000041010000}"/>
    <cellStyle name="Note 2 4" xfId="67" xr:uid="{00000000-0005-0000-0000-000042010000}"/>
    <cellStyle name="Note 2 4 2" xfId="192" xr:uid="{00000000-0005-0000-0000-000043010000}"/>
    <cellStyle name="Note 2 4 2 2" xfId="463" xr:uid="{00000000-0005-0000-0000-000044010000}"/>
    <cellStyle name="Note 2 4 3" xfId="339" xr:uid="{00000000-0005-0000-0000-000045010000}"/>
    <cellStyle name="Note 2 5" xfId="72" xr:uid="{00000000-0005-0000-0000-000046010000}"/>
    <cellStyle name="Note 2 5 2" xfId="197" xr:uid="{00000000-0005-0000-0000-000047010000}"/>
    <cellStyle name="Note 2 5 2 2" xfId="468" xr:uid="{00000000-0005-0000-0000-000048010000}"/>
    <cellStyle name="Note 2 5 3" xfId="344" xr:uid="{00000000-0005-0000-0000-000049010000}"/>
    <cellStyle name="Note 2 6" xfId="80" xr:uid="{00000000-0005-0000-0000-00004A010000}"/>
    <cellStyle name="Note 2 6 2" xfId="205" xr:uid="{00000000-0005-0000-0000-00004B010000}"/>
    <cellStyle name="Note 2 6 2 2" xfId="476" xr:uid="{00000000-0005-0000-0000-00004C010000}"/>
    <cellStyle name="Note 2 6 3" xfId="352" xr:uid="{00000000-0005-0000-0000-00004D010000}"/>
    <cellStyle name="Note 2 7" xfId="84" xr:uid="{00000000-0005-0000-0000-00004E010000}"/>
    <cellStyle name="Note 2 7 2" xfId="209" xr:uid="{00000000-0005-0000-0000-00004F010000}"/>
    <cellStyle name="Note 2 7 2 2" xfId="480" xr:uid="{00000000-0005-0000-0000-000050010000}"/>
    <cellStyle name="Note 2 7 3" xfId="356" xr:uid="{00000000-0005-0000-0000-000051010000}"/>
    <cellStyle name="Note 2 8" xfId="89" xr:uid="{00000000-0005-0000-0000-000052010000}"/>
    <cellStyle name="Note 2 8 2" xfId="214" xr:uid="{00000000-0005-0000-0000-000053010000}"/>
    <cellStyle name="Note 2 8 2 2" xfId="485" xr:uid="{00000000-0005-0000-0000-000054010000}"/>
    <cellStyle name="Note 2 8 3" xfId="361" xr:uid="{00000000-0005-0000-0000-000055010000}"/>
    <cellStyle name="Note 2 9" xfId="94" xr:uid="{00000000-0005-0000-0000-000056010000}"/>
    <cellStyle name="Note 2 9 2" xfId="219" xr:uid="{00000000-0005-0000-0000-000057010000}"/>
    <cellStyle name="Note 2 9 2 2" xfId="490" xr:uid="{00000000-0005-0000-0000-000058010000}"/>
    <cellStyle name="Note 2 9 3" xfId="366" xr:uid="{00000000-0005-0000-0000-000059010000}"/>
    <cellStyle name="Output 2" xfId="44" xr:uid="{00000000-0005-0000-0000-00005A010000}"/>
    <cellStyle name="Output 2 10" xfId="106" xr:uid="{00000000-0005-0000-0000-00005B010000}"/>
    <cellStyle name="Output 2 10 2" xfId="231" xr:uid="{00000000-0005-0000-0000-00005C010000}"/>
    <cellStyle name="Output 2 10 2 2" xfId="502" xr:uid="{00000000-0005-0000-0000-00005D010000}"/>
    <cellStyle name="Output 2 10 3" xfId="300" xr:uid="{00000000-0005-0000-0000-00005E010000}"/>
    <cellStyle name="Output 2 10 3 2" xfId="571" xr:uid="{00000000-0005-0000-0000-00005F010000}"/>
    <cellStyle name="Output 2 10 4" xfId="378" xr:uid="{00000000-0005-0000-0000-000060010000}"/>
    <cellStyle name="Output 2 11" xfId="110" xr:uid="{00000000-0005-0000-0000-000061010000}"/>
    <cellStyle name="Output 2 11 2" xfId="235" xr:uid="{00000000-0005-0000-0000-000062010000}"/>
    <cellStyle name="Output 2 11 2 2" xfId="506" xr:uid="{00000000-0005-0000-0000-000063010000}"/>
    <cellStyle name="Output 2 11 3" xfId="301" xr:uid="{00000000-0005-0000-0000-000064010000}"/>
    <cellStyle name="Output 2 11 3 2" xfId="572" xr:uid="{00000000-0005-0000-0000-000065010000}"/>
    <cellStyle name="Output 2 11 4" xfId="382" xr:uid="{00000000-0005-0000-0000-000066010000}"/>
    <cellStyle name="Output 2 12" xfId="114" xr:uid="{00000000-0005-0000-0000-000067010000}"/>
    <cellStyle name="Output 2 12 2" xfId="239" xr:uid="{00000000-0005-0000-0000-000068010000}"/>
    <cellStyle name="Output 2 12 2 2" xfId="510" xr:uid="{00000000-0005-0000-0000-000069010000}"/>
    <cellStyle name="Output 2 12 3" xfId="302" xr:uid="{00000000-0005-0000-0000-00006A010000}"/>
    <cellStyle name="Output 2 12 3 2" xfId="573" xr:uid="{00000000-0005-0000-0000-00006B010000}"/>
    <cellStyle name="Output 2 12 4" xfId="386" xr:uid="{00000000-0005-0000-0000-00006C010000}"/>
    <cellStyle name="Output 2 13" xfId="118" xr:uid="{00000000-0005-0000-0000-00006D010000}"/>
    <cellStyle name="Output 2 13 2" xfId="243" xr:uid="{00000000-0005-0000-0000-00006E010000}"/>
    <cellStyle name="Output 2 13 2 2" xfId="514" xr:uid="{00000000-0005-0000-0000-00006F010000}"/>
    <cellStyle name="Output 2 13 3" xfId="303" xr:uid="{00000000-0005-0000-0000-000070010000}"/>
    <cellStyle name="Output 2 13 3 2" xfId="574" xr:uid="{00000000-0005-0000-0000-000071010000}"/>
    <cellStyle name="Output 2 13 4" xfId="390" xr:uid="{00000000-0005-0000-0000-000072010000}"/>
    <cellStyle name="Output 2 14" xfId="125" xr:uid="{00000000-0005-0000-0000-000073010000}"/>
    <cellStyle name="Output 2 14 2" xfId="250" xr:uid="{00000000-0005-0000-0000-000074010000}"/>
    <cellStyle name="Output 2 14 2 2" xfId="521" xr:uid="{00000000-0005-0000-0000-000075010000}"/>
    <cellStyle name="Output 2 14 3" xfId="304" xr:uid="{00000000-0005-0000-0000-000076010000}"/>
    <cellStyle name="Output 2 14 3 2" xfId="575" xr:uid="{00000000-0005-0000-0000-000077010000}"/>
    <cellStyle name="Output 2 14 4" xfId="397" xr:uid="{00000000-0005-0000-0000-000078010000}"/>
    <cellStyle name="Output 2 15" xfId="129" xr:uid="{00000000-0005-0000-0000-000079010000}"/>
    <cellStyle name="Output 2 15 2" xfId="254" xr:uid="{00000000-0005-0000-0000-00007A010000}"/>
    <cellStyle name="Output 2 15 2 2" xfId="525" xr:uid="{00000000-0005-0000-0000-00007B010000}"/>
    <cellStyle name="Output 2 15 3" xfId="305" xr:uid="{00000000-0005-0000-0000-00007C010000}"/>
    <cellStyle name="Output 2 15 3 2" xfId="576" xr:uid="{00000000-0005-0000-0000-00007D010000}"/>
    <cellStyle name="Output 2 15 4" xfId="401" xr:uid="{00000000-0005-0000-0000-00007E010000}"/>
    <cellStyle name="Output 2 16" xfId="132" xr:uid="{00000000-0005-0000-0000-00007F010000}"/>
    <cellStyle name="Output 2 16 2" xfId="257" xr:uid="{00000000-0005-0000-0000-000080010000}"/>
    <cellStyle name="Output 2 16 2 2" xfId="528" xr:uid="{00000000-0005-0000-0000-000081010000}"/>
    <cellStyle name="Output 2 16 3" xfId="306" xr:uid="{00000000-0005-0000-0000-000082010000}"/>
    <cellStyle name="Output 2 16 3 2" xfId="577" xr:uid="{00000000-0005-0000-0000-000083010000}"/>
    <cellStyle name="Output 2 16 4" xfId="404" xr:uid="{00000000-0005-0000-0000-000084010000}"/>
    <cellStyle name="Output 2 17" xfId="138" xr:uid="{00000000-0005-0000-0000-000085010000}"/>
    <cellStyle name="Output 2 17 2" xfId="263" xr:uid="{00000000-0005-0000-0000-000086010000}"/>
    <cellStyle name="Output 2 17 2 2" xfId="534" xr:uid="{00000000-0005-0000-0000-000087010000}"/>
    <cellStyle name="Output 2 17 3" xfId="307" xr:uid="{00000000-0005-0000-0000-000088010000}"/>
    <cellStyle name="Output 2 17 3 2" xfId="578" xr:uid="{00000000-0005-0000-0000-000089010000}"/>
    <cellStyle name="Output 2 17 4" xfId="410" xr:uid="{00000000-0005-0000-0000-00008A010000}"/>
    <cellStyle name="Output 2 18" xfId="142" xr:uid="{00000000-0005-0000-0000-00008B010000}"/>
    <cellStyle name="Output 2 18 2" xfId="267" xr:uid="{00000000-0005-0000-0000-00008C010000}"/>
    <cellStyle name="Output 2 18 2 2" xfId="538" xr:uid="{00000000-0005-0000-0000-00008D010000}"/>
    <cellStyle name="Output 2 18 3" xfId="308" xr:uid="{00000000-0005-0000-0000-00008E010000}"/>
    <cellStyle name="Output 2 18 3 2" xfId="579" xr:uid="{00000000-0005-0000-0000-00008F010000}"/>
    <cellStyle name="Output 2 18 4" xfId="414" xr:uid="{00000000-0005-0000-0000-000090010000}"/>
    <cellStyle name="Output 2 19" xfId="145" xr:uid="{00000000-0005-0000-0000-000091010000}"/>
    <cellStyle name="Output 2 19 2" xfId="270" xr:uid="{00000000-0005-0000-0000-000092010000}"/>
    <cellStyle name="Output 2 19 2 2" xfId="541" xr:uid="{00000000-0005-0000-0000-000093010000}"/>
    <cellStyle name="Output 2 19 3" xfId="309" xr:uid="{00000000-0005-0000-0000-000094010000}"/>
    <cellStyle name="Output 2 19 3 2" xfId="580" xr:uid="{00000000-0005-0000-0000-000095010000}"/>
    <cellStyle name="Output 2 19 4" xfId="417" xr:uid="{00000000-0005-0000-0000-000096010000}"/>
    <cellStyle name="Output 2 2" xfId="59" xr:uid="{00000000-0005-0000-0000-000097010000}"/>
    <cellStyle name="Output 2 2 2" xfId="184" xr:uid="{00000000-0005-0000-0000-000098010000}"/>
    <cellStyle name="Output 2 2 2 2" xfId="455" xr:uid="{00000000-0005-0000-0000-000099010000}"/>
    <cellStyle name="Output 2 2 3" xfId="292" xr:uid="{00000000-0005-0000-0000-00009A010000}"/>
    <cellStyle name="Output 2 2 3 2" xfId="563" xr:uid="{00000000-0005-0000-0000-00009B010000}"/>
    <cellStyle name="Output 2 2 4" xfId="331" xr:uid="{00000000-0005-0000-0000-00009C010000}"/>
    <cellStyle name="Output 2 20" xfId="149" xr:uid="{00000000-0005-0000-0000-00009D010000}"/>
    <cellStyle name="Output 2 20 2" xfId="274" xr:uid="{00000000-0005-0000-0000-00009E010000}"/>
    <cellStyle name="Output 2 20 2 2" xfId="545" xr:uid="{00000000-0005-0000-0000-00009F010000}"/>
    <cellStyle name="Output 2 20 3" xfId="310" xr:uid="{00000000-0005-0000-0000-0000A0010000}"/>
    <cellStyle name="Output 2 20 3 2" xfId="581" xr:uid="{00000000-0005-0000-0000-0000A1010000}"/>
    <cellStyle name="Output 2 20 4" xfId="421" xr:uid="{00000000-0005-0000-0000-0000A2010000}"/>
    <cellStyle name="Output 2 21" xfId="152" xr:uid="{00000000-0005-0000-0000-0000A3010000}"/>
    <cellStyle name="Output 2 21 2" xfId="277" xr:uid="{00000000-0005-0000-0000-0000A4010000}"/>
    <cellStyle name="Output 2 21 2 2" xfId="548" xr:uid="{00000000-0005-0000-0000-0000A5010000}"/>
    <cellStyle name="Output 2 21 3" xfId="311" xr:uid="{00000000-0005-0000-0000-0000A6010000}"/>
    <cellStyle name="Output 2 21 3 2" xfId="582" xr:uid="{00000000-0005-0000-0000-0000A7010000}"/>
    <cellStyle name="Output 2 21 4" xfId="424" xr:uid="{00000000-0005-0000-0000-0000A8010000}"/>
    <cellStyle name="Output 2 22" xfId="157" xr:uid="{00000000-0005-0000-0000-0000A9010000}"/>
    <cellStyle name="Output 2 22 2" xfId="282" xr:uid="{00000000-0005-0000-0000-0000AA010000}"/>
    <cellStyle name="Output 2 22 2 2" xfId="553" xr:uid="{00000000-0005-0000-0000-0000AB010000}"/>
    <cellStyle name="Output 2 22 3" xfId="312" xr:uid="{00000000-0005-0000-0000-0000AC010000}"/>
    <cellStyle name="Output 2 22 3 2" xfId="583" xr:uid="{00000000-0005-0000-0000-0000AD010000}"/>
    <cellStyle name="Output 2 22 4" xfId="429" xr:uid="{00000000-0005-0000-0000-0000AE010000}"/>
    <cellStyle name="Output 2 23" xfId="162" xr:uid="{00000000-0005-0000-0000-0000AF010000}"/>
    <cellStyle name="Output 2 23 2" xfId="287" xr:uid="{00000000-0005-0000-0000-0000B0010000}"/>
    <cellStyle name="Output 2 23 2 2" xfId="558" xr:uid="{00000000-0005-0000-0000-0000B1010000}"/>
    <cellStyle name="Output 2 23 3" xfId="313" xr:uid="{00000000-0005-0000-0000-0000B2010000}"/>
    <cellStyle name="Output 2 23 3 2" xfId="584" xr:uid="{00000000-0005-0000-0000-0000B3010000}"/>
    <cellStyle name="Output 2 23 4" xfId="434" xr:uid="{00000000-0005-0000-0000-0000B4010000}"/>
    <cellStyle name="Output 2 24" xfId="165" xr:uid="{00000000-0005-0000-0000-0000B5010000}"/>
    <cellStyle name="Output 2 24 2" xfId="290" xr:uid="{00000000-0005-0000-0000-0000B6010000}"/>
    <cellStyle name="Output 2 24 2 2" xfId="561" xr:uid="{00000000-0005-0000-0000-0000B7010000}"/>
    <cellStyle name="Output 2 24 3" xfId="314" xr:uid="{00000000-0005-0000-0000-0000B8010000}"/>
    <cellStyle name="Output 2 24 3 2" xfId="585" xr:uid="{00000000-0005-0000-0000-0000B9010000}"/>
    <cellStyle name="Output 2 24 4" xfId="437" xr:uid="{00000000-0005-0000-0000-0000BA010000}"/>
    <cellStyle name="Output 2 25" xfId="171" xr:uid="{00000000-0005-0000-0000-0000BB010000}"/>
    <cellStyle name="Output 2 25 2" xfId="442" xr:uid="{00000000-0005-0000-0000-0000BC010000}"/>
    <cellStyle name="Output 2 26" xfId="318" xr:uid="{00000000-0005-0000-0000-0000BD010000}"/>
    <cellStyle name="Output 2 3" xfId="64" xr:uid="{00000000-0005-0000-0000-0000BE010000}"/>
    <cellStyle name="Output 2 3 2" xfId="189" xr:uid="{00000000-0005-0000-0000-0000BF010000}"/>
    <cellStyle name="Output 2 3 2 2" xfId="460" xr:uid="{00000000-0005-0000-0000-0000C0010000}"/>
    <cellStyle name="Output 2 3 3" xfId="293" xr:uid="{00000000-0005-0000-0000-0000C1010000}"/>
    <cellStyle name="Output 2 3 3 2" xfId="564" xr:uid="{00000000-0005-0000-0000-0000C2010000}"/>
    <cellStyle name="Output 2 3 4" xfId="336" xr:uid="{00000000-0005-0000-0000-0000C3010000}"/>
    <cellStyle name="Output 2 4" xfId="68" xr:uid="{00000000-0005-0000-0000-0000C4010000}"/>
    <cellStyle name="Output 2 4 2" xfId="193" xr:uid="{00000000-0005-0000-0000-0000C5010000}"/>
    <cellStyle name="Output 2 4 2 2" xfId="464" xr:uid="{00000000-0005-0000-0000-0000C6010000}"/>
    <cellStyle name="Output 2 4 3" xfId="294" xr:uid="{00000000-0005-0000-0000-0000C7010000}"/>
    <cellStyle name="Output 2 4 3 2" xfId="565" xr:uid="{00000000-0005-0000-0000-0000C8010000}"/>
    <cellStyle name="Output 2 4 4" xfId="340" xr:uid="{00000000-0005-0000-0000-0000C9010000}"/>
    <cellStyle name="Output 2 5" xfId="73" xr:uid="{00000000-0005-0000-0000-0000CA010000}"/>
    <cellStyle name="Output 2 5 2" xfId="198" xr:uid="{00000000-0005-0000-0000-0000CB010000}"/>
    <cellStyle name="Output 2 5 2 2" xfId="469" xr:uid="{00000000-0005-0000-0000-0000CC010000}"/>
    <cellStyle name="Output 2 5 3" xfId="295" xr:uid="{00000000-0005-0000-0000-0000CD010000}"/>
    <cellStyle name="Output 2 5 3 2" xfId="566" xr:uid="{00000000-0005-0000-0000-0000CE010000}"/>
    <cellStyle name="Output 2 5 4" xfId="345" xr:uid="{00000000-0005-0000-0000-0000CF010000}"/>
    <cellStyle name="Output 2 6" xfId="81" xr:uid="{00000000-0005-0000-0000-0000D0010000}"/>
    <cellStyle name="Output 2 6 2" xfId="206" xr:uid="{00000000-0005-0000-0000-0000D1010000}"/>
    <cellStyle name="Output 2 6 2 2" xfId="477" xr:uid="{00000000-0005-0000-0000-0000D2010000}"/>
    <cellStyle name="Output 2 6 3" xfId="296" xr:uid="{00000000-0005-0000-0000-0000D3010000}"/>
    <cellStyle name="Output 2 6 3 2" xfId="567" xr:uid="{00000000-0005-0000-0000-0000D4010000}"/>
    <cellStyle name="Output 2 6 4" xfId="353" xr:uid="{00000000-0005-0000-0000-0000D5010000}"/>
    <cellStyle name="Output 2 7" xfId="85" xr:uid="{00000000-0005-0000-0000-0000D6010000}"/>
    <cellStyle name="Output 2 7 2" xfId="210" xr:uid="{00000000-0005-0000-0000-0000D7010000}"/>
    <cellStyle name="Output 2 7 2 2" xfId="481" xr:uid="{00000000-0005-0000-0000-0000D8010000}"/>
    <cellStyle name="Output 2 7 3" xfId="297" xr:uid="{00000000-0005-0000-0000-0000D9010000}"/>
    <cellStyle name="Output 2 7 3 2" xfId="568" xr:uid="{00000000-0005-0000-0000-0000DA010000}"/>
    <cellStyle name="Output 2 7 4" xfId="357" xr:uid="{00000000-0005-0000-0000-0000DB010000}"/>
    <cellStyle name="Output 2 8" xfId="90" xr:uid="{00000000-0005-0000-0000-0000DC010000}"/>
    <cellStyle name="Output 2 8 2" xfId="215" xr:uid="{00000000-0005-0000-0000-0000DD010000}"/>
    <cellStyle name="Output 2 8 2 2" xfId="486" xr:uid="{00000000-0005-0000-0000-0000DE010000}"/>
    <cellStyle name="Output 2 8 3" xfId="298" xr:uid="{00000000-0005-0000-0000-0000DF010000}"/>
    <cellStyle name="Output 2 8 3 2" xfId="569" xr:uid="{00000000-0005-0000-0000-0000E0010000}"/>
    <cellStyle name="Output 2 8 4" xfId="362" xr:uid="{00000000-0005-0000-0000-0000E1010000}"/>
    <cellStyle name="Output 2 9" xfId="95" xr:uid="{00000000-0005-0000-0000-0000E2010000}"/>
    <cellStyle name="Output 2 9 2" xfId="220" xr:uid="{00000000-0005-0000-0000-0000E3010000}"/>
    <cellStyle name="Output 2 9 2 2" xfId="491" xr:uid="{00000000-0005-0000-0000-0000E4010000}"/>
    <cellStyle name="Output 2 9 3" xfId="299" xr:uid="{00000000-0005-0000-0000-0000E5010000}"/>
    <cellStyle name="Output 2 9 3 2" xfId="570" xr:uid="{00000000-0005-0000-0000-0000E6010000}"/>
    <cellStyle name="Output 2 9 4" xfId="367" xr:uid="{00000000-0005-0000-0000-0000E7010000}"/>
    <cellStyle name="Title 2" xfId="45" xr:uid="{00000000-0005-0000-0000-0000E8010000}"/>
    <cellStyle name="Total 2" xfId="46" xr:uid="{00000000-0005-0000-0000-0000E9010000}"/>
    <cellStyle name="Total 2 10" xfId="107" xr:uid="{00000000-0005-0000-0000-0000EA010000}"/>
    <cellStyle name="Total 2 10 2" xfId="232" xr:uid="{00000000-0005-0000-0000-0000EB010000}"/>
    <cellStyle name="Total 2 10 2 2" xfId="503" xr:uid="{00000000-0005-0000-0000-0000EC010000}"/>
    <cellStyle name="Total 2 10 3" xfId="379" xr:uid="{00000000-0005-0000-0000-0000ED010000}"/>
    <cellStyle name="Total 2 11" xfId="111" xr:uid="{00000000-0005-0000-0000-0000EE010000}"/>
    <cellStyle name="Total 2 11 2" xfId="236" xr:uid="{00000000-0005-0000-0000-0000EF010000}"/>
    <cellStyle name="Total 2 11 2 2" xfId="507" xr:uid="{00000000-0005-0000-0000-0000F0010000}"/>
    <cellStyle name="Total 2 11 3" xfId="383" xr:uid="{00000000-0005-0000-0000-0000F1010000}"/>
    <cellStyle name="Total 2 12" xfId="115" xr:uid="{00000000-0005-0000-0000-0000F2010000}"/>
    <cellStyle name="Total 2 12 2" xfId="240" xr:uid="{00000000-0005-0000-0000-0000F3010000}"/>
    <cellStyle name="Total 2 12 2 2" xfId="511" xr:uid="{00000000-0005-0000-0000-0000F4010000}"/>
    <cellStyle name="Total 2 12 3" xfId="387" xr:uid="{00000000-0005-0000-0000-0000F5010000}"/>
    <cellStyle name="Total 2 13" xfId="119" xr:uid="{00000000-0005-0000-0000-0000F6010000}"/>
    <cellStyle name="Total 2 13 2" xfId="244" xr:uid="{00000000-0005-0000-0000-0000F7010000}"/>
    <cellStyle name="Total 2 13 2 2" xfId="515" xr:uid="{00000000-0005-0000-0000-0000F8010000}"/>
    <cellStyle name="Total 2 13 3" xfId="391" xr:uid="{00000000-0005-0000-0000-0000F9010000}"/>
    <cellStyle name="Total 2 14" xfId="127" xr:uid="{00000000-0005-0000-0000-0000FA010000}"/>
    <cellStyle name="Total 2 14 2" xfId="252" xr:uid="{00000000-0005-0000-0000-0000FB010000}"/>
    <cellStyle name="Total 2 14 2 2" xfId="523" xr:uid="{00000000-0005-0000-0000-0000FC010000}"/>
    <cellStyle name="Total 2 14 3" xfId="399" xr:uid="{00000000-0005-0000-0000-0000FD010000}"/>
    <cellStyle name="Total 2 15" xfId="130" xr:uid="{00000000-0005-0000-0000-0000FE010000}"/>
    <cellStyle name="Total 2 15 2" xfId="255" xr:uid="{00000000-0005-0000-0000-0000FF010000}"/>
    <cellStyle name="Total 2 15 2 2" xfId="526" xr:uid="{00000000-0005-0000-0000-000000020000}"/>
    <cellStyle name="Total 2 15 3" xfId="402" xr:uid="{00000000-0005-0000-0000-000001020000}"/>
    <cellStyle name="Total 2 16" xfId="133" xr:uid="{00000000-0005-0000-0000-000002020000}"/>
    <cellStyle name="Total 2 16 2" xfId="258" xr:uid="{00000000-0005-0000-0000-000003020000}"/>
    <cellStyle name="Total 2 16 2 2" xfId="529" xr:uid="{00000000-0005-0000-0000-000004020000}"/>
    <cellStyle name="Total 2 16 3" xfId="405" xr:uid="{00000000-0005-0000-0000-000005020000}"/>
    <cellStyle name="Total 2 17" xfId="139" xr:uid="{00000000-0005-0000-0000-000006020000}"/>
    <cellStyle name="Total 2 17 2" xfId="264" xr:uid="{00000000-0005-0000-0000-000007020000}"/>
    <cellStyle name="Total 2 17 2 2" xfId="535" xr:uid="{00000000-0005-0000-0000-000008020000}"/>
    <cellStyle name="Total 2 17 3" xfId="411" xr:uid="{00000000-0005-0000-0000-000009020000}"/>
    <cellStyle name="Total 2 18" xfId="143" xr:uid="{00000000-0005-0000-0000-00000A020000}"/>
    <cellStyle name="Total 2 18 2" xfId="268" xr:uid="{00000000-0005-0000-0000-00000B020000}"/>
    <cellStyle name="Total 2 18 2 2" xfId="539" xr:uid="{00000000-0005-0000-0000-00000C020000}"/>
    <cellStyle name="Total 2 18 3" xfId="415" xr:uid="{00000000-0005-0000-0000-00000D020000}"/>
    <cellStyle name="Total 2 19" xfId="146" xr:uid="{00000000-0005-0000-0000-00000E020000}"/>
    <cellStyle name="Total 2 19 2" xfId="271" xr:uid="{00000000-0005-0000-0000-00000F020000}"/>
    <cellStyle name="Total 2 19 2 2" xfId="542" xr:uid="{00000000-0005-0000-0000-000010020000}"/>
    <cellStyle name="Total 2 19 3" xfId="418" xr:uid="{00000000-0005-0000-0000-000011020000}"/>
    <cellStyle name="Total 2 2" xfId="60" xr:uid="{00000000-0005-0000-0000-000012020000}"/>
    <cellStyle name="Total 2 2 2" xfId="185" xr:uid="{00000000-0005-0000-0000-000013020000}"/>
    <cellStyle name="Total 2 2 2 2" xfId="456" xr:uid="{00000000-0005-0000-0000-000014020000}"/>
    <cellStyle name="Total 2 2 3" xfId="332" xr:uid="{00000000-0005-0000-0000-000015020000}"/>
    <cellStyle name="Total 2 20" xfId="150" xr:uid="{00000000-0005-0000-0000-000016020000}"/>
    <cellStyle name="Total 2 20 2" xfId="275" xr:uid="{00000000-0005-0000-0000-000017020000}"/>
    <cellStyle name="Total 2 20 2 2" xfId="546" xr:uid="{00000000-0005-0000-0000-000018020000}"/>
    <cellStyle name="Total 2 20 3" xfId="422" xr:uid="{00000000-0005-0000-0000-000019020000}"/>
    <cellStyle name="Total 2 21" xfId="153" xr:uid="{00000000-0005-0000-0000-00001A020000}"/>
    <cellStyle name="Total 2 21 2" xfId="278" xr:uid="{00000000-0005-0000-0000-00001B020000}"/>
    <cellStyle name="Total 2 21 2 2" xfId="549" xr:uid="{00000000-0005-0000-0000-00001C020000}"/>
    <cellStyle name="Total 2 21 3" xfId="425" xr:uid="{00000000-0005-0000-0000-00001D020000}"/>
    <cellStyle name="Total 2 22" xfId="158" xr:uid="{00000000-0005-0000-0000-00001E020000}"/>
    <cellStyle name="Total 2 22 2" xfId="283" xr:uid="{00000000-0005-0000-0000-00001F020000}"/>
    <cellStyle name="Total 2 22 2 2" xfId="554" xr:uid="{00000000-0005-0000-0000-000020020000}"/>
    <cellStyle name="Total 2 22 3" xfId="430" xr:uid="{00000000-0005-0000-0000-000021020000}"/>
    <cellStyle name="Total 2 23" xfId="163" xr:uid="{00000000-0005-0000-0000-000022020000}"/>
    <cellStyle name="Total 2 23 2" xfId="288" xr:uid="{00000000-0005-0000-0000-000023020000}"/>
    <cellStyle name="Total 2 23 2 2" xfId="559" xr:uid="{00000000-0005-0000-0000-000024020000}"/>
    <cellStyle name="Total 2 23 3" xfId="435" xr:uid="{00000000-0005-0000-0000-000025020000}"/>
    <cellStyle name="Total 2 24" xfId="166" xr:uid="{00000000-0005-0000-0000-000026020000}"/>
    <cellStyle name="Total 2 24 2" xfId="291" xr:uid="{00000000-0005-0000-0000-000027020000}"/>
    <cellStyle name="Total 2 24 2 2" xfId="562" xr:uid="{00000000-0005-0000-0000-000028020000}"/>
    <cellStyle name="Total 2 24 3" xfId="438" xr:uid="{00000000-0005-0000-0000-000029020000}"/>
    <cellStyle name="Total 2 25" xfId="172" xr:uid="{00000000-0005-0000-0000-00002A020000}"/>
    <cellStyle name="Total 2 25 2" xfId="443" xr:uid="{00000000-0005-0000-0000-00002B020000}"/>
    <cellStyle name="Total 2 26" xfId="319" xr:uid="{00000000-0005-0000-0000-00002C020000}"/>
    <cellStyle name="Total 2 3" xfId="65" xr:uid="{00000000-0005-0000-0000-00002D020000}"/>
    <cellStyle name="Total 2 3 2" xfId="190" xr:uid="{00000000-0005-0000-0000-00002E020000}"/>
    <cellStyle name="Total 2 3 2 2" xfId="461" xr:uid="{00000000-0005-0000-0000-00002F020000}"/>
    <cellStyle name="Total 2 3 3" xfId="337" xr:uid="{00000000-0005-0000-0000-000030020000}"/>
    <cellStyle name="Total 2 4" xfId="69" xr:uid="{00000000-0005-0000-0000-000031020000}"/>
    <cellStyle name="Total 2 4 2" xfId="194" xr:uid="{00000000-0005-0000-0000-000032020000}"/>
    <cellStyle name="Total 2 4 2 2" xfId="465" xr:uid="{00000000-0005-0000-0000-000033020000}"/>
    <cellStyle name="Total 2 4 3" xfId="341" xr:uid="{00000000-0005-0000-0000-000034020000}"/>
    <cellStyle name="Total 2 5" xfId="74" xr:uid="{00000000-0005-0000-0000-000035020000}"/>
    <cellStyle name="Total 2 5 2" xfId="199" xr:uid="{00000000-0005-0000-0000-000036020000}"/>
    <cellStyle name="Total 2 5 2 2" xfId="470" xr:uid="{00000000-0005-0000-0000-000037020000}"/>
    <cellStyle name="Total 2 5 3" xfId="346" xr:uid="{00000000-0005-0000-0000-000038020000}"/>
    <cellStyle name="Total 2 6" xfId="82" xr:uid="{00000000-0005-0000-0000-000039020000}"/>
    <cellStyle name="Total 2 6 2" xfId="207" xr:uid="{00000000-0005-0000-0000-00003A020000}"/>
    <cellStyle name="Total 2 6 2 2" xfId="478" xr:uid="{00000000-0005-0000-0000-00003B020000}"/>
    <cellStyle name="Total 2 6 3" xfId="354" xr:uid="{00000000-0005-0000-0000-00003C020000}"/>
    <cellStyle name="Total 2 7" xfId="86" xr:uid="{00000000-0005-0000-0000-00003D020000}"/>
    <cellStyle name="Total 2 7 2" xfId="211" xr:uid="{00000000-0005-0000-0000-00003E020000}"/>
    <cellStyle name="Total 2 7 2 2" xfId="482" xr:uid="{00000000-0005-0000-0000-00003F020000}"/>
    <cellStyle name="Total 2 7 3" xfId="358" xr:uid="{00000000-0005-0000-0000-000040020000}"/>
    <cellStyle name="Total 2 8" xfId="91" xr:uid="{00000000-0005-0000-0000-000041020000}"/>
    <cellStyle name="Total 2 8 2" xfId="216" xr:uid="{00000000-0005-0000-0000-000042020000}"/>
    <cellStyle name="Total 2 8 2 2" xfId="487" xr:uid="{00000000-0005-0000-0000-000043020000}"/>
    <cellStyle name="Total 2 8 3" xfId="363" xr:uid="{00000000-0005-0000-0000-000044020000}"/>
    <cellStyle name="Total 2 9" xfId="96" xr:uid="{00000000-0005-0000-0000-000045020000}"/>
    <cellStyle name="Total 2 9 2" xfId="221" xr:uid="{00000000-0005-0000-0000-000046020000}"/>
    <cellStyle name="Total 2 9 2 2" xfId="492" xr:uid="{00000000-0005-0000-0000-000047020000}"/>
    <cellStyle name="Total 2 9 3" xfId="368" xr:uid="{00000000-0005-0000-0000-000048020000}"/>
    <cellStyle name="Warning Text 2" xfId="47" xr:uid="{00000000-0005-0000-0000-000049020000}"/>
  </cellStyles>
  <dxfs count="15">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CCFFCC"/>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revisionHeaders" Target="revisions/revisionHeaders.xml"/><Relationship Id="rId20" Type="http://schemas.openxmlformats.org/officeDocument/2006/relationships/worksheet" Target="worksheets/sheet20.xml"/><Relationship Id="rId41" Type="http://schemas.openxmlformats.org/officeDocument/2006/relationships/sharedStrings" Target="sharedString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1453D61-0BC8-4E32-AED5-A99A256EB944}">
  <header guid="{A1453D61-0BC8-4E32-AED5-A99A256EB944}" dateTime="2024-02-07T09:23:58" maxSheetId="39" userName="Nelson,Rose M (HHSC)" r:id="rId1">
    <sheetIdMap count="3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A1453D61-0BC8-4E32-AED5-A99A256EB944}" name="Nelson,Rose M (HHSC)" id="-2123095926" dateTime="2024-02-07T09:23:58"/>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CW535"/>
  <sheetViews>
    <sheetView zoomScale="95" zoomScaleNormal="95" workbookViewId="0">
      <selection activeCell="E4" sqref="E4"/>
    </sheetView>
  </sheetViews>
  <sheetFormatPr defaultColWidth="9.08984375" defaultRowHeight="12.5"/>
  <cols>
    <col min="1" max="1" width="28.453125" style="2" bestFit="1" customWidth="1"/>
    <col min="2" max="2" width="19" style="2" bestFit="1" customWidth="1"/>
    <col min="3" max="3" width="19.08984375" style="2" bestFit="1" customWidth="1"/>
    <col min="4" max="4" width="22" style="2" bestFit="1" customWidth="1"/>
    <col min="5" max="5" width="22.08984375" style="2" bestFit="1" customWidth="1"/>
    <col min="6" max="6" width="21.6328125" style="2" bestFit="1" customWidth="1"/>
    <col min="7" max="7" width="18.453125" style="2" bestFit="1" customWidth="1"/>
    <col min="8" max="8" width="20.36328125" style="2" bestFit="1" customWidth="1"/>
    <col min="9" max="9" width="18.453125" style="2" bestFit="1" customWidth="1"/>
    <col min="10" max="10" width="22" style="2" bestFit="1" customWidth="1"/>
    <col min="11" max="11" width="22.08984375" style="2" bestFit="1" customWidth="1"/>
    <col min="12" max="12" width="18.08984375" style="2" bestFit="1" customWidth="1"/>
    <col min="13" max="13" width="19.90625" style="2" bestFit="1" customWidth="1"/>
    <col min="14" max="15" width="20.54296875" style="2" bestFit="1" customWidth="1"/>
    <col min="16" max="16" width="17.6328125" style="2" bestFit="1" customWidth="1"/>
    <col min="17" max="17" width="19.54296875" style="2" bestFit="1" customWidth="1"/>
    <col min="18" max="18" width="25.54296875" style="2" bestFit="1" customWidth="1"/>
    <col min="19" max="19" width="16" style="2" bestFit="1" customWidth="1"/>
    <col min="20" max="20" width="28.54296875" style="2" bestFit="1" customWidth="1"/>
    <col min="21" max="21" width="29.54296875" style="2" bestFit="1" customWidth="1"/>
    <col min="22" max="22" width="24.90625" style="2" bestFit="1" customWidth="1"/>
    <col min="23" max="23" width="17" style="2" bestFit="1" customWidth="1"/>
    <col min="24" max="24" width="20.6328125" style="2" bestFit="1" customWidth="1"/>
    <col min="25" max="25" width="20.36328125" style="2" bestFit="1" customWidth="1"/>
    <col min="26" max="26" width="12.90625" style="2" bestFit="1" customWidth="1"/>
    <col min="27" max="27" width="13.453125" style="2" bestFit="1" customWidth="1"/>
    <col min="28" max="28" width="16" style="2" bestFit="1" customWidth="1"/>
    <col min="29" max="29" width="13.08984375" style="2" bestFit="1" customWidth="1"/>
    <col min="30" max="30" width="16" style="2" bestFit="1" customWidth="1"/>
    <col min="31" max="31" width="13.08984375" style="2" bestFit="1" customWidth="1"/>
    <col min="32" max="32" width="12.08984375" style="2" bestFit="1" customWidth="1"/>
    <col min="33" max="33" width="12.90625" style="2" bestFit="1" customWidth="1"/>
    <col min="34" max="34" width="14.6328125" style="2" bestFit="1" customWidth="1"/>
    <col min="35" max="35" width="12.6328125" style="2" bestFit="1" customWidth="1"/>
    <col min="36" max="36" width="11.6328125" style="2" bestFit="1" customWidth="1"/>
    <col min="37" max="37" width="18.54296875" style="2" bestFit="1" customWidth="1"/>
    <col min="38" max="38" width="19.453125" style="2" bestFit="1" customWidth="1"/>
    <col min="39" max="39" width="18.36328125" style="2" bestFit="1" customWidth="1"/>
    <col min="40" max="40" width="18.54296875" style="2" bestFit="1" customWidth="1"/>
    <col min="41" max="41" width="19.453125" style="2" bestFit="1" customWidth="1"/>
    <col min="42" max="42" width="18.36328125" style="2" bestFit="1" customWidth="1"/>
    <col min="43" max="43" width="14.6328125" style="2" bestFit="1" customWidth="1"/>
    <col min="44" max="44" width="11.6328125" style="2" bestFit="1" customWidth="1"/>
    <col min="45" max="45" width="17" style="2" bestFit="1" customWidth="1"/>
    <col min="46" max="46" width="16" style="2" bestFit="1" customWidth="1"/>
    <col min="47" max="47" width="18.54296875" style="2" bestFit="1" customWidth="1"/>
    <col min="48" max="48" width="14.6328125" style="2" bestFit="1" customWidth="1"/>
    <col min="49" max="49" width="18.54296875" style="2" bestFit="1" customWidth="1"/>
    <col min="50" max="50" width="16.36328125" style="2" bestFit="1" customWidth="1"/>
    <col min="51" max="51" width="18.54296875" style="2" bestFit="1" customWidth="1"/>
    <col min="52" max="52" width="16.36328125" style="2" bestFit="1" customWidth="1"/>
    <col min="53" max="53" width="14.6328125" style="2" bestFit="1" customWidth="1"/>
    <col min="54" max="54" width="11.6328125" style="2" bestFit="1" customWidth="1"/>
    <col min="55" max="55" width="18.54296875" style="2" bestFit="1" customWidth="1"/>
    <col min="56" max="56" width="19.453125" style="2" bestFit="1" customWidth="1"/>
    <col min="57" max="58" width="18.54296875" style="2" bestFit="1" customWidth="1"/>
    <col min="59" max="59" width="16" style="2" customWidth="1"/>
    <col min="60" max="60" width="14.08984375" style="2" bestFit="1" customWidth="1"/>
    <col min="61" max="61" width="18.54296875" style="2" bestFit="1" customWidth="1"/>
    <col min="62" max="62" width="19.453125" style="2" customWidth="1"/>
    <col min="63" max="63" width="14.08984375" style="2" bestFit="1" customWidth="1"/>
    <col min="64" max="64" width="18.54296875" style="2" bestFit="1" customWidth="1"/>
    <col min="65" max="66" width="14.08984375" style="2" bestFit="1" customWidth="1"/>
    <col min="67" max="68" width="11.6328125" style="2" bestFit="1" customWidth="1"/>
    <col min="69" max="69" width="18.54296875" style="2" bestFit="1" customWidth="1"/>
    <col min="70" max="70" width="14.08984375" style="2" bestFit="1" customWidth="1"/>
    <col min="71" max="71" width="12.90625" style="2" bestFit="1" customWidth="1"/>
    <col min="72" max="72" width="18.54296875" style="2" bestFit="1" customWidth="1"/>
    <col min="73" max="73" width="14.08984375" style="2" bestFit="1" customWidth="1"/>
    <col min="74" max="74" width="12.90625" style="2" bestFit="1" customWidth="1"/>
    <col min="75" max="75" width="18.54296875" style="2" bestFit="1" customWidth="1"/>
    <col min="76" max="76" width="14.08984375" style="2" bestFit="1" customWidth="1"/>
    <col min="77" max="77" width="12.90625" style="2" bestFit="1" customWidth="1"/>
    <col min="78" max="78" width="18.54296875" style="2" bestFit="1" customWidth="1"/>
    <col min="79" max="79" width="14.08984375" style="2" bestFit="1" customWidth="1"/>
    <col min="80" max="80" width="12.90625" style="2" bestFit="1" customWidth="1"/>
    <col min="81" max="81" width="11.6328125" style="2" bestFit="1" customWidth="1"/>
    <col min="82" max="82" width="10.6328125" style="2" bestFit="1" customWidth="1"/>
    <col min="83" max="83" width="18.54296875" style="2" bestFit="1" customWidth="1"/>
    <col min="84" max="85" width="11.6328125" style="2" bestFit="1" customWidth="1"/>
    <col min="86" max="16384" width="9.08984375" style="2"/>
  </cols>
  <sheetData>
    <row r="1" spans="1:101" ht="13" thickBot="1">
      <c r="A1" s="2" t="s">
        <v>558</v>
      </c>
      <c r="D1" s="2" t="str">
        <f ca="1">CONCATENATE("V",CELL("contents", B3))</f>
        <v>V5.0.11</v>
      </c>
    </row>
    <row r="2" spans="1:101" s="5" customFormat="1">
      <c r="A2" s="100" t="s">
        <v>300</v>
      </c>
      <c r="B2" s="101" t="s">
        <v>302</v>
      </c>
      <c r="C2" s="102" t="s">
        <v>303</v>
      </c>
    </row>
    <row r="3" spans="1:101" ht="13" thickBot="1">
      <c r="A3" s="103" t="s">
        <v>301</v>
      </c>
      <c r="B3" s="104" t="s">
        <v>769</v>
      </c>
      <c r="C3" s="105">
        <f>IF(DateOfEntrance=DATE(1900,1,0), DATE(1900,1,1), DateOfEntrance)</f>
        <v>1</v>
      </c>
    </row>
    <row r="4" spans="1:101">
      <c r="A4" s="106"/>
      <c r="B4" s="106"/>
      <c r="C4" s="107"/>
    </row>
    <row r="5" spans="1:101" ht="13" thickBot="1">
      <c r="A5" s="106" t="s">
        <v>559</v>
      </c>
      <c r="B5" s="106"/>
      <c r="C5" s="107"/>
    </row>
    <row r="6" spans="1:101" s="5" customFormat="1">
      <c r="A6" s="108" t="s">
        <v>557</v>
      </c>
      <c r="B6" s="109" t="s">
        <v>312</v>
      </c>
      <c r="C6" s="110"/>
    </row>
    <row r="7" spans="1:101" ht="13" thickBot="1">
      <c r="A7" s="103" t="s">
        <v>301</v>
      </c>
      <c r="B7" s="111" t="str">
        <f>IF(ContractNumber = 0, "", ContractNumber)</f>
        <v/>
      </c>
      <c r="C7" s="107"/>
    </row>
    <row r="8" spans="1:101">
      <c r="A8" s="106"/>
      <c r="B8" s="106"/>
      <c r="C8" s="107"/>
    </row>
    <row r="9" spans="1:101" ht="13" thickBot="1">
      <c r="A9" s="2" t="s">
        <v>548</v>
      </c>
    </row>
    <row r="10" spans="1:101" s="5" customFormat="1" ht="37.5">
      <c r="A10" s="112" t="s">
        <v>304</v>
      </c>
      <c r="B10" s="113" t="s">
        <v>305</v>
      </c>
      <c r="C10" s="113" t="s">
        <v>306</v>
      </c>
      <c r="D10" s="113" t="s">
        <v>307</v>
      </c>
      <c r="E10" s="113" t="s">
        <v>308</v>
      </c>
      <c r="F10" s="113" t="s">
        <v>309</v>
      </c>
      <c r="G10" s="113" t="s">
        <v>563</v>
      </c>
      <c r="H10" s="113" t="s">
        <v>579</v>
      </c>
      <c r="I10" s="114" t="s">
        <v>606</v>
      </c>
      <c r="J10" s="114" t="s">
        <v>607</v>
      </c>
      <c r="K10" s="101" t="s">
        <v>312</v>
      </c>
      <c r="L10" s="101" t="s">
        <v>313</v>
      </c>
      <c r="M10" s="101" t="s">
        <v>692</v>
      </c>
      <c r="N10" s="101" t="s">
        <v>693</v>
      </c>
      <c r="O10" s="101" t="s">
        <v>694</v>
      </c>
      <c r="P10" s="101" t="s">
        <v>586</v>
      </c>
      <c r="Q10" s="101" t="s">
        <v>314</v>
      </c>
      <c r="R10" s="101" t="s">
        <v>316</v>
      </c>
      <c r="S10" s="101" t="s">
        <v>315</v>
      </c>
      <c r="T10" s="101" t="s">
        <v>317</v>
      </c>
      <c r="U10" s="101" t="s">
        <v>318</v>
      </c>
      <c r="V10" s="101" t="s">
        <v>319</v>
      </c>
      <c r="W10" s="101" t="s">
        <v>320</v>
      </c>
      <c r="X10" s="101" t="s">
        <v>321</v>
      </c>
      <c r="Y10" s="101" t="s">
        <v>322</v>
      </c>
      <c r="Z10" s="101" t="s">
        <v>323</v>
      </c>
      <c r="AA10" s="101" t="s">
        <v>324</v>
      </c>
      <c r="AB10" s="101" t="s">
        <v>325</v>
      </c>
      <c r="AC10" s="101" t="s">
        <v>326</v>
      </c>
      <c r="AD10" s="101" t="s">
        <v>327</v>
      </c>
      <c r="AE10" s="101" t="s">
        <v>328</v>
      </c>
      <c r="AF10" s="101" t="s">
        <v>329</v>
      </c>
      <c r="AG10" s="101" t="s">
        <v>330</v>
      </c>
      <c r="AH10" s="101" t="s">
        <v>331</v>
      </c>
      <c r="AI10" s="101" t="s">
        <v>641</v>
      </c>
      <c r="AJ10" s="101" t="s">
        <v>332</v>
      </c>
      <c r="AK10" s="101" t="s">
        <v>333</v>
      </c>
      <c r="AL10" s="101" t="s">
        <v>334</v>
      </c>
      <c r="AM10" s="101" t="s">
        <v>335</v>
      </c>
      <c r="AN10" s="101" t="s">
        <v>336</v>
      </c>
      <c r="AO10" s="101" t="s">
        <v>337</v>
      </c>
      <c r="AP10" s="101" t="s">
        <v>338</v>
      </c>
      <c r="AQ10" s="101" t="s">
        <v>339</v>
      </c>
      <c r="AR10" s="101" t="s">
        <v>340</v>
      </c>
      <c r="AS10" s="101" t="s">
        <v>642</v>
      </c>
      <c r="AT10" s="101" t="s">
        <v>643</v>
      </c>
      <c r="AU10" s="101" t="s">
        <v>644</v>
      </c>
      <c r="AV10" s="101" t="s">
        <v>341</v>
      </c>
      <c r="AW10" s="101" t="s">
        <v>342</v>
      </c>
      <c r="AX10" s="101" t="s">
        <v>527</v>
      </c>
      <c r="AY10" s="101" t="s">
        <v>343</v>
      </c>
      <c r="AZ10" s="101" t="s">
        <v>344</v>
      </c>
      <c r="BA10" s="101" t="s">
        <v>695</v>
      </c>
      <c r="BB10" s="101" t="s">
        <v>345</v>
      </c>
      <c r="BC10" s="101" t="s">
        <v>346</v>
      </c>
      <c r="BD10" s="101" t="s">
        <v>347</v>
      </c>
      <c r="BE10" s="101" t="s">
        <v>348</v>
      </c>
      <c r="BF10" s="101" t="s">
        <v>349</v>
      </c>
      <c r="BG10" s="101" t="s">
        <v>350</v>
      </c>
      <c r="BH10" s="101" t="s">
        <v>351</v>
      </c>
      <c r="BI10" s="101" t="s">
        <v>352</v>
      </c>
      <c r="BJ10" s="101" t="s">
        <v>353</v>
      </c>
      <c r="BK10" s="101" t="s">
        <v>354</v>
      </c>
      <c r="BL10" s="101" t="s">
        <v>355</v>
      </c>
      <c r="BM10" s="101" t="s">
        <v>356</v>
      </c>
      <c r="BN10" s="101" t="s">
        <v>357</v>
      </c>
      <c r="BO10" s="101" t="s">
        <v>358</v>
      </c>
      <c r="BP10" s="101" t="s">
        <v>359</v>
      </c>
      <c r="BQ10" s="101" t="s">
        <v>360</v>
      </c>
      <c r="BR10" s="101" t="s">
        <v>361</v>
      </c>
      <c r="BS10" s="101" t="s">
        <v>362</v>
      </c>
      <c r="BT10" s="101" t="s">
        <v>363</v>
      </c>
      <c r="BU10" s="101" t="s">
        <v>364</v>
      </c>
      <c r="BV10" s="101" t="s">
        <v>365</v>
      </c>
      <c r="BW10" s="101" t="s">
        <v>366</v>
      </c>
      <c r="BX10" s="101" t="s">
        <v>367</v>
      </c>
      <c r="BY10" s="101" t="s">
        <v>368</v>
      </c>
      <c r="BZ10" s="101" t="s">
        <v>369</v>
      </c>
      <c r="CA10" s="101" t="s">
        <v>370</v>
      </c>
      <c r="CB10" s="101" t="s">
        <v>371</v>
      </c>
      <c r="CC10" s="101" t="s">
        <v>372</v>
      </c>
      <c r="CD10" s="101" t="s">
        <v>373</v>
      </c>
      <c r="CE10" s="101" t="s">
        <v>374</v>
      </c>
      <c r="CF10" s="101" t="s">
        <v>375</v>
      </c>
      <c r="CG10" s="101" t="s">
        <v>376</v>
      </c>
      <c r="CH10" s="101" t="s">
        <v>377</v>
      </c>
      <c r="CI10" s="101" t="s">
        <v>696</v>
      </c>
      <c r="CJ10" s="101" t="s">
        <v>679</v>
      </c>
      <c r="CK10" s="101" t="s">
        <v>680</v>
      </c>
      <c r="CL10" s="101" t="s">
        <v>697</v>
      </c>
      <c r="CM10" s="101" t="s">
        <v>681</v>
      </c>
      <c r="CN10" s="101" t="s">
        <v>682</v>
      </c>
      <c r="CO10" s="101" t="s">
        <v>378</v>
      </c>
      <c r="CP10" s="101" t="s">
        <v>379</v>
      </c>
      <c r="CQ10" s="101" t="s">
        <v>380</v>
      </c>
      <c r="CR10" s="101" t="s">
        <v>381</v>
      </c>
      <c r="CS10" s="101" t="s">
        <v>382</v>
      </c>
      <c r="CT10" s="101"/>
      <c r="CU10" s="101"/>
      <c r="CV10" s="101"/>
      <c r="CW10" s="102"/>
    </row>
    <row r="11" spans="1:101" ht="13" thickBot="1">
      <c r="A11" s="115" t="str">
        <f>IF(NameOfLegalEntity = 0, "", NameOfLegalEntity)</f>
        <v/>
      </c>
      <c r="B11" s="116" t="str">
        <f>IF(ReviewLevel = 0, "", ReviewLevel)</f>
        <v/>
      </c>
      <c r="C11" s="116" t="str">
        <f>IF(ReviewType = 0, "", ReviewType)</f>
        <v/>
      </c>
      <c r="D11" s="116" t="str">
        <f>IF(CompletedByLastName = 0, "", CompletedByLastName)</f>
        <v/>
      </c>
      <c r="E11" s="116" t="str">
        <f>IF(CompletedByFirstName = 0, "", CompletedByFirstName)</f>
        <v/>
      </c>
      <c r="F11" s="117">
        <f>IF(DateOfEntrance=DATE(1900,1,0), DATE(1900,1,1), DateOfEntrance)</f>
        <v>1</v>
      </c>
      <c r="G11" s="117">
        <f>IF(DateofExit=DATE(1900,1,0), DATE(1900,1,1), DateofExit)</f>
        <v>1</v>
      </c>
      <c r="H11" s="117">
        <f>IF(DateOfExitRevised=DATE(1900,1,0), DATE(1900,1,1), DateOfExitRevised)</f>
        <v>1</v>
      </c>
      <c r="I11" s="167">
        <f>IF(DateOfMonitoringPeriodBegin=DATE(1900,1,0), DATE(1900,1,1), DateOfMonitoringPeriodBegin)</f>
        <v>1</v>
      </c>
      <c r="J11" s="167">
        <f>IF(DateOfMonitoringPeriodEnd=DATE(1900,1,0), DATE(1900,1,1), DateOfMonitoringPeriodEnd)</f>
        <v>1</v>
      </c>
      <c r="K11" s="104" t="str">
        <f>IF(ContractNumber = 0, "", ContractNumber)</f>
        <v/>
      </c>
      <c r="L11" s="131" t="str">
        <f>IF(Standard_I_1 = 0, "", Standard_I_1)</f>
        <v/>
      </c>
      <c r="M11" s="131" t="str">
        <f>IF(Standard_I_2a = 0, "", Standard_I_2a)</f>
        <v/>
      </c>
      <c r="N11" s="131" t="str">
        <f>IF(Standard_I_2b= 0, "", Standard_I_2b)</f>
        <v/>
      </c>
      <c r="O11" s="131" t="str">
        <f>IF(Standard_I_3a = "", "", Standard_I_3a)</f>
        <v/>
      </c>
      <c r="P11" s="131" t="str">
        <f>IF(Standard_I_3b = "", "", Standard_I_3b)</f>
        <v/>
      </c>
      <c r="Q11" s="131" t="str">
        <f>IF(Standard_I_4 = 0, "", Standard_I_4)</f>
        <v/>
      </c>
      <c r="R11" s="131" t="str">
        <f>IF(Standard_I_5 = 0, "", Standard_I_5)</f>
        <v/>
      </c>
      <c r="S11" s="131" t="str">
        <f>IF(Standard_I_6 = 0, "", Standard_I_6)</f>
        <v/>
      </c>
      <c r="T11" s="118">
        <f>Standard_I_6a</f>
        <v>0</v>
      </c>
      <c r="U11" s="118">
        <f>Standard_I_6b_Sun</f>
        <v>0</v>
      </c>
      <c r="V11" s="118">
        <f>Standard_I_6b_Mon</f>
        <v>0</v>
      </c>
      <c r="W11" s="118">
        <f>Standard_I_6b_Tue</f>
        <v>0</v>
      </c>
      <c r="X11" s="118">
        <f>Standard_I_6b_Wed</f>
        <v>0</v>
      </c>
      <c r="Y11" s="118">
        <f>Standard_I_6b_Thu</f>
        <v>0</v>
      </c>
      <c r="Z11" s="118">
        <f>Standard_I_6b_Fri</f>
        <v>0</v>
      </c>
      <c r="AA11" s="118">
        <f>Standard_I_6b_Sat</f>
        <v>0</v>
      </c>
      <c r="AB11" s="104" t="str">
        <f>IF(Standard_I_6c_Sun = 0, "", Standard_I_6c_Sun)</f>
        <v/>
      </c>
      <c r="AC11" s="104" t="str">
        <f>IF(Standard_I_6c_Mon = 0, "", Standard_I_6c_Mon)</f>
        <v/>
      </c>
      <c r="AD11" s="104" t="str">
        <f>IF(Standard_I_6c_Tue = 0, "", Standard_I_6c_Tue)</f>
        <v/>
      </c>
      <c r="AE11" s="104" t="str">
        <f>IF(Standard_I_6c_Wed = 0, "", Standard_I_6c_Wed)</f>
        <v/>
      </c>
      <c r="AF11" s="104" t="str">
        <f>IF(Standard_I_6c_Thu = 0, "", Standard_I_6c_Thu)</f>
        <v/>
      </c>
      <c r="AG11" s="104" t="str">
        <f>IF(Standard_I_6c_Fri = 0, "", Standard_I_6c_Fri)</f>
        <v/>
      </c>
      <c r="AH11" s="104" t="str">
        <f>IF(Standard_I_6c_Sat = 0, "", Standard_I_6c_Sat)</f>
        <v/>
      </c>
      <c r="AI11" s="131" t="str">
        <f>IF(Standard_I_7 = 0, "", Standard_I_7)</f>
        <v/>
      </c>
      <c r="AJ11" s="104" t="str">
        <f>IF(Standard_I_Comments = 0, "", Standard_I_Comments)</f>
        <v/>
      </c>
      <c r="AK11" s="118">
        <f>Standard_I_Total_Yes</f>
        <v>0</v>
      </c>
      <c r="AL11" s="118">
        <f>Standard_I_Total_No</f>
        <v>0</v>
      </c>
      <c r="AM11" s="104" t="str">
        <f>IF(Standard_II_1_Comments = 0, "", Standard_II_1_Comments)</f>
        <v/>
      </c>
      <c r="AN11" s="118">
        <f ca="1">Standard_II_1_Number_Yes</f>
        <v>0</v>
      </c>
      <c r="AO11" s="118">
        <f ca="1">Standard_II_1_Number_No</f>
        <v>0</v>
      </c>
      <c r="AP11" s="104" t="str">
        <f>IF(Standard_II_2_Comments = 0, "", Standard_II_2_Comments)</f>
        <v/>
      </c>
      <c r="AQ11" s="118">
        <f ca="1">Standard_II_2_Number_Yes</f>
        <v>0</v>
      </c>
      <c r="AR11" s="118">
        <f ca="1">Standard_II_2_Number_No</f>
        <v>0</v>
      </c>
      <c r="AS11" s="131" t="str">
        <f>IF(Standard_II_3_Comments = 0, "", Standard_II_3_Comments)</f>
        <v/>
      </c>
      <c r="AT11" s="131">
        <f>Standard_II_3_Number_Yes</f>
        <v>0</v>
      </c>
      <c r="AU11" s="131">
        <f>Standard_II_3_Number_No</f>
        <v>0</v>
      </c>
      <c r="AV11" s="118">
        <f ca="1">Standard_II_Total_Yes</f>
        <v>0</v>
      </c>
      <c r="AW11" s="118">
        <f ca="1">Standard_II_Total_No</f>
        <v>0</v>
      </c>
      <c r="AX11" s="118">
        <f>'Vehicle Checklist (Print)'!TotalNumVehicles</f>
        <v>0</v>
      </c>
      <c r="AY11" s="104" t="str">
        <f>IF(Standard_III_1_NotCalc = 0, "", Standard_III_1_NotCalc)</f>
        <v/>
      </c>
      <c r="AZ11" s="104" t="str">
        <f>IF(Standard_III_1_Comments = 0, "", Standard_III_1_Comments)</f>
        <v/>
      </c>
      <c r="BA11" s="131" t="str">
        <f>IF(Standard_III_1a = 0, "", Standard_III_1a)</f>
        <v/>
      </c>
      <c r="BB11" s="104" t="str">
        <f>IF(Standard_III_1 = 0, "", Standard_III_1)</f>
        <v/>
      </c>
      <c r="BC11" s="104" t="str">
        <f>IF(Standard_III_2_Comments = 0, "", Standard_III_2_Comments)</f>
        <v/>
      </c>
      <c r="BD11" s="104" t="str">
        <f>IF(Standard_III_2 = 0, "", Standard_III_2)</f>
        <v/>
      </c>
      <c r="BE11" s="104" t="str">
        <f>IF(Standard_III_3_Comments = 0, "", Standard_III_3_Comments)</f>
        <v/>
      </c>
      <c r="BF11" s="104" t="str">
        <f>IF(Standard_III_3 = 0, "", Standard_III_3)</f>
        <v/>
      </c>
      <c r="BG11" s="118">
        <f>Standard_III_Total_Yes</f>
        <v>0</v>
      </c>
      <c r="BH11" s="118">
        <f>Standard_III_Total_No</f>
        <v>0</v>
      </c>
      <c r="BI11" s="104" t="str">
        <f>IF(Standard_IV_1_Comments = 0, "", Standard_IV_1_Comments)</f>
        <v/>
      </c>
      <c r="BJ11" s="118">
        <f ca="1">Standard_IV_1_Number_Yes</f>
        <v>0</v>
      </c>
      <c r="BK11" s="118">
        <f ca="1">Standard_IV_1_Number_No</f>
        <v>0</v>
      </c>
      <c r="BL11" s="104" t="str">
        <f>IF(Standard_IV_2_Comments = 0, "", Standard_IV_2_Comments)</f>
        <v/>
      </c>
      <c r="BM11" s="118">
        <f ca="1">Standard_IV_2_Number_Yes</f>
        <v>0</v>
      </c>
      <c r="BN11" s="118">
        <f ca="1">Standard_IV_2_Number_No</f>
        <v>0</v>
      </c>
      <c r="BO11" s="104" t="str">
        <f>IF(Standard_IV_3_Comments = 0, "", Standard_IV_3_Comments)</f>
        <v/>
      </c>
      <c r="BP11" s="118">
        <f ca="1">Standard_IV_3_Number_Yes</f>
        <v>0</v>
      </c>
      <c r="BQ11" s="118">
        <f ca="1">Standard_IV_3_Number_No</f>
        <v>0</v>
      </c>
      <c r="BR11" s="104" t="str">
        <f>IF(Standard_IV_4_Comments = 0, "", Standard_IV_4_Comments)</f>
        <v/>
      </c>
      <c r="BS11" s="118">
        <f ca="1">Standard_IV_4_Number_Yes</f>
        <v>0</v>
      </c>
      <c r="BT11" s="118">
        <f ca="1">Standard_IV_4_Number_No</f>
        <v>0</v>
      </c>
      <c r="BU11" s="118">
        <f ca="1">Standard_IV_Total_Yes</f>
        <v>0</v>
      </c>
      <c r="BV11" s="118">
        <f ca="1">Standard_IV_Total_No</f>
        <v>0</v>
      </c>
      <c r="BW11" s="104" t="str">
        <f>IF(Standard_V_1_Comments = 0, "", Standard_V_1_Comments)</f>
        <v/>
      </c>
      <c r="BX11" s="118">
        <f ca="1">Standard_V_1_Number_Yes</f>
        <v>0</v>
      </c>
      <c r="BY11" s="118">
        <f ca="1">Standard_V_1_Number_No</f>
        <v>0</v>
      </c>
      <c r="BZ11" s="104" t="str">
        <f>IF(Standard_V_2_Comments = 0, "", Standard_V_2_Comments)</f>
        <v/>
      </c>
      <c r="CA11" s="118">
        <f ca="1">Standard_V_2_Number_Yes</f>
        <v>0</v>
      </c>
      <c r="CB11" s="118">
        <f ca="1">Standard_V_2_Number_No</f>
        <v>0</v>
      </c>
      <c r="CC11" s="104" t="str">
        <f>IF(Standard_V_3_Comments = 0, "", Standard_V_3_Comments)</f>
        <v/>
      </c>
      <c r="CD11" s="118">
        <f ca="1">Standard_V_3_Number_Yes</f>
        <v>0</v>
      </c>
      <c r="CE11" s="118">
        <f ca="1">Standard_V_3_Number_No</f>
        <v>0</v>
      </c>
      <c r="CF11" s="104" t="str">
        <f>IF(Standard_V_4_Comments = 0, "", Standard_V_4_Comments)</f>
        <v/>
      </c>
      <c r="CG11" s="118">
        <f ca="1">Standard_V_4_Number_Yes</f>
        <v>0</v>
      </c>
      <c r="CH11" s="118">
        <f ca="1">Standard_V_4_Number_No</f>
        <v>0</v>
      </c>
      <c r="CI11" s="131" t="str">
        <f>IF(Standard_V_5_Comments = 0, "", Standard_V_5_Comments)</f>
        <v/>
      </c>
      <c r="CJ11" s="118">
        <f ca="1">Standard_V_5_Number_Yes</f>
        <v>0</v>
      </c>
      <c r="CK11" s="118">
        <f ca="1">Standard_V_5_Number_No</f>
        <v>0</v>
      </c>
      <c r="CL11" s="131" t="str">
        <f>IF(Standard_V_6_Comments = 0, "", Standard_V_6_Comments)</f>
        <v/>
      </c>
      <c r="CM11" s="118">
        <f ca="1">Standard_V_6_Number_Yes</f>
        <v>0</v>
      </c>
      <c r="CN11" s="118">
        <f ca="1">Standard_V_6_Number_No</f>
        <v>0</v>
      </c>
      <c r="CO11" s="118">
        <f ca="1">Standard_V_Total_Yes</f>
        <v>0</v>
      </c>
      <c r="CP11" s="118">
        <f ca="1">Standard_V_Total_No</f>
        <v>0</v>
      </c>
      <c r="CQ11" s="104" t="str">
        <f>IF(Standard_VI_1_Comments = 0, "", Standard_VI_1_Comments)</f>
        <v/>
      </c>
      <c r="CR11" s="118">
        <f ca="1">Standard_VI_Total_Yes</f>
        <v>0</v>
      </c>
      <c r="CS11" s="118">
        <f ca="1">Standard_VI_Total_No</f>
        <v>0</v>
      </c>
      <c r="CT11" s="104"/>
      <c r="CU11" s="104"/>
      <c r="CV11" s="118"/>
      <c r="CW11" s="119"/>
    </row>
    <row r="13" spans="1:101" ht="13" thickBot="1">
      <c r="A13" s="2" t="s">
        <v>549</v>
      </c>
    </row>
    <row r="14" spans="1:101" s="5" customFormat="1">
      <c r="A14" s="101" t="s">
        <v>383</v>
      </c>
      <c r="B14" s="101" t="s">
        <v>384</v>
      </c>
      <c r="C14" s="101" t="s">
        <v>385</v>
      </c>
      <c r="D14" s="102" t="s">
        <v>386</v>
      </c>
      <c r="F14" s="2"/>
    </row>
    <row r="15" spans="1:101">
      <c r="A15" s="106" t="str">
        <f ca="1">IF(OFFSET(Standard_III_2_Drivers, 0, 0, 1, 1) = 0, "", OFFSET(Standard_III_2_Drivers, 0, 0, 1, 1))</f>
        <v/>
      </c>
      <c r="B15" s="106" t="str">
        <f ca="1">IF(OFFSET(Standard_III_2_Drivers, 0, 3, 1, 1) = 0, "", OFFSET(Standard_III_2_Drivers, 0, 3, 1, 1))</f>
        <v/>
      </c>
      <c r="C15" s="106" t="str">
        <f ca="1">IF(OFFSET(Standard_III_2_Drivers, 0, 6, 1, 1) = 0, "", OFFSET(Standard_III_2_Drivers, 0, 6, 1, 1))</f>
        <v/>
      </c>
      <c r="D15" s="120" t="str">
        <f ca="1">IF(OFFSET(Standard_III_2_Drivers, 0, 8, 1, 1) = 0, "", OFFSET(Standard_III_2_Drivers, 0, 8, 1, 1))</f>
        <v/>
      </c>
    </row>
    <row r="16" spans="1:101">
      <c r="A16" s="106" t="str">
        <f ca="1">IF(OFFSET(Standard_III_2_Drivers, 1, 0, 1, 1) = 0, "", OFFSET(Standard_III_2_Drivers, 1, 0, 1, 1))</f>
        <v/>
      </c>
      <c r="B16" s="106" t="str">
        <f ca="1">IF(OFFSET(Standard_III_2_Drivers, 1, 3, 1, 1) = 0, "", OFFSET(Standard_III_2_Drivers, 1, 3, 1, 1))</f>
        <v/>
      </c>
      <c r="C16" s="106" t="str">
        <f ca="1">IF(OFFSET(Standard_III_2_Drivers, 1, 6, 1, 1) = 0, "", OFFSET(Standard_III_2_Drivers, 1, 6, 1, 1))</f>
        <v/>
      </c>
      <c r="D16" s="120" t="str">
        <f ca="1">IF(OFFSET(Standard_III_2_Drivers, 1, 8, 1, 1) = 0, "", OFFSET(Standard_III_2_Drivers, 1, 8, 1, 1))</f>
        <v/>
      </c>
    </row>
    <row r="17" spans="1:24">
      <c r="A17" s="106" t="str">
        <f ca="1">IF(OFFSET(Standard_III_2_Drivers, 2, 0, 1, 1) = 0, "", OFFSET(Standard_III_2_Drivers, 2, 0, 1, 1))</f>
        <v/>
      </c>
      <c r="B17" s="106" t="str">
        <f ca="1">IF(OFFSET(Standard_III_2_Drivers, 2, 3, 1, 1) = 0, "", OFFSET(Standard_III_2_Drivers, 2, 3, 1, 1))</f>
        <v/>
      </c>
      <c r="C17" s="106" t="str">
        <f ca="1">IF(OFFSET(Standard_III_2_Drivers, 2, 6, 1, 1) = 0, "", OFFSET(Standard_III_2_Drivers, 2, 6, 1, 1))</f>
        <v/>
      </c>
      <c r="D17" s="120" t="str">
        <f ca="1">IF(OFFSET(Standard_III_2_Drivers, 2, 8, 1, 1) = 0, "", OFFSET(Standard_III_2_Drivers, 2, 8, 1, 1))</f>
        <v/>
      </c>
    </row>
    <row r="18" spans="1:24">
      <c r="A18" s="106" t="str">
        <f ca="1">IF(OFFSET(Standard_III_2_Drivers, 3, 0, 1, 1) = 0, "", OFFSET(Standard_III_2_Drivers, 3, 0, 1, 1))</f>
        <v/>
      </c>
      <c r="B18" s="106" t="str">
        <f ca="1">IF(OFFSET(Standard_III_2_Drivers, 3, 3, 1, 1) = 0, "", OFFSET(Standard_III_2_Drivers, 3, 3, 1, 1))</f>
        <v/>
      </c>
      <c r="C18" s="106" t="str">
        <f ca="1">IF(OFFSET(Standard_III_2_Drivers, 3, 6, 1, 1) = 0, "", OFFSET(Standard_III_2_Drivers, 3, 6, 1, 1))</f>
        <v/>
      </c>
      <c r="D18" s="120" t="str">
        <f ca="1">IF(OFFSET(Standard_III_2_Drivers, 3, 8, 1, 1) = 0, "", OFFSET(Standard_III_2_Drivers, 3, 8, 1, 1))</f>
        <v/>
      </c>
    </row>
    <row r="19" spans="1:24">
      <c r="A19" s="106" t="str">
        <f ca="1">IF(OFFSET(Standard_III_2_Drivers, 4, 0, 1, 1) = 0, "", OFFSET(Standard_III_2_Drivers, 4, 0, 1, 1))</f>
        <v/>
      </c>
      <c r="B19" s="106" t="str">
        <f ca="1">IF(OFFSET(Standard_III_2_Drivers, 4, 3, 1, 1) = 0, "", OFFSET(Standard_III_2_Drivers, 4, 3, 1, 1))</f>
        <v/>
      </c>
      <c r="C19" s="106" t="str">
        <f ca="1">IF(OFFSET(Standard_III_2_Drivers, 4, 6, 1, 1) = 0, "", OFFSET(Standard_III_2_Drivers, 4, 6, 1, 1))</f>
        <v/>
      </c>
      <c r="D19" s="120" t="str">
        <f ca="1">IF(OFFSET(Standard_III_2_Drivers, 4, 8, 1, 1) = 0, "", OFFSET(Standard_III_2_Drivers, 4, 8, 1, 1))</f>
        <v/>
      </c>
    </row>
    <row r="20" spans="1:24">
      <c r="A20" s="106" t="str">
        <f ca="1">IF(OFFSET(Standard_III_2_Drivers, 5, 0, 1, 1) = 0, "", OFFSET(Standard_III_2_Drivers, 5, 0, 1, 1))</f>
        <v/>
      </c>
      <c r="B20" s="106" t="str">
        <f ca="1">IF(OFFSET(Standard_III_2_Drivers, 5, 3, 1, 1) = 0, "", OFFSET(Standard_III_2_Drivers, 5, 3, 1, 1))</f>
        <v/>
      </c>
      <c r="C20" s="106" t="str">
        <f ca="1">IF(OFFSET(Standard_III_2_Drivers, 5, 6, 1, 1) = 0, "", OFFSET(Standard_III_2_Drivers, 5, 6, 1, 1))</f>
        <v/>
      </c>
      <c r="D20" s="120" t="str">
        <f ca="1">IF(OFFSET(Standard_III_2_Drivers, 5, 8, 1, 1) = 0, "", OFFSET(Standard_III_2_Drivers, 5, 8, 1, 1))</f>
        <v/>
      </c>
    </row>
    <row r="21" spans="1:24">
      <c r="A21" s="106" t="str">
        <f ca="1">IF(OFFSET(Standard_III_2_Drivers, 6, 0, 1, 1) = 0, "", OFFSET(Standard_III_2_Drivers, 6, 0, 1, 1))</f>
        <v/>
      </c>
      <c r="B21" s="106" t="str">
        <f ca="1">IF(OFFSET(Standard_III_2_Drivers, 6, 3, 1, 1) = 0, "", OFFSET(Standard_III_2_Drivers, 6, 3, 1, 1))</f>
        <v/>
      </c>
      <c r="C21" s="106" t="str">
        <f ca="1">IF(OFFSET(Standard_III_2_Drivers, 6, 6, 1, 1) = 0, "", OFFSET(Standard_III_2_Drivers, 6, 6, 1, 1))</f>
        <v/>
      </c>
      <c r="D21" s="120" t="str">
        <f ca="1">IF(OFFSET(Standard_III_2_Drivers, 6, 8, 1, 1) = 0, "", OFFSET(Standard_III_2_Drivers, 6, 8, 1, 1))</f>
        <v/>
      </c>
    </row>
    <row r="22" spans="1:24">
      <c r="A22" s="106" t="str">
        <f ca="1">IF(OFFSET(Standard_III_2_Drivers, 7, 0, 1, 1) = 0, "", OFFSET(Standard_III_2_Drivers, 7, 0, 1, 1))</f>
        <v/>
      </c>
      <c r="B22" s="106" t="str">
        <f ca="1">IF(OFFSET(Standard_III_2_Drivers, 7, 3, 1, 1) = 0, "", OFFSET(Standard_III_2_Drivers, 7, 3, 1, 1))</f>
        <v/>
      </c>
      <c r="C22" s="106" t="str">
        <f ca="1">IF(OFFSET(Standard_III_2_Drivers, 7, 6, 1, 1) = 0, "", OFFSET(Standard_III_2_Drivers, 7, 6, 1, 1))</f>
        <v/>
      </c>
      <c r="D22" s="120" t="str">
        <f ca="1">IF(OFFSET(Standard_III_2_Drivers, 7, 8, 1, 1) = 0, "", OFFSET(Standard_III_2_Drivers, 7, 8, 1, 1))</f>
        <v/>
      </c>
    </row>
    <row r="23" spans="1:24">
      <c r="A23" s="106" t="str">
        <f ca="1">IF(OFFSET(Standard_III_2_Drivers, 8, 0, 1, 1) = 0, "", OFFSET(Standard_III_2_Drivers, 8, 0, 1, 1))</f>
        <v/>
      </c>
      <c r="B23" s="106" t="str">
        <f ca="1">IF(OFFSET(Standard_III_2_Drivers, 8, 3, 1, 1) = 0, "", OFFSET(Standard_III_2_Drivers, 8, 3, 1, 1))</f>
        <v/>
      </c>
      <c r="C23" s="106" t="str">
        <f ca="1">IF(OFFSET(Standard_III_2_Drivers, 8, 6, 1, 1) = 0, "", OFFSET(Standard_III_2_Drivers, 8, 6, 1, 1))</f>
        <v/>
      </c>
      <c r="D23" s="120" t="str">
        <f ca="1">IF(OFFSET(Standard_III_2_Drivers, 8, 8, 1, 1) = 0, "", OFFSET(Standard_III_2_Drivers, 8, 8, 1, 1))</f>
        <v/>
      </c>
    </row>
    <row r="24" spans="1:24" ht="13" thickBot="1">
      <c r="A24" s="104" t="str">
        <f ca="1">IF(OFFSET(Standard_III_2_Drivers, 9, 0, 1, 1) = 0, "", OFFSET(Standard_III_2_Drivers, 9, 0, 1, 1))</f>
        <v/>
      </c>
      <c r="B24" s="104" t="str">
        <f ca="1">IF(OFFSET(Standard_III_2_Drivers, 9, 3, 1, 1) = 0, "", OFFSET(Standard_III_2_Drivers, 9, 3, 1, 1))</f>
        <v/>
      </c>
      <c r="C24" s="104" t="str">
        <f ca="1">IF(OFFSET(Standard_III_2_Drivers, 9, 6, 1, 1) = 0, "", OFFSET(Standard_III_2_Drivers, 9, 6, 1, 1))</f>
        <v/>
      </c>
      <c r="D24" s="111" t="str">
        <f ca="1">IF(OFFSET(Standard_III_2_Drivers, 9, 8, 1, 1) = 0, "", OFFSET(Standard_III_2_Drivers, 9, 8, 1, 1))</f>
        <v/>
      </c>
    </row>
    <row r="26" spans="1:24" ht="13" thickBot="1">
      <c r="A26" s="2" t="s">
        <v>562</v>
      </c>
    </row>
    <row r="27" spans="1:24" s="5" customFormat="1">
      <c r="A27" s="100" t="s">
        <v>387</v>
      </c>
      <c r="B27" s="101" t="s">
        <v>388</v>
      </c>
      <c r="C27" s="101" t="s">
        <v>389</v>
      </c>
      <c r="D27" s="101" t="s">
        <v>390</v>
      </c>
      <c r="E27" s="101" t="s">
        <v>391</v>
      </c>
      <c r="F27" s="101" t="s">
        <v>392</v>
      </c>
      <c r="G27" s="101" t="s">
        <v>393</v>
      </c>
      <c r="H27" s="101" t="s">
        <v>394</v>
      </c>
      <c r="I27" s="101" t="s">
        <v>395</v>
      </c>
      <c r="J27" s="101" t="s">
        <v>396</v>
      </c>
      <c r="K27" s="101" t="s">
        <v>397</v>
      </c>
      <c r="L27" s="102" t="s">
        <v>398</v>
      </c>
    </row>
    <row r="28" spans="1:24" ht="13" thickBot="1">
      <c r="A28" s="121">
        <f>IF('Compliance Summary (Print)'!Standard_I_Score = "", MINVALDBL, 'Compliance Summary (Print)'!Standard_I_Score)</f>
        <v>-99999.99</v>
      </c>
      <c r="B28" s="122">
        <f ca="1">IF('Compliance Summary (Print)'!Standard_II_Score = "", MINVALDBL, 'Compliance Summary (Print)'!Standard_II_Score)</f>
        <v>-99999.99</v>
      </c>
      <c r="C28" s="122">
        <f>IF('Compliance Summary (Print)'!Standard_III_Score = "", MINVALDBL, 'Compliance Summary (Print)'!Standard_III_Score)</f>
        <v>-99999.99</v>
      </c>
      <c r="D28" s="122">
        <f ca="1">IF('Compliance Summary (Print)'!Standard_IV_Score = "", MINVALDBL, 'Compliance Summary (Print)'!Standard_IV_Score)</f>
        <v>-99999.99</v>
      </c>
      <c r="E28" s="122">
        <f ca="1">IF('Compliance Summary (Print)'!Standard_V_Score = "", MINVALDBL, 'Compliance Summary (Print)'!Standard_V_Score)</f>
        <v>-99999.99</v>
      </c>
      <c r="F28" s="122">
        <f ca="1">IF('Compliance Summary (Print)'!Standard_VI_Score = "", MINVALDBL, 'Compliance Summary (Print)'!Standard_VI_Score)</f>
        <v>-99999.99</v>
      </c>
      <c r="G28" s="118">
        <f ca="1">'Compliance Summary (Print)'!Overall_Total_Yes</f>
        <v>0</v>
      </c>
      <c r="H28" s="118">
        <f ca="1">'Compliance Summary (Print)'!Overall_Total_No</f>
        <v>0</v>
      </c>
      <c r="I28" s="118">
        <f ca="1">'Compliance Summary (Print)'!Overall_Total</f>
        <v>0</v>
      </c>
      <c r="J28" s="122">
        <f>IF('Compliance Summary (Print)'!Overall_Score = "", MINVALDBL, 'Compliance Summary (Print)'!Overall_Score)</f>
        <v>-99999.99</v>
      </c>
      <c r="K28" s="123">
        <f>'Demand for Pmt. (Print)'!Total_Financial_Errors</f>
        <v>0</v>
      </c>
      <c r="L28" s="124" t="e">
        <f>'Demand for Pmt. (Print)'!Total_Admin_Errors</f>
        <v>#REF!</v>
      </c>
    </row>
    <row r="30" spans="1:24" ht="13" thickBot="1">
      <c r="A30" s="2" t="s">
        <v>550</v>
      </c>
    </row>
    <row r="31" spans="1:24" s="5" customFormat="1">
      <c r="A31" s="100" t="s">
        <v>401</v>
      </c>
      <c r="B31" s="101" t="s">
        <v>402</v>
      </c>
      <c r="C31" s="101" t="s">
        <v>403</v>
      </c>
      <c r="D31" s="101" t="s">
        <v>404</v>
      </c>
      <c r="E31" s="101" t="s">
        <v>406</v>
      </c>
      <c r="F31" s="101" t="s">
        <v>405</v>
      </c>
      <c r="G31" s="101" t="s">
        <v>407</v>
      </c>
      <c r="H31" s="101" t="s">
        <v>408</v>
      </c>
      <c r="I31" s="101" t="s">
        <v>409</v>
      </c>
      <c r="J31" s="101" t="s">
        <v>410</v>
      </c>
      <c r="K31" s="101" t="s">
        <v>411</v>
      </c>
      <c r="L31" s="101" t="s">
        <v>412</v>
      </c>
      <c r="M31" s="101" t="s">
        <v>413</v>
      </c>
      <c r="N31" s="101" t="s">
        <v>414</v>
      </c>
      <c r="O31" s="101" t="s">
        <v>415</v>
      </c>
      <c r="P31" s="101" t="s">
        <v>416</v>
      </c>
      <c r="Q31" s="101" t="s">
        <v>417</v>
      </c>
      <c r="R31" s="101" t="s">
        <v>418</v>
      </c>
      <c r="S31" s="101" t="s">
        <v>419</v>
      </c>
      <c r="T31" s="101" t="s">
        <v>420</v>
      </c>
      <c r="U31" s="101" t="s">
        <v>421</v>
      </c>
      <c r="V31" s="101" t="s">
        <v>422</v>
      </c>
      <c r="W31" s="101" t="s">
        <v>423</v>
      </c>
      <c r="X31" s="102" t="s">
        <v>424</v>
      </c>
    </row>
    <row r="32" spans="1:24">
      <c r="A32" s="125" t="s">
        <v>45</v>
      </c>
      <c r="B32" s="106" t="str">
        <f ca="1">IF(OFFSET('Vehicle Checklist (Print)'!VehicleInfo, 0, 0, 1, 1) = 0, "", OFFSET('Vehicle Checklist (Print)'!VehicleInfo, 0, 0, 1, 1))</f>
        <v/>
      </c>
      <c r="C32" s="106" t="str">
        <f ca="1">IF(OFFSET('Vehicle Checklist (Print)'!VehicleInfo, 2, 0, 1, 1) = 0, "", OFFSET('Vehicle Checklist (Print)'!VehicleInfo, 2, 0, 1, 1))</f>
        <v/>
      </c>
      <c r="D32" s="106" t="str">
        <f ca="1">IF(OFFSET('Vehicle Checklist (Print)'!VehicleInfo, 9, 0, 1, 1) = 0, "", OFFSET('Vehicle Checklist (Print)'!VehicleInfo, 9, 0, 1, 1))</f>
        <v/>
      </c>
      <c r="E32" s="106" t="str">
        <f ca="1">IF(OFFSET('Vehicle Checklist (Print)'!VehicleInfo, 9, 1, 1, 1) = 0, "", OFFSET('Vehicle Checklist (Print)'!VehicleInfo, 9, 1, 1, 1))</f>
        <v/>
      </c>
      <c r="F32" s="106" t="str">
        <f ca="1">IF(OFFSET('Vehicle Checklist (Print)'!VehicleInfo, 10, 0, 1, 1) = 0, "", OFFSET('Vehicle Checklist (Print)'!VehicleInfo, 10, 0, 1, 1))</f>
        <v/>
      </c>
      <c r="G32" s="106" t="str">
        <f ca="1">IF(OFFSET('Vehicle Checklist (Print)'!VehicleInfo, 10, 1, 1, 1) = 0, "", OFFSET('Vehicle Checklist (Print)'!VehicleInfo, 10, 1, 1, 1))</f>
        <v/>
      </c>
      <c r="H32" s="106" t="str">
        <f ca="1">IF(OFFSET('Vehicle Checklist (Print)'!VehicleInfo, 11, 0, 1, 1) = 0, "", OFFSET('Vehicle Checklist (Print)'!VehicleInfo, 11, 0, 1, 1))</f>
        <v/>
      </c>
      <c r="I32" s="106" t="str">
        <f ca="1">IF(OFFSET('Vehicle Checklist (Print)'!VehicleInfo, 11, 1, 1, 1) = 0, "", OFFSET('Vehicle Checklist (Print)'!VehicleInfo, 11, 1, 1, 1))</f>
        <v/>
      </c>
      <c r="J32" s="106" t="str">
        <f ca="1">IF(OFFSET('Vehicle Checklist (Print)'!VehicleInfo, 12, 0, 1, 1) = 0, "", OFFSET('Vehicle Checklist (Print)'!VehicleInfo, 12, 0, 1, 1))</f>
        <v/>
      </c>
      <c r="K32" s="106" t="str">
        <f ca="1">IF(OFFSET('Vehicle Checklist (Print)'!VehicleInfo, 13, 0, 1, 1) = 0, "", OFFSET('Vehicle Checklist (Print)'!VehicleInfo, 13, 0, 1, 1))</f>
        <v/>
      </c>
      <c r="L32" s="106" t="str">
        <f ca="1">IF(OFFSET('Vehicle Checklist (Print)'!VehicleInfo, 13, 1, 1, 1) = 0, "", OFFSET('Vehicle Checklist (Print)'!VehicleInfo, 13, 1, 1, 1))</f>
        <v/>
      </c>
      <c r="M32" s="106" t="str">
        <f ca="1">IF(OFFSET('Vehicle Checklist (Print)'!VehicleInfo, 14, 0, 1, 1) = 0, "", OFFSET('Vehicle Checklist (Print)'!VehicleInfo, 14, 0, 1, 1))</f>
        <v/>
      </c>
      <c r="N32" s="106" t="str">
        <f ca="1">IF(OFFSET('Vehicle Checklist (Print)'!VehicleInfo, 14, 1, 1, 1) = 0, "", OFFSET('Vehicle Checklist (Print)'!VehicleInfo, 14, 1, 1, 1))</f>
        <v/>
      </c>
      <c r="O32" s="106" t="str">
        <f ca="1">IF(OFFSET('Vehicle Checklist (Print)'!VehicleInfo, 15, 0, 1, 1) = 0, "", OFFSET('Vehicle Checklist (Print)'!VehicleInfo, 15, 0, 1, 1))</f>
        <v/>
      </c>
      <c r="P32" s="106" t="str">
        <f ca="1">IF(OFFSET('Vehicle Checklist (Print)'!VehicleInfo, 15, 1, 1, 1) = 0, "", OFFSET('Vehicle Checklist (Print)'!VehicleInfo, 15, 1, 1, 1))</f>
        <v/>
      </c>
      <c r="Q32" s="106" t="str">
        <f ca="1">IF(OFFSET('Vehicle Checklist (Print)'!VehicleInfo, 16, 0, 1, 1) = 0, "", OFFSET('Vehicle Checklist (Print)'!VehicleInfo, 16, 0, 1, 1))</f>
        <v/>
      </c>
      <c r="R32" s="106" t="str">
        <f ca="1">IF(OFFSET('Vehicle Checklist (Print)'!VehicleInfo, 16, 1, 1, 1) = 0, "", OFFSET('Vehicle Checklist (Print)'!VehicleInfo, 16, 1, 1, 1))</f>
        <v/>
      </c>
      <c r="S32" s="106" t="str">
        <f ca="1">IF(OFFSET('Vehicle Checklist (Print)'!VehicleInfo, 17, 0, 1, 1) = 0, "", OFFSET('Vehicle Checklist (Print)'!VehicleInfo, 17, 0, 1, 1))</f>
        <v/>
      </c>
      <c r="T32" s="106" t="str">
        <f ca="1">IF(OFFSET('Vehicle Checklist (Print)'!VehicleInfo, 17, 1, 1, 1) = 0, "", OFFSET('Vehicle Checklist (Print)'!VehicleInfo, 17, 1, 1, 1))</f>
        <v/>
      </c>
      <c r="U32" s="106" t="str">
        <f ca="1">IF(OFFSET('Vehicle Checklist (Print)'!VehicleInfo, 18, 0, 1, 1) = 0, "", OFFSET('Vehicle Checklist (Print)'!VehicleInfo, 18, 0, 1, 1))</f>
        <v/>
      </c>
      <c r="V32" s="106" t="str">
        <f ca="1">IF(OFFSET('Vehicle Checklist (Print)'!VehicleInfo, 18, 1, 1, 1) = 0, "", OFFSET('Vehicle Checklist (Print)'!VehicleInfo, 18, 1, 1, 1))</f>
        <v/>
      </c>
      <c r="W32" s="106" t="str">
        <f ca="1">IF(OFFSET('Vehicle Checklist (Print)'!VehicleInfo, 19, 0, 1, 1) = 0, "", OFFSET('Vehicle Checklist (Print)'!VehicleInfo, 19, 0, 1, 1))</f>
        <v/>
      </c>
      <c r="X32" s="120" t="str">
        <f ca="1">IF(OFFSET('Vehicle Checklist (Print)'!VehicleInfo, 19, 1, 1, 1) = 0, "", OFFSET('Vehicle Checklist (Print)'!VehicleInfo, 19, 1, 1, 1))</f>
        <v/>
      </c>
    </row>
    <row r="33" spans="1:24">
      <c r="A33" s="125" t="s">
        <v>46</v>
      </c>
      <c r="B33" s="106" t="str">
        <f ca="1">IF(OFFSET('Vehicle Checklist (Print)'!VehicleInfo, 0, 2, 1, 1) = 0, "", OFFSET('Vehicle Checklist (Print)'!VehicleInfo, 0, 2, 1, 1))</f>
        <v/>
      </c>
      <c r="C33" s="106" t="str">
        <f ca="1">IF(OFFSET('Vehicle Checklist (Print)'!VehicleInfo, 2, 2, 1, 1) = 0, "", OFFSET('Vehicle Checklist (Print)'!VehicleInfo, 2, 2, 1, 1))</f>
        <v/>
      </c>
      <c r="D33" s="106" t="str">
        <f ca="1">IF(OFFSET('Vehicle Checklist (Print)'!VehicleInfo, 9, 2, 1, 1) = 0, "", OFFSET('Vehicle Checklist (Print)'!VehicleInfo, 9, 2, 1, 1))</f>
        <v/>
      </c>
      <c r="E33" s="106" t="str">
        <f ca="1">IF(OFFSET('Vehicle Checklist (Print)'!VehicleInfo, 9, 3, 1, 1) = 0, "", OFFSET('Vehicle Checklist (Print)'!VehicleInfo, 9, 3, 1, 1))</f>
        <v/>
      </c>
      <c r="F33" s="106" t="str">
        <f ca="1">IF(OFFSET('Vehicle Checklist (Print)'!VehicleInfo, 10, 2, 1, 1) = 0, "", OFFSET('Vehicle Checklist (Print)'!VehicleInfo, 10, 2, 1, 1))</f>
        <v/>
      </c>
      <c r="G33" s="106" t="str">
        <f ca="1">IF(OFFSET('Vehicle Checklist (Print)'!VehicleInfo, 10, 3, 1, 1) = 0, "", OFFSET('Vehicle Checklist (Print)'!VehicleInfo, 10, 3, 1, 1))</f>
        <v/>
      </c>
      <c r="H33" s="106" t="str">
        <f ca="1">IF(OFFSET('Vehicle Checklist (Print)'!VehicleInfo, 11, 2, 1, 1) = 0, "", OFFSET('Vehicle Checklist (Print)'!VehicleInfo, 11, 2, 1, 1))</f>
        <v/>
      </c>
      <c r="I33" s="106" t="str">
        <f ca="1">IF(OFFSET('Vehicle Checklist (Print)'!VehicleInfo, 11, 3, 1, 1) = 0, "", OFFSET('Vehicle Checklist (Print)'!VehicleInfo, 11, 3, 1, 1))</f>
        <v/>
      </c>
      <c r="J33" s="106" t="str">
        <f ca="1">IF(OFFSET('Vehicle Checklist (Print)'!VehicleInfo, 12, 2, 1, 1) = 0, "", OFFSET('Vehicle Checklist (Print)'!VehicleInfo, 12, 2, 1, 1))</f>
        <v/>
      </c>
      <c r="K33" s="106" t="str">
        <f ca="1">IF(OFFSET('Vehicle Checklist (Print)'!VehicleInfo, 13, 2, 1, 1) = 0, "", OFFSET('Vehicle Checklist (Print)'!VehicleInfo, 13, 2, 1, 1))</f>
        <v/>
      </c>
      <c r="L33" s="106" t="str">
        <f ca="1">IF(OFFSET('Vehicle Checklist (Print)'!VehicleInfo, 13, 3, 1, 1) = 0, "", OFFSET('Vehicle Checklist (Print)'!VehicleInfo, 13, 3, 1, 1))</f>
        <v/>
      </c>
      <c r="M33" s="106" t="str">
        <f ca="1">IF(OFFSET('Vehicle Checklist (Print)'!VehicleInfo, 14, 2, 1, 1) = 0, "", OFFSET('Vehicle Checklist (Print)'!VehicleInfo, 14, 2, 1, 1))</f>
        <v/>
      </c>
      <c r="N33" s="106" t="str">
        <f ca="1">IF(OFFSET('Vehicle Checklist (Print)'!VehicleInfo, 14, 3, 1, 1) = 0, "", OFFSET('Vehicle Checklist (Print)'!VehicleInfo, 14, 3, 1, 1))</f>
        <v/>
      </c>
      <c r="O33" s="106" t="str">
        <f ca="1">IF(OFFSET('Vehicle Checklist (Print)'!VehicleInfo, 15, 2, 1, 1) = 0, "", OFFSET('Vehicle Checklist (Print)'!VehicleInfo, 15, 2, 1, 1))</f>
        <v/>
      </c>
      <c r="P33" s="106" t="str">
        <f ca="1">IF(OFFSET('Vehicle Checklist (Print)'!VehicleInfo, 15, 3, 1, 1) = 0, "", OFFSET('Vehicle Checklist (Print)'!VehicleInfo, 15, 3, 1, 1))</f>
        <v/>
      </c>
      <c r="Q33" s="106" t="str">
        <f ca="1">IF(OFFSET('Vehicle Checklist (Print)'!VehicleInfo, 16, 2, 1, 1) = 0, "", OFFSET('Vehicle Checklist (Print)'!VehicleInfo, 16, 2, 1, 1))</f>
        <v/>
      </c>
      <c r="R33" s="106" t="str">
        <f ca="1">IF(OFFSET('Vehicle Checklist (Print)'!VehicleInfo, 16, 3, 1, 1) = 0, "", OFFSET('Vehicle Checklist (Print)'!VehicleInfo, 16, 3, 1, 1))</f>
        <v/>
      </c>
      <c r="S33" s="106" t="str">
        <f ca="1">IF(OFFSET('Vehicle Checklist (Print)'!VehicleInfo, 17, 2, 1, 1) = 0, "", OFFSET('Vehicle Checklist (Print)'!VehicleInfo, 17, 2, 1, 1))</f>
        <v/>
      </c>
      <c r="T33" s="106" t="str">
        <f ca="1">IF(OFFSET('Vehicle Checklist (Print)'!VehicleInfo, 17, 3, 1, 1) = 0, "", OFFSET('Vehicle Checklist (Print)'!VehicleInfo, 17, 3, 1, 1))</f>
        <v/>
      </c>
      <c r="U33" s="106" t="str">
        <f ca="1">IF(OFFSET('Vehicle Checklist (Print)'!VehicleInfo, 18, 2, 1, 1) = 0, "", OFFSET('Vehicle Checklist (Print)'!VehicleInfo, 18, 2, 1, 1))</f>
        <v/>
      </c>
      <c r="V33" s="106" t="str">
        <f ca="1">IF(OFFSET('Vehicle Checklist (Print)'!VehicleInfo, 18, 3, 1, 1) = 0, "", OFFSET('Vehicle Checklist (Print)'!VehicleInfo, 18, 3, 1, 1))</f>
        <v/>
      </c>
      <c r="W33" s="106" t="str">
        <f ca="1">IF(OFFSET('Vehicle Checklist (Print)'!VehicleInfo, 19, 2, 1, 1) = 0, "", OFFSET('Vehicle Checklist (Print)'!VehicleInfo, 19, 2, 1, 1))</f>
        <v/>
      </c>
      <c r="X33" s="120" t="str">
        <f ca="1">IF(OFFSET('Vehicle Checklist (Print)'!VehicleInfo, 19, 3, 1, 1) = 0, "", OFFSET('Vehicle Checklist (Print)'!VehicleInfo, 19, 3, 1, 1))</f>
        <v/>
      </c>
    </row>
    <row r="34" spans="1:24">
      <c r="A34" s="125" t="s">
        <v>47</v>
      </c>
      <c r="B34" s="106" t="str">
        <f ca="1">IF(OFFSET('Vehicle Checklist (Print)'!VehicleInfo, 0, 4, 1, 1) = 0, "", OFFSET('Vehicle Checklist (Print)'!VehicleInfo, 0, 4, 1, 1))</f>
        <v/>
      </c>
      <c r="C34" s="106" t="str">
        <f ca="1">IF(OFFSET('Vehicle Checklist (Print)'!VehicleInfo, 2, 4, 1, 1) = 0, "", OFFSET('Vehicle Checklist (Print)'!VehicleInfo, 2, 4, 1, 1))</f>
        <v/>
      </c>
      <c r="D34" s="106" t="str">
        <f ca="1">IF(OFFSET('Vehicle Checklist (Print)'!VehicleInfo, 9, 4, 1, 1) = 0, "", OFFSET('Vehicle Checklist (Print)'!VehicleInfo, 9, 4, 1, 1))</f>
        <v/>
      </c>
      <c r="E34" s="106" t="str">
        <f ca="1">IF(OFFSET('Vehicle Checklist (Print)'!VehicleInfo, 9, 5, 1, 1) = 0, "", OFFSET('Vehicle Checklist (Print)'!VehicleInfo, 9, 5, 1, 1))</f>
        <v/>
      </c>
      <c r="F34" s="106" t="str">
        <f ca="1">IF(OFFSET('Vehicle Checklist (Print)'!VehicleInfo, 10, 4, 1, 1) = 0, "", OFFSET('Vehicle Checklist (Print)'!VehicleInfo, 10, 4, 1, 1))</f>
        <v/>
      </c>
      <c r="G34" s="106" t="str">
        <f ca="1">IF(OFFSET('Vehicle Checklist (Print)'!VehicleInfo, 10, 5, 1, 1) = 0, "", OFFSET('Vehicle Checklist (Print)'!VehicleInfo, 10, 5, 1, 1))</f>
        <v/>
      </c>
      <c r="H34" s="106" t="str">
        <f ca="1">IF(OFFSET('Vehicle Checklist (Print)'!VehicleInfo, 11, 4, 1, 1) = 0, "", OFFSET('Vehicle Checklist (Print)'!VehicleInfo, 11, 4, 1, 1))</f>
        <v/>
      </c>
      <c r="I34" s="106" t="str">
        <f ca="1">IF(OFFSET('Vehicle Checklist (Print)'!VehicleInfo, 11, 5, 1, 1) = 0, "", OFFSET('Vehicle Checklist (Print)'!VehicleInfo, 11, 5, 1, 1))</f>
        <v/>
      </c>
      <c r="J34" s="106" t="str">
        <f ca="1">IF(OFFSET('Vehicle Checklist (Print)'!VehicleInfo, 12, 4, 1, 1) = 0, "", OFFSET('Vehicle Checklist (Print)'!VehicleInfo, 12, 4, 1, 1))</f>
        <v/>
      </c>
      <c r="K34" s="106" t="str">
        <f ca="1">IF(OFFSET('Vehicle Checklist (Print)'!VehicleInfo, 13, 4, 1, 1) = 0, "", OFFSET('Vehicle Checklist (Print)'!VehicleInfo, 13, 4, 1, 1))</f>
        <v/>
      </c>
      <c r="L34" s="106" t="str">
        <f ca="1">IF(OFFSET('Vehicle Checklist (Print)'!VehicleInfo, 13, 5, 1, 1) = 0, "", OFFSET('Vehicle Checklist (Print)'!VehicleInfo, 13, 5, 1, 1))</f>
        <v/>
      </c>
      <c r="M34" s="106" t="str">
        <f ca="1">IF(OFFSET('Vehicle Checklist (Print)'!VehicleInfo, 14, 4, 1, 1) = 0, "", OFFSET('Vehicle Checklist (Print)'!VehicleInfo, 14, 4, 1, 1))</f>
        <v/>
      </c>
      <c r="N34" s="106" t="str">
        <f ca="1">IF(OFFSET('Vehicle Checklist (Print)'!VehicleInfo, 14, 5, 1, 1) = 0, "", OFFSET('Vehicle Checklist (Print)'!VehicleInfo, 14, 5, 1, 1))</f>
        <v/>
      </c>
      <c r="O34" s="106" t="str">
        <f ca="1">IF(OFFSET('Vehicle Checklist (Print)'!VehicleInfo, 15, 4, 1, 1) = 0, "", OFFSET('Vehicle Checklist (Print)'!VehicleInfo, 15, 4, 1, 1))</f>
        <v/>
      </c>
      <c r="P34" s="106" t="str">
        <f ca="1">IF(OFFSET('Vehicle Checklist (Print)'!VehicleInfo, 15, 5, 1, 1) = 0, "", OFFSET('Vehicle Checklist (Print)'!VehicleInfo, 15, 5, 1, 1))</f>
        <v/>
      </c>
      <c r="Q34" s="106" t="str">
        <f ca="1">IF(OFFSET('Vehicle Checklist (Print)'!VehicleInfo, 16, 4, 1, 1) = 0, "", OFFSET('Vehicle Checklist (Print)'!VehicleInfo, 16, 4, 1, 1))</f>
        <v/>
      </c>
      <c r="R34" s="106" t="str">
        <f ca="1">IF(OFFSET('Vehicle Checklist (Print)'!VehicleInfo, 16, 5, 1, 1) = 0, "", OFFSET('Vehicle Checklist (Print)'!VehicleInfo, 16, 5, 1, 1))</f>
        <v/>
      </c>
      <c r="S34" s="106" t="str">
        <f ca="1">IF(OFFSET('Vehicle Checklist (Print)'!VehicleInfo, 17, 4, 1, 1) = 0, "", OFFSET('Vehicle Checklist (Print)'!VehicleInfo, 17, 4, 1, 1))</f>
        <v/>
      </c>
      <c r="T34" s="106" t="str">
        <f ca="1">IF(OFFSET('Vehicle Checklist (Print)'!VehicleInfo, 17, 5, 1, 1) = 0, "", OFFSET('Vehicle Checklist (Print)'!VehicleInfo, 17, 5, 1, 1))</f>
        <v/>
      </c>
      <c r="U34" s="106" t="str">
        <f ca="1">IF(OFFSET('Vehicle Checklist (Print)'!VehicleInfo, 18, 4, 1, 1) = 0, "", OFFSET('Vehicle Checklist (Print)'!VehicleInfo, 18, 4, 1, 1))</f>
        <v/>
      </c>
      <c r="V34" s="106" t="str">
        <f ca="1">IF(OFFSET('Vehicle Checklist (Print)'!VehicleInfo, 18, 5, 1, 1) = 0, "", OFFSET('Vehicle Checklist (Print)'!VehicleInfo, 18, 5, 1, 1))</f>
        <v/>
      </c>
      <c r="W34" s="106" t="str">
        <f ca="1">IF(OFFSET('Vehicle Checklist (Print)'!VehicleInfo, 19, 4, 1, 1) = 0, "", OFFSET('Vehicle Checklist (Print)'!VehicleInfo, 19, 4, 1, 1))</f>
        <v/>
      </c>
      <c r="X34" s="120" t="str">
        <f ca="1">IF(OFFSET('Vehicle Checklist (Print)'!VehicleInfo, 19, 5, 1, 1) = 0, "", OFFSET('Vehicle Checklist (Print)'!VehicleInfo, 19, 5, 1, 1))</f>
        <v/>
      </c>
    </row>
    <row r="35" spans="1:24">
      <c r="A35" s="125" t="s">
        <v>48</v>
      </c>
      <c r="B35" s="106" t="str">
        <f ca="1">IF(OFFSET('Vehicle Checklist (Print)'!VehicleInfo, 0, 6, 1, 1) = 0, "", OFFSET('Vehicle Checklist (Print)'!VehicleInfo, 0, 6, 1, 1))</f>
        <v/>
      </c>
      <c r="C35" s="106" t="str">
        <f ca="1">IF(OFFSET('Vehicle Checklist (Print)'!VehicleInfo, 2, 6, 1, 1) = 0, "", OFFSET('Vehicle Checklist (Print)'!VehicleInfo, 2, 6, 1, 1))</f>
        <v/>
      </c>
      <c r="D35" s="106" t="str">
        <f ca="1">IF(OFFSET('Vehicle Checklist (Print)'!VehicleInfo, 9, 6, 1, 1) = 0, "", OFFSET('Vehicle Checklist (Print)'!VehicleInfo, 9, 6, 1, 1))</f>
        <v/>
      </c>
      <c r="E35" s="106" t="str">
        <f ca="1">IF(OFFSET('Vehicle Checklist (Print)'!VehicleInfo, 9, 7, 1, 1) = 0, "", OFFSET('Vehicle Checklist (Print)'!VehicleInfo, 9, 7, 1, 1))</f>
        <v/>
      </c>
      <c r="F35" s="106" t="str">
        <f ca="1">IF(OFFSET('Vehicle Checklist (Print)'!VehicleInfo, 10, 6, 1, 1) = 0, "", OFFSET('Vehicle Checklist (Print)'!VehicleInfo, 10, 6, 1, 1))</f>
        <v/>
      </c>
      <c r="G35" s="106" t="str">
        <f ca="1">IF(OFFSET('Vehicle Checklist (Print)'!VehicleInfo, 10, 7, 1, 1) = 0, "", OFFSET('Vehicle Checklist (Print)'!VehicleInfo, 10, 7, 1, 1))</f>
        <v/>
      </c>
      <c r="H35" s="106" t="str">
        <f ca="1">IF(OFFSET('Vehicle Checklist (Print)'!VehicleInfo, 11, 6, 1, 1) = 0, "", OFFSET('Vehicle Checklist (Print)'!VehicleInfo, 11, 6, 1, 1))</f>
        <v/>
      </c>
      <c r="I35" s="106" t="str">
        <f ca="1">IF(OFFSET('Vehicle Checklist (Print)'!VehicleInfo, 11, 7, 1, 1) = 0, "", OFFSET('Vehicle Checklist (Print)'!VehicleInfo, 11, 7, 1, 1))</f>
        <v/>
      </c>
      <c r="J35" s="106" t="str">
        <f ca="1">IF(OFFSET('Vehicle Checklist (Print)'!VehicleInfo, 12, 6, 1, 1) = 0, "", OFFSET('Vehicle Checklist (Print)'!VehicleInfo, 12, 6, 1, 1))</f>
        <v/>
      </c>
      <c r="K35" s="106" t="str">
        <f ca="1">IF(OFFSET('Vehicle Checklist (Print)'!VehicleInfo, 13, 6, 1, 1) = 0, "", OFFSET('Vehicle Checklist (Print)'!VehicleInfo, 13, 6, 1, 1))</f>
        <v/>
      </c>
      <c r="L35" s="106" t="str">
        <f ca="1">IF(OFFSET('Vehicle Checklist (Print)'!VehicleInfo, 13, 7, 1, 1) = 0, "", OFFSET('Vehicle Checklist (Print)'!VehicleInfo, 13, 7, 1, 1))</f>
        <v/>
      </c>
      <c r="M35" s="106" t="str">
        <f ca="1">IF(OFFSET('Vehicle Checklist (Print)'!VehicleInfo, 14, 6, 1, 1) = 0, "", OFFSET('Vehicle Checklist (Print)'!VehicleInfo, 14, 6, 1, 1))</f>
        <v/>
      </c>
      <c r="N35" s="106" t="str">
        <f ca="1">IF(OFFSET('Vehicle Checklist (Print)'!VehicleInfo, 14, 7, 1, 1) = 0, "", OFFSET('Vehicle Checklist (Print)'!VehicleInfo, 14, 7, 1, 1))</f>
        <v/>
      </c>
      <c r="O35" s="106" t="str">
        <f ca="1">IF(OFFSET('Vehicle Checklist (Print)'!VehicleInfo, 15, 6, 1, 1) = 0, "", OFFSET('Vehicle Checklist (Print)'!VehicleInfo, 15, 6, 1, 1))</f>
        <v/>
      </c>
      <c r="P35" s="106" t="str">
        <f ca="1">IF(OFFSET('Vehicle Checklist (Print)'!VehicleInfo, 15, 7, 1, 1) = 0, "", OFFSET('Vehicle Checklist (Print)'!VehicleInfo, 15, 7, 1, 1))</f>
        <v/>
      </c>
      <c r="Q35" s="106" t="str">
        <f ca="1">IF(OFFSET('Vehicle Checklist (Print)'!VehicleInfo, 16, 6, 1, 1) = 0, "", OFFSET('Vehicle Checklist (Print)'!VehicleInfo, 16, 6, 1, 1))</f>
        <v/>
      </c>
      <c r="R35" s="106" t="str">
        <f ca="1">IF(OFFSET('Vehicle Checklist (Print)'!VehicleInfo, 16, 7, 1, 1) = 0, "", OFFSET('Vehicle Checklist (Print)'!VehicleInfo, 16, 7, 1, 1))</f>
        <v/>
      </c>
      <c r="S35" s="106" t="str">
        <f ca="1">IF(OFFSET('Vehicle Checklist (Print)'!VehicleInfo, 17, 6, 1, 1) = 0, "", OFFSET('Vehicle Checklist (Print)'!VehicleInfo, 17, 6, 1, 1))</f>
        <v/>
      </c>
      <c r="T35" s="106" t="str">
        <f ca="1">IF(OFFSET('Vehicle Checklist (Print)'!VehicleInfo, 17, 7, 1, 1) = 0, "", OFFSET('Vehicle Checklist (Print)'!VehicleInfo, 17, 7, 1, 1))</f>
        <v/>
      </c>
      <c r="U35" s="106" t="str">
        <f ca="1">IF(OFFSET('Vehicle Checklist (Print)'!VehicleInfo, 18, 6, 1, 1) = 0, "", OFFSET('Vehicle Checklist (Print)'!VehicleInfo, 18, 6, 1, 1))</f>
        <v/>
      </c>
      <c r="V35" s="106" t="str">
        <f ca="1">IF(OFFSET('Vehicle Checklist (Print)'!VehicleInfo, 18, 7, 1, 1) = 0, "", OFFSET('Vehicle Checklist (Print)'!VehicleInfo, 18, 7, 1, 1))</f>
        <v/>
      </c>
      <c r="W35" s="106" t="str">
        <f ca="1">IF(OFFSET('Vehicle Checklist (Print)'!VehicleInfo, 19, 6, 1, 1) = 0, "", OFFSET('Vehicle Checklist (Print)'!VehicleInfo, 19, 6, 1, 1))</f>
        <v/>
      </c>
      <c r="X35" s="120" t="str">
        <f ca="1">IF(OFFSET('Vehicle Checklist (Print)'!VehicleInfo, 19, 7, 1, 1) = 0, "", OFFSET('Vehicle Checklist (Print)'!VehicleInfo, 19, 7, 1, 1))</f>
        <v/>
      </c>
    </row>
    <row r="36" spans="1:24">
      <c r="A36" s="125" t="s">
        <v>49</v>
      </c>
      <c r="B36" s="106" t="str">
        <f ca="1">IF(OFFSET('Vehicle Checklist (Print)'!VehicleInfo, 22, 0, 1, 1) = 0, "", OFFSET('Vehicle Checklist (Print)'!VehicleInfo, 22, 0, 1, 1))</f>
        <v/>
      </c>
      <c r="C36" s="106" t="str">
        <f ca="1">IF(OFFSET('Vehicle Checklist (Print)'!VehicleInfo, 24, 0, 1, 1) = 0, "", OFFSET('Vehicle Checklist (Print)'!VehicleInfo, 24, 0, 1, 1))</f>
        <v/>
      </c>
      <c r="D36" s="106" t="str">
        <f ca="1">IF(OFFSET('Vehicle Checklist (Print)'!VehicleInfo, 31, 0, 1, 1) = 0, "", OFFSET('Vehicle Checklist (Print)'!VehicleInfo, 31, 0, 1, 1))</f>
        <v/>
      </c>
      <c r="E36" s="106" t="str">
        <f ca="1">IF(OFFSET('Vehicle Checklist (Print)'!VehicleInfo, 31, 1, 1, 1) = 0, "", OFFSET('Vehicle Checklist (Print)'!VehicleInfo, 31, 1, 1, 1))</f>
        <v/>
      </c>
      <c r="F36" s="106" t="str">
        <f ca="1">IF(OFFSET('Vehicle Checklist (Print)'!VehicleInfo, 32, 0, 1, 1) = 0, "", OFFSET('Vehicle Checklist (Print)'!VehicleInfo, 32, 0, 1, 1))</f>
        <v/>
      </c>
      <c r="G36" s="106" t="str">
        <f ca="1">IF(OFFSET('Vehicle Checklist (Print)'!VehicleInfo, 32, 1, 1, 1) = 0, "", OFFSET('Vehicle Checklist (Print)'!VehicleInfo, 32, 1, 1, 1))</f>
        <v/>
      </c>
      <c r="H36" s="106" t="str">
        <f ca="1">IF(OFFSET('Vehicle Checklist (Print)'!VehicleInfo, 33, 0, 1, 1) = 0, "", OFFSET('Vehicle Checklist (Print)'!VehicleInfo, 33, 0, 1, 1))</f>
        <v/>
      </c>
      <c r="I36" s="106" t="str">
        <f ca="1">IF(OFFSET('Vehicle Checklist (Print)'!VehicleInfo, 33, 1, 1, 1) = 0, "", OFFSET('Vehicle Checklist (Print)'!VehicleInfo, 33, 1, 1, 1))</f>
        <v/>
      </c>
      <c r="J36" s="106" t="str">
        <f ca="1">IF(OFFSET('Vehicle Checklist (Print)'!VehicleInfo, 34, 0, 1, 1) = 0, "", OFFSET('Vehicle Checklist (Print)'!VehicleInfo, 34, 0, 1, 1))</f>
        <v/>
      </c>
      <c r="K36" s="106" t="str">
        <f ca="1">IF(OFFSET('Vehicle Checklist (Print)'!VehicleInfo, 35, 0, 1, 1) = 0, "", OFFSET('Vehicle Checklist (Print)'!VehicleInfo, 35, 0, 1, 1))</f>
        <v/>
      </c>
      <c r="L36" s="106" t="str">
        <f ca="1">IF(OFFSET('Vehicle Checklist (Print)'!VehicleInfo, 35, 1, 1, 1) = 0, "", OFFSET('Vehicle Checklist (Print)'!VehicleInfo, 35, 1, 1, 1))</f>
        <v/>
      </c>
      <c r="M36" s="106" t="str">
        <f ca="1">IF(OFFSET('Vehicle Checklist (Print)'!VehicleInfo, 36, 0, 1, 1) = 0, "", OFFSET('Vehicle Checklist (Print)'!VehicleInfo, 36, 0, 1, 1))</f>
        <v/>
      </c>
      <c r="N36" s="106" t="str">
        <f ca="1">IF(OFFSET('Vehicle Checklist (Print)'!VehicleInfo, 36, 1, 1, 1) = 0, "", OFFSET('Vehicle Checklist (Print)'!VehicleInfo, 36, 1, 1, 1))</f>
        <v/>
      </c>
      <c r="O36" s="106" t="str">
        <f ca="1">IF(OFFSET('Vehicle Checklist (Print)'!VehicleInfo, 37, 0, 1, 1) = 0, "", OFFSET('Vehicle Checklist (Print)'!VehicleInfo, 37, 0, 1, 1))</f>
        <v/>
      </c>
      <c r="P36" s="106" t="str">
        <f ca="1">IF(OFFSET('Vehicle Checklist (Print)'!VehicleInfo, 37, 1, 1, 1) = 0, "", OFFSET('Vehicle Checklist (Print)'!VehicleInfo, 37, 1, 1, 1))</f>
        <v/>
      </c>
      <c r="Q36" s="106" t="str">
        <f ca="1">IF(OFFSET('Vehicle Checklist (Print)'!VehicleInfo, 38, 0, 1, 1) = 0, "", OFFSET('Vehicle Checklist (Print)'!VehicleInfo, 38, 0, 1, 1))</f>
        <v/>
      </c>
      <c r="R36" s="106" t="str">
        <f ca="1">IF(OFFSET('Vehicle Checklist (Print)'!VehicleInfo, 38, 1, 1, 1) = 0, "", OFFSET('Vehicle Checklist (Print)'!VehicleInfo, 38, 1, 1, 1))</f>
        <v/>
      </c>
      <c r="S36" s="106" t="str">
        <f ca="1">IF(OFFSET('Vehicle Checklist (Print)'!VehicleInfo, 39, 0, 1, 1) = 0, "", OFFSET('Vehicle Checklist (Print)'!VehicleInfo, 39, 0, 1, 1))</f>
        <v/>
      </c>
      <c r="T36" s="106" t="str">
        <f ca="1">IF(OFFSET('Vehicle Checklist (Print)'!VehicleInfo, 39, 1, 1, 1) = 0, "", OFFSET('Vehicle Checklist (Print)'!VehicleInfo, 39, 1, 1, 1))</f>
        <v/>
      </c>
      <c r="U36" s="106" t="str">
        <f ca="1">IF(OFFSET('Vehicle Checklist (Print)'!VehicleInfo, 40, 0, 1, 1) = 0, "", OFFSET('Vehicle Checklist (Print)'!VehicleInfo, 40, 0, 1, 1))</f>
        <v/>
      </c>
      <c r="V36" s="106" t="str">
        <f ca="1">IF(OFFSET('Vehicle Checklist (Print)'!VehicleInfo, 40, 1, 1, 1) = 0, "", OFFSET('Vehicle Checklist (Print)'!VehicleInfo, 40, 1, 1, 1))</f>
        <v/>
      </c>
      <c r="W36" s="106" t="str">
        <f ca="1">IF(OFFSET('Vehicle Checklist (Print)'!VehicleInfo, 41, 0, 1, 1) = 0, "", OFFSET('Vehicle Checklist (Print)'!VehicleInfo, 41, 0, 1, 1))</f>
        <v/>
      </c>
      <c r="X36" s="120" t="str">
        <f ca="1">IF(OFFSET('Vehicle Checklist (Print)'!VehicleInfo, 41, 1, 1, 1) = 0, "", OFFSET('Vehicle Checklist (Print)'!VehicleInfo, 41, 1, 1, 1))</f>
        <v/>
      </c>
    </row>
    <row r="37" spans="1:24">
      <c r="A37" s="125" t="s">
        <v>50</v>
      </c>
      <c r="B37" s="106" t="str">
        <f ca="1">IF(OFFSET('Vehicle Checklist (Print)'!VehicleInfo, 22, 2, 1, 1) = 0, "", OFFSET('Vehicle Checklist (Print)'!VehicleInfo, 22, 2, 1, 1))</f>
        <v/>
      </c>
      <c r="C37" s="106" t="str">
        <f ca="1">IF(OFFSET('Vehicle Checklist (Print)'!VehicleInfo, 24, 2, 1, 1) = 0, "", OFFSET('Vehicle Checklist (Print)'!VehicleInfo, 24, 2, 1, 1))</f>
        <v/>
      </c>
      <c r="D37" s="106" t="str">
        <f ca="1">IF(OFFSET('Vehicle Checklist (Print)'!VehicleInfo, 31, 2, 1, 1) = 0, "", OFFSET('Vehicle Checklist (Print)'!VehicleInfo, 31, 2, 1, 1))</f>
        <v/>
      </c>
      <c r="E37" s="106" t="str">
        <f ca="1">IF(OFFSET('Vehicle Checklist (Print)'!VehicleInfo, 31, 3, 1, 1) = 0, "", OFFSET('Vehicle Checklist (Print)'!VehicleInfo, 31, 3, 1, 1))</f>
        <v/>
      </c>
      <c r="F37" s="106" t="str">
        <f ca="1">IF(OFFSET('Vehicle Checklist (Print)'!VehicleInfo, 32, 2, 1, 1) = 0, "", OFFSET('Vehicle Checklist (Print)'!VehicleInfo, 32, 2, 1, 1))</f>
        <v/>
      </c>
      <c r="G37" s="106" t="str">
        <f ca="1">IF(OFFSET('Vehicle Checklist (Print)'!VehicleInfo, 32, 3, 1, 1) = 0, "", OFFSET('Vehicle Checklist (Print)'!VehicleInfo, 32, 3, 1, 1))</f>
        <v/>
      </c>
      <c r="H37" s="106" t="str">
        <f ca="1">IF(OFFSET('Vehicle Checklist (Print)'!VehicleInfo, 33, 2, 1, 1) = 0, "", OFFSET('Vehicle Checklist (Print)'!VehicleInfo, 33, 2, 1, 1))</f>
        <v/>
      </c>
      <c r="I37" s="106" t="str">
        <f ca="1">IF(OFFSET('Vehicle Checklist (Print)'!VehicleInfo, 33, 3, 1, 1) = 0, "", OFFSET('Vehicle Checklist (Print)'!VehicleInfo, 33, 3, 1, 1))</f>
        <v/>
      </c>
      <c r="J37" s="106" t="str">
        <f ca="1">IF(OFFSET('Vehicle Checklist (Print)'!VehicleInfo, 34, 2, 1, 1) = 0, "", OFFSET('Vehicle Checklist (Print)'!VehicleInfo, 34, 2, 1, 1))</f>
        <v/>
      </c>
      <c r="K37" s="106" t="str">
        <f ca="1">IF(OFFSET('Vehicle Checklist (Print)'!VehicleInfo, 35, 2, 1, 1) = 0, "", OFFSET('Vehicle Checklist (Print)'!VehicleInfo, 35, 2, 1, 1))</f>
        <v/>
      </c>
      <c r="L37" s="106" t="str">
        <f ca="1">IF(OFFSET('Vehicle Checklist (Print)'!VehicleInfo, 35, 3, 1, 1) = 0, "", OFFSET('Vehicle Checklist (Print)'!VehicleInfo, 35, 3, 1, 1))</f>
        <v/>
      </c>
      <c r="M37" s="106" t="str">
        <f ca="1">IF(OFFSET('Vehicle Checklist (Print)'!VehicleInfo, 36, 2, 1, 1) = 0, "", OFFSET('Vehicle Checklist (Print)'!VehicleInfo, 36, 2, 1, 1))</f>
        <v/>
      </c>
      <c r="N37" s="106" t="str">
        <f ca="1">IF(OFFSET('Vehicle Checklist (Print)'!VehicleInfo, 36, 3, 1, 1) = 0, "", OFFSET('Vehicle Checklist (Print)'!VehicleInfo, 36, 3, 1, 1))</f>
        <v/>
      </c>
      <c r="O37" s="106" t="str">
        <f ca="1">IF(OFFSET('Vehicle Checklist (Print)'!VehicleInfo, 37, 2, 1, 1) = 0, "", OFFSET('Vehicle Checklist (Print)'!VehicleInfo, 37, 2, 1, 1))</f>
        <v/>
      </c>
      <c r="P37" s="106" t="str">
        <f ca="1">IF(OFFSET('Vehicle Checklist (Print)'!VehicleInfo, 37, 3, 1, 1) = 0, "", OFFSET('Vehicle Checklist (Print)'!VehicleInfo, 37, 3, 1, 1))</f>
        <v/>
      </c>
      <c r="Q37" s="106" t="str">
        <f ca="1">IF(OFFSET('Vehicle Checklist (Print)'!VehicleInfo, 38, 2, 1, 1) = 0, "", OFFSET('Vehicle Checklist (Print)'!VehicleInfo, 38, 2, 1, 1))</f>
        <v/>
      </c>
      <c r="R37" s="106" t="str">
        <f ca="1">IF(OFFSET('Vehicle Checklist (Print)'!VehicleInfo, 38, 3, 1, 1) = 0, "", OFFSET('Vehicle Checklist (Print)'!VehicleInfo, 38, 3, 1, 1))</f>
        <v/>
      </c>
      <c r="S37" s="106" t="str">
        <f ca="1">IF(OFFSET('Vehicle Checklist (Print)'!VehicleInfo, 39, 2, 1, 1) = 0, "", OFFSET('Vehicle Checklist (Print)'!VehicleInfo, 39, 2, 1, 1))</f>
        <v/>
      </c>
      <c r="T37" s="106" t="str">
        <f ca="1">IF(OFFSET('Vehicle Checklist (Print)'!VehicleInfo, 39, 3, 1, 1) = 0, "", OFFSET('Vehicle Checklist (Print)'!VehicleInfo, 39, 3, 1, 1))</f>
        <v/>
      </c>
      <c r="U37" s="106" t="str">
        <f ca="1">IF(OFFSET('Vehicle Checklist (Print)'!VehicleInfo, 40, 2, 1, 1) = 0, "", OFFSET('Vehicle Checklist (Print)'!VehicleInfo, 40, 2, 1, 1))</f>
        <v/>
      </c>
      <c r="V37" s="106" t="str">
        <f ca="1">IF(OFFSET('Vehicle Checklist (Print)'!VehicleInfo, 40, 3, 1, 1) = 0, "", OFFSET('Vehicle Checklist (Print)'!VehicleInfo, 40, 3, 1, 1))</f>
        <v/>
      </c>
      <c r="W37" s="106" t="str">
        <f ca="1">IF(OFFSET('Vehicle Checklist (Print)'!VehicleInfo, 41, 2, 1, 1) = 0, "", OFFSET('Vehicle Checklist (Print)'!VehicleInfo, 41, 2, 1, 1))</f>
        <v/>
      </c>
      <c r="X37" s="120" t="str">
        <f ca="1">IF(OFFSET('Vehicle Checklist (Print)'!VehicleInfo, 41, 3, 1, 1) = 0, "", OFFSET('Vehicle Checklist (Print)'!VehicleInfo, 41, 3, 1, 1))</f>
        <v/>
      </c>
    </row>
    <row r="38" spans="1:24">
      <c r="A38" s="125" t="s">
        <v>51</v>
      </c>
      <c r="B38" s="106" t="str">
        <f ca="1">IF(OFFSET('Vehicle Checklist (Print)'!VehicleInfo, 22, 4, 1, 1) = 0, "", OFFSET('Vehicle Checklist (Print)'!VehicleInfo, 22, 4, 1, 1))</f>
        <v/>
      </c>
      <c r="C38" s="106" t="str">
        <f ca="1">IF(OFFSET('Vehicle Checklist (Print)'!VehicleInfo, 24, 4, 1, 1) = 0, "", OFFSET('Vehicle Checklist (Print)'!VehicleInfo, 24, 4, 1, 1))</f>
        <v/>
      </c>
      <c r="D38" s="106" t="str">
        <f ca="1">IF(OFFSET('Vehicle Checklist (Print)'!VehicleInfo, 31, 4, 1, 1) = 0, "", OFFSET('Vehicle Checklist (Print)'!VehicleInfo, 31, 4, 1, 1))</f>
        <v/>
      </c>
      <c r="E38" s="106" t="str">
        <f ca="1">IF(OFFSET('Vehicle Checklist (Print)'!VehicleInfo, 31, 5, 1, 1) = 0, "", OFFSET('Vehicle Checklist (Print)'!VehicleInfo, 31, 5, 1, 1))</f>
        <v/>
      </c>
      <c r="F38" s="106" t="str">
        <f ca="1">IF(OFFSET('Vehicle Checklist (Print)'!VehicleInfo, 32, 4, 1, 1) = 0, "", OFFSET('Vehicle Checklist (Print)'!VehicleInfo, 32, 4, 1, 1))</f>
        <v/>
      </c>
      <c r="G38" s="106" t="str">
        <f ca="1">IF(OFFSET('Vehicle Checklist (Print)'!VehicleInfo, 32, 5, 1, 1) = 0, "", OFFSET('Vehicle Checklist (Print)'!VehicleInfo, 32, 5, 1, 1))</f>
        <v/>
      </c>
      <c r="H38" s="106" t="str">
        <f ca="1">IF(OFFSET('Vehicle Checklist (Print)'!VehicleInfo, 33, 4, 1, 1) = 0, "", OFFSET('Vehicle Checklist (Print)'!VehicleInfo, 33, 4, 1, 1))</f>
        <v/>
      </c>
      <c r="I38" s="106" t="str">
        <f ca="1">IF(OFFSET('Vehicle Checklist (Print)'!VehicleInfo, 33, 5, 1, 1) = 0, "", OFFSET('Vehicle Checklist (Print)'!VehicleInfo, 33, 5, 1, 1))</f>
        <v/>
      </c>
      <c r="J38" s="106" t="str">
        <f ca="1">IF(OFFSET('Vehicle Checklist (Print)'!VehicleInfo, 34, 4, 1, 1) = 0, "", OFFSET('Vehicle Checklist (Print)'!VehicleInfo, 34, 4, 1, 1))</f>
        <v/>
      </c>
      <c r="K38" s="106" t="str">
        <f ca="1">IF(OFFSET('Vehicle Checklist (Print)'!VehicleInfo, 35, 4, 1, 1) = 0, "", OFFSET('Vehicle Checklist (Print)'!VehicleInfo, 35, 4, 1, 1))</f>
        <v/>
      </c>
      <c r="L38" s="106" t="str">
        <f ca="1">IF(OFFSET('Vehicle Checklist (Print)'!VehicleInfo, 35, 5, 1, 1) = 0, "", OFFSET('Vehicle Checklist (Print)'!VehicleInfo, 35, 5, 1, 1))</f>
        <v/>
      </c>
      <c r="M38" s="106" t="str">
        <f ca="1">IF(OFFSET('Vehicle Checklist (Print)'!VehicleInfo, 36, 4, 1, 1) = 0, "", OFFSET('Vehicle Checklist (Print)'!VehicleInfo, 36, 4, 1, 1))</f>
        <v/>
      </c>
      <c r="N38" s="106" t="str">
        <f ca="1">IF(OFFSET('Vehicle Checklist (Print)'!VehicleInfo, 36, 5, 1, 1) = 0, "", OFFSET('Vehicle Checklist (Print)'!VehicleInfo, 36, 5, 1, 1))</f>
        <v/>
      </c>
      <c r="O38" s="106" t="str">
        <f ca="1">IF(OFFSET('Vehicle Checklist (Print)'!VehicleInfo, 37, 4, 1, 1) = 0, "", OFFSET('Vehicle Checklist (Print)'!VehicleInfo, 37, 4, 1, 1))</f>
        <v/>
      </c>
      <c r="P38" s="106" t="str">
        <f ca="1">IF(OFFSET('Vehicle Checklist (Print)'!VehicleInfo, 37, 5, 1, 1) = 0, "", OFFSET('Vehicle Checklist (Print)'!VehicleInfo, 37, 5, 1, 1))</f>
        <v/>
      </c>
      <c r="Q38" s="106" t="str">
        <f ca="1">IF(OFFSET('Vehicle Checklist (Print)'!VehicleInfo, 38, 4, 1, 1) = 0, "", OFFSET('Vehicle Checklist (Print)'!VehicleInfo, 38, 4, 1, 1))</f>
        <v/>
      </c>
      <c r="R38" s="106" t="str">
        <f ca="1">IF(OFFSET('Vehicle Checklist (Print)'!VehicleInfo, 38, 5, 1, 1) = 0, "", OFFSET('Vehicle Checklist (Print)'!VehicleInfo, 38, 5, 1, 1))</f>
        <v/>
      </c>
      <c r="S38" s="106" t="str">
        <f ca="1">IF(OFFSET('Vehicle Checklist (Print)'!VehicleInfo, 39, 4, 1, 1) = 0, "", OFFSET('Vehicle Checklist (Print)'!VehicleInfo, 39, 4, 1, 1))</f>
        <v/>
      </c>
      <c r="T38" s="106" t="str">
        <f ca="1">IF(OFFSET('Vehicle Checklist (Print)'!VehicleInfo, 39, 5, 1, 1) = 0, "", OFFSET('Vehicle Checklist (Print)'!VehicleInfo, 39, 5, 1, 1))</f>
        <v/>
      </c>
      <c r="U38" s="106" t="str">
        <f ca="1">IF(OFFSET('Vehicle Checklist (Print)'!VehicleInfo, 40, 4, 1, 1) = 0, "", OFFSET('Vehicle Checklist (Print)'!VehicleInfo, 40, 4, 1, 1))</f>
        <v/>
      </c>
      <c r="V38" s="106" t="str">
        <f ca="1">IF(OFFSET('Vehicle Checklist (Print)'!VehicleInfo, 40, 5, 1, 1) = 0, "", OFFSET('Vehicle Checklist (Print)'!VehicleInfo, 40, 5, 1, 1))</f>
        <v/>
      </c>
      <c r="W38" s="106" t="str">
        <f ca="1">IF(OFFSET('Vehicle Checklist (Print)'!VehicleInfo, 41, 4, 1, 1) = 0, "", OFFSET('Vehicle Checklist (Print)'!VehicleInfo, 41, 4, 1, 1))</f>
        <v/>
      </c>
      <c r="X38" s="120" t="str">
        <f ca="1">IF(OFFSET('Vehicle Checklist (Print)'!VehicleInfo, 41, 5, 1, 1) = 0, "", OFFSET('Vehicle Checklist (Print)'!VehicleInfo, 41, 5, 1, 1))</f>
        <v/>
      </c>
    </row>
    <row r="39" spans="1:24">
      <c r="A39" s="125" t="s">
        <v>52</v>
      </c>
      <c r="B39" s="106" t="str">
        <f ca="1">IF(OFFSET('Vehicle Checklist (Print)'!VehicleInfo, 22, 6, 1, 1) = 0, "", OFFSET('Vehicle Checklist (Print)'!VehicleInfo, 22, 6, 1, 1))</f>
        <v/>
      </c>
      <c r="C39" s="106" t="str">
        <f ca="1">IF(OFFSET('Vehicle Checklist (Print)'!VehicleInfo, 24, 6, 1, 1) = 0, "", OFFSET('Vehicle Checklist (Print)'!VehicleInfo, 24, 6, 1, 1))</f>
        <v/>
      </c>
      <c r="D39" s="106" t="str">
        <f ca="1">IF(OFFSET('Vehicle Checklist (Print)'!VehicleInfo, 31, 6, 1, 1) = 0, "", OFFSET('Vehicle Checklist (Print)'!VehicleInfo, 31, 6, 1, 1))</f>
        <v/>
      </c>
      <c r="E39" s="106" t="str">
        <f ca="1">IF(OFFSET('Vehicle Checklist (Print)'!VehicleInfo, 31, 7, 1, 1) = 0, "", OFFSET('Vehicle Checklist (Print)'!VehicleInfo, 31, 7, 1, 1))</f>
        <v/>
      </c>
      <c r="F39" s="106" t="str">
        <f ca="1">IF(OFFSET('Vehicle Checklist (Print)'!VehicleInfo, 32, 6, 1, 1) = 0, "", OFFSET('Vehicle Checklist (Print)'!VehicleInfo, 32, 6, 1, 1))</f>
        <v/>
      </c>
      <c r="G39" s="106" t="str">
        <f ca="1">IF(OFFSET('Vehicle Checklist (Print)'!VehicleInfo, 32, 7, 1, 1) = 0, "", OFFSET('Vehicle Checklist (Print)'!VehicleInfo, 32, 7, 1, 1))</f>
        <v/>
      </c>
      <c r="H39" s="106" t="str">
        <f ca="1">IF(OFFSET('Vehicle Checklist (Print)'!VehicleInfo, 33, 6, 1, 1) = 0, "", OFFSET('Vehicle Checklist (Print)'!VehicleInfo, 33, 6, 1, 1))</f>
        <v/>
      </c>
      <c r="I39" s="106" t="str">
        <f ca="1">IF(OFFSET('Vehicle Checklist (Print)'!VehicleInfo, 33, 7, 1, 1) = 0, "", OFFSET('Vehicle Checklist (Print)'!VehicleInfo, 33, 7, 1, 1))</f>
        <v/>
      </c>
      <c r="J39" s="106" t="str">
        <f ca="1">IF(OFFSET('Vehicle Checklist (Print)'!VehicleInfo, 34, 6, 1, 1) = 0, "", OFFSET('Vehicle Checklist (Print)'!VehicleInfo, 34, 6, 1, 1))</f>
        <v/>
      </c>
      <c r="K39" s="106" t="str">
        <f ca="1">IF(OFFSET('Vehicle Checklist (Print)'!VehicleInfo, 35, 6, 1, 1) = 0, "", OFFSET('Vehicle Checklist (Print)'!VehicleInfo, 35, 6, 1, 1))</f>
        <v/>
      </c>
      <c r="L39" s="106" t="str">
        <f ca="1">IF(OFFSET('Vehicle Checklist (Print)'!VehicleInfo, 35, 7, 1, 1) = 0, "", OFFSET('Vehicle Checklist (Print)'!VehicleInfo, 35, 7, 1, 1))</f>
        <v/>
      </c>
      <c r="M39" s="106" t="str">
        <f ca="1">IF(OFFSET('Vehicle Checklist (Print)'!VehicleInfo, 36, 6, 1, 1) = 0, "", OFFSET('Vehicle Checklist (Print)'!VehicleInfo, 36, 6, 1, 1))</f>
        <v/>
      </c>
      <c r="N39" s="106" t="str">
        <f ca="1">IF(OFFSET('Vehicle Checklist (Print)'!VehicleInfo, 36, 7, 1, 1) = 0, "", OFFSET('Vehicle Checklist (Print)'!VehicleInfo, 36, 7, 1, 1))</f>
        <v/>
      </c>
      <c r="O39" s="106" t="str">
        <f ca="1">IF(OFFSET('Vehicle Checklist (Print)'!VehicleInfo, 37, 6, 1, 1) = 0, "", OFFSET('Vehicle Checklist (Print)'!VehicleInfo, 37, 6, 1, 1))</f>
        <v/>
      </c>
      <c r="P39" s="106" t="str">
        <f ca="1">IF(OFFSET('Vehicle Checklist (Print)'!VehicleInfo, 37, 7, 1, 1) = 0, "", OFFSET('Vehicle Checklist (Print)'!VehicleInfo, 37, 7, 1, 1))</f>
        <v/>
      </c>
      <c r="Q39" s="106" t="str">
        <f ca="1">IF(OFFSET('Vehicle Checklist (Print)'!VehicleInfo, 38, 6, 1, 1) = 0, "", OFFSET('Vehicle Checklist (Print)'!VehicleInfo, 38, 6, 1, 1))</f>
        <v/>
      </c>
      <c r="R39" s="106" t="str">
        <f ca="1">IF(OFFSET('Vehicle Checklist (Print)'!VehicleInfo, 38, 7, 1, 1) = 0, "", OFFSET('Vehicle Checklist (Print)'!VehicleInfo, 38, 7, 1, 1))</f>
        <v/>
      </c>
      <c r="S39" s="106" t="str">
        <f ca="1">IF(OFFSET('Vehicle Checklist (Print)'!VehicleInfo, 39, 6, 1, 1) = 0, "", OFFSET('Vehicle Checklist (Print)'!VehicleInfo, 39, 6, 1, 1))</f>
        <v/>
      </c>
      <c r="T39" s="106" t="str">
        <f ca="1">IF(OFFSET('Vehicle Checklist (Print)'!VehicleInfo, 39, 7, 1, 1) = 0, "", OFFSET('Vehicle Checklist (Print)'!VehicleInfo, 39, 7, 1, 1))</f>
        <v/>
      </c>
      <c r="U39" s="106" t="str">
        <f ca="1">IF(OFFSET('Vehicle Checklist (Print)'!VehicleInfo, 40, 6, 1, 1) = 0, "", OFFSET('Vehicle Checklist (Print)'!VehicleInfo, 40, 6, 1, 1))</f>
        <v/>
      </c>
      <c r="V39" s="106" t="str">
        <f ca="1">IF(OFFSET('Vehicle Checklist (Print)'!VehicleInfo, 40, 7, 1, 1) = 0, "", OFFSET('Vehicle Checklist (Print)'!VehicleInfo, 40, 7, 1, 1))</f>
        <v/>
      </c>
      <c r="W39" s="106" t="str">
        <f ca="1">IF(OFFSET('Vehicle Checklist (Print)'!VehicleInfo, 41, 6, 1, 1) = 0, "", OFFSET('Vehicle Checklist (Print)'!VehicleInfo, 41, 6, 1, 1))</f>
        <v/>
      </c>
      <c r="X39" s="120" t="str">
        <f ca="1">IF(OFFSET('Vehicle Checklist (Print)'!VehicleInfo, 41, 7, 1, 1) = 0, "", OFFSET('Vehicle Checklist (Print)'!VehicleInfo, 41, 7, 1, 1))</f>
        <v/>
      </c>
    </row>
    <row r="40" spans="1:24">
      <c r="A40" s="125" t="s">
        <v>53</v>
      </c>
      <c r="B40" s="106" t="str">
        <f ca="1">IF(OFFSET('Vehicle Checklist (Print)'!VehicleInfo, 44, 0, 1, 1) = 0, "", OFFSET('Vehicle Checklist (Print)'!VehicleInfo, 44, 0, 1, 1))</f>
        <v/>
      </c>
      <c r="C40" s="106" t="str">
        <f ca="1">IF(OFFSET('Vehicle Checklist (Print)'!VehicleInfo, 46, 0, 1, 1) = 0, "", OFFSET('Vehicle Checklist (Print)'!VehicleInfo, 46, 0, 1, 1))</f>
        <v/>
      </c>
      <c r="D40" s="106" t="str">
        <f ca="1">IF(OFFSET('Vehicle Checklist (Print)'!VehicleInfo, 53, 0, 1, 1) = 0, "", OFFSET('Vehicle Checklist (Print)'!VehicleInfo, 53, 0, 1, 1))</f>
        <v/>
      </c>
      <c r="E40" s="106" t="str">
        <f ca="1">IF(OFFSET('Vehicle Checklist (Print)'!VehicleInfo, 53, 1, 1, 1) = 0, "", OFFSET('Vehicle Checklist (Print)'!VehicleInfo, 53, 1, 1, 1))</f>
        <v/>
      </c>
      <c r="F40" s="106" t="str">
        <f ca="1">IF(OFFSET('Vehicle Checklist (Print)'!VehicleInfo, 54, 0, 1, 1) = 0, "", OFFSET('Vehicle Checklist (Print)'!VehicleInfo, 54, 0, 1, 1))</f>
        <v/>
      </c>
      <c r="G40" s="106" t="str">
        <f ca="1">IF(OFFSET('Vehicle Checklist (Print)'!VehicleInfo, 54, 1, 1, 1) = 0, "", OFFSET('Vehicle Checklist (Print)'!VehicleInfo, 54, 1, 1, 1))</f>
        <v/>
      </c>
      <c r="H40" s="106" t="str">
        <f ca="1">IF(OFFSET('Vehicle Checklist (Print)'!VehicleInfo, 55, 0, 1, 1) = 0, "", OFFSET('Vehicle Checklist (Print)'!VehicleInfo, 55, 0, 1, 1))</f>
        <v/>
      </c>
      <c r="I40" s="106" t="str">
        <f ca="1">IF(OFFSET('Vehicle Checklist (Print)'!VehicleInfo, 55, 1, 1, 1) = 0, "", OFFSET('Vehicle Checklist (Print)'!VehicleInfo, 55, 1, 1, 1))</f>
        <v/>
      </c>
      <c r="J40" s="106" t="str">
        <f ca="1">IF(OFFSET('Vehicle Checklist (Print)'!VehicleInfo, 56, 0, 1, 1) = 0, "", OFFSET('Vehicle Checklist (Print)'!VehicleInfo, 56, 0, 1, 1))</f>
        <v/>
      </c>
      <c r="K40" s="106" t="str">
        <f ca="1">IF(OFFSET('Vehicle Checklist (Print)'!VehicleInfo, 57, 0, 1, 1) = 0, "", OFFSET('Vehicle Checklist (Print)'!VehicleInfo, 57, 0, 1, 1))</f>
        <v/>
      </c>
      <c r="L40" s="106" t="str">
        <f ca="1">IF(OFFSET('Vehicle Checklist (Print)'!VehicleInfo, 57, 1, 1, 1) = 0, "", OFFSET('Vehicle Checklist (Print)'!VehicleInfo, 57, 1, 1, 1))</f>
        <v/>
      </c>
      <c r="M40" s="106" t="str">
        <f ca="1">IF(OFFSET('Vehicle Checklist (Print)'!VehicleInfo, 58, 0, 1, 1) = 0, "", OFFSET('Vehicle Checklist (Print)'!VehicleInfo, 58, 0, 1, 1))</f>
        <v/>
      </c>
      <c r="N40" s="106" t="str">
        <f ca="1">IF(OFFSET('Vehicle Checklist (Print)'!VehicleInfo, 58, 1, 1, 1) = 0, "", OFFSET('Vehicle Checklist (Print)'!VehicleInfo, 58, 1, 1, 1))</f>
        <v/>
      </c>
      <c r="O40" s="106" t="str">
        <f ca="1">IF(OFFSET('Vehicle Checklist (Print)'!VehicleInfo, 59, 0, 1, 1) = 0, "", OFFSET('Vehicle Checklist (Print)'!VehicleInfo, 59, 0, 1, 1))</f>
        <v/>
      </c>
      <c r="P40" s="106" t="str">
        <f ca="1">IF(OFFSET('Vehicle Checklist (Print)'!VehicleInfo, 59, 1, 1, 1) = 0, "", OFFSET('Vehicle Checklist (Print)'!VehicleInfo, 59, 1, 1, 1))</f>
        <v/>
      </c>
      <c r="Q40" s="106" t="str">
        <f ca="1">IF(OFFSET('Vehicle Checklist (Print)'!VehicleInfo, 60, 0, 1, 1) = 0, "", OFFSET('Vehicle Checklist (Print)'!VehicleInfo, 60, 0, 1, 1))</f>
        <v/>
      </c>
      <c r="R40" s="106" t="str">
        <f ca="1">IF(OFFSET('Vehicle Checklist (Print)'!VehicleInfo, 60, 1, 1, 1) = 0, "", OFFSET('Vehicle Checklist (Print)'!VehicleInfo, 60, 1, 1, 1))</f>
        <v/>
      </c>
      <c r="S40" s="106" t="str">
        <f ca="1">IF(OFFSET('Vehicle Checklist (Print)'!VehicleInfo, 61, 0, 1, 1) = 0, "", OFFSET('Vehicle Checklist (Print)'!VehicleInfo, 61, 0, 1, 1))</f>
        <v/>
      </c>
      <c r="T40" s="106" t="str">
        <f ca="1">IF(OFFSET('Vehicle Checklist (Print)'!VehicleInfo, 61, 1, 1, 1) = 0, "", OFFSET('Vehicle Checklist (Print)'!VehicleInfo, 61, 1, 1, 1))</f>
        <v/>
      </c>
      <c r="U40" s="106" t="str">
        <f ca="1">IF(OFFSET('Vehicle Checklist (Print)'!VehicleInfo, 62, 0, 1, 1) = 0, "", OFFSET('Vehicle Checklist (Print)'!VehicleInfo, 62, 0, 1, 1))</f>
        <v/>
      </c>
      <c r="V40" s="106" t="str">
        <f ca="1">IF(OFFSET('Vehicle Checklist (Print)'!VehicleInfo, 62, 1, 1, 1) = 0, "", OFFSET('Vehicle Checklist (Print)'!VehicleInfo, 62, 1, 1, 1))</f>
        <v/>
      </c>
      <c r="W40" s="106" t="str">
        <f ca="1">IF(OFFSET('Vehicle Checklist (Print)'!VehicleInfo, 63, 0, 1, 1) = 0, "", OFFSET('Vehicle Checklist (Print)'!VehicleInfo, 63, 0, 1, 1))</f>
        <v/>
      </c>
      <c r="X40" s="120" t="str">
        <f ca="1">IF(OFFSET('Vehicle Checklist (Print)'!VehicleInfo, 63, 1, 1, 1) = 0, "", OFFSET('Vehicle Checklist (Print)'!VehicleInfo, 63, 1, 1, 1))</f>
        <v/>
      </c>
    </row>
    <row r="41" spans="1:24">
      <c r="A41" s="125" t="s">
        <v>58</v>
      </c>
      <c r="B41" s="106" t="str">
        <f ca="1">IF(OFFSET('Vehicle Checklist (Print)'!VehicleInfo, 44, 2, 1, 1) = 0, "", OFFSET('Vehicle Checklist (Print)'!VehicleInfo, 44, 2, 1, 1))</f>
        <v/>
      </c>
      <c r="C41" s="106" t="str">
        <f ca="1">IF(OFFSET('Vehicle Checklist (Print)'!VehicleInfo, 46, 2, 1, 1) = 0, "", OFFSET('Vehicle Checklist (Print)'!VehicleInfo, 46, 2, 1, 1))</f>
        <v/>
      </c>
      <c r="D41" s="106" t="str">
        <f ca="1">IF(OFFSET('Vehicle Checklist (Print)'!VehicleInfo, 53, 2, 1, 1) = 0, "", OFFSET('Vehicle Checklist (Print)'!VehicleInfo, 53, 2, 1, 1))</f>
        <v/>
      </c>
      <c r="E41" s="106" t="str">
        <f ca="1">IF(OFFSET('Vehicle Checklist (Print)'!VehicleInfo, 53, 3, 1, 1) = 0, "", OFFSET('Vehicle Checklist (Print)'!VehicleInfo, 53, 3, 1, 1))</f>
        <v/>
      </c>
      <c r="F41" s="106" t="str">
        <f ca="1">IF(OFFSET('Vehicle Checklist (Print)'!VehicleInfo, 54, 2, 1, 1) = 0, "", OFFSET('Vehicle Checklist (Print)'!VehicleInfo, 54, 2, 1, 1))</f>
        <v/>
      </c>
      <c r="G41" s="106" t="str">
        <f ca="1">IF(OFFSET('Vehicle Checklist (Print)'!VehicleInfo, 54, 3, 1, 1) = 0, "", OFFSET('Vehicle Checklist (Print)'!VehicleInfo, 54, 3, 1, 1))</f>
        <v/>
      </c>
      <c r="H41" s="106" t="str">
        <f ca="1">IF(OFFSET('Vehicle Checklist (Print)'!VehicleInfo, 55, 2, 1, 1) = 0, "", OFFSET('Vehicle Checklist (Print)'!VehicleInfo, 55, 2, 1, 1))</f>
        <v/>
      </c>
      <c r="I41" s="106" t="str">
        <f ca="1">IF(OFFSET('Vehicle Checklist (Print)'!VehicleInfo, 55, 3, 1, 1) = 0, "", OFFSET('Vehicle Checklist (Print)'!VehicleInfo, 55, 3, 1, 1))</f>
        <v/>
      </c>
      <c r="J41" s="106" t="str">
        <f ca="1">IF(OFFSET('Vehicle Checklist (Print)'!VehicleInfo, 56, 2, 1, 1) = 0, "", OFFSET('Vehicle Checklist (Print)'!VehicleInfo, 56, 2, 1, 1))</f>
        <v/>
      </c>
      <c r="K41" s="106" t="str">
        <f ca="1">IF(OFFSET('Vehicle Checklist (Print)'!VehicleInfo, 57, 2, 1, 1) = 0, "", OFFSET('Vehicle Checklist (Print)'!VehicleInfo, 57, 2, 1, 1))</f>
        <v/>
      </c>
      <c r="L41" s="106" t="str">
        <f ca="1">IF(OFFSET('Vehicle Checklist (Print)'!VehicleInfo, 57, 3, 1, 1) = 0, "", OFFSET('Vehicle Checklist (Print)'!VehicleInfo, 57, 3, 1, 1))</f>
        <v/>
      </c>
      <c r="M41" s="106" t="str">
        <f ca="1">IF(OFFSET('Vehicle Checklist (Print)'!VehicleInfo, 58, 2, 1, 1) = 0, "", OFFSET('Vehicle Checklist (Print)'!VehicleInfo, 58, 2, 1, 1))</f>
        <v/>
      </c>
      <c r="N41" s="106" t="str">
        <f ca="1">IF(OFFSET('Vehicle Checklist (Print)'!VehicleInfo, 58, 3, 1, 1) = 0, "", OFFSET('Vehicle Checklist (Print)'!VehicleInfo, 58, 3, 1, 1))</f>
        <v/>
      </c>
      <c r="O41" s="106" t="str">
        <f ca="1">IF(OFFSET('Vehicle Checklist (Print)'!VehicleInfo, 59, 2, 1, 1) = 0, "", OFFSET('Vehicle Checklist (Print)'!VehicleInfo, 59, 2, 1, 1))</f>
        <v/>
      </c>
      <c r="P41" s="106" t="str">
        <f ca="1">IF(OFFSET('Vehicle Checklist (Print)'!VehicleInfo, 59, 3, 1, 1) = 0, "", OFFSET('Vehicle Checklist (Print)'!VehicleInfo, 59, 3, 1, 1))</f>
        <v/>
      </c>
      <c r="Q41" s="106" t="str">
        <f ca="1">IF(OFFSET('Vehicle Checklist (Print)'!VehicleInfo, 60, 2, 1, 1) = 0, "", OFFSET('Vehicle Checklist (Print)'!VehicleInfo, 60, 2, 1, 1))</f>
        <v/>
      </c>
      <c r="R41" s="106" t="str">
        <f ca="1">IF(OFFSET('Vehicle Checklist (Print)'!VehicleInfo, 60, 3, 1, 1) = 0, "", OFFSET('Vehicle Checklist (Print)'!VehicleInfo, 60, 3, 1, 1))</f>
        <v/>
      </c>
      <c r="S41" s="106" t="str">
        <f ca="1">IF(OFFSET('Vehicle Checklist (Print)'!VehicleInfo, 61, 2, 1, 1) = 0, "", OFFSET('Vehicle Checklist (Print)'!VehicleInfo, 61, 2, 1, 1))</f>
        <v/>
      </c>
      <c r="T41" s="106" t="str">
        <f ca="1">IF(OFFSET('Vehicle Checklist (Print)'!VehicleInfo, 61, 3, 1, 1) = 0, "", OFFSET('Vehicle Checklist (Print)'!VehicleInfo, 61, 3, 1, 1))</f>
        <v/>
      </c>
      <c r="U41" s="106" t="str">
        <f ca="1">IF(OFFSET('Vehicle Checklist (Print)'!VehicleInfo, 62, 2, 1, 1) = 0, "", OFFSET('Vehicle Checklist (Print)'!VehicleInfo, 62, 2, 1, 1))</f>
        <v/>
      </c>
      <c r="V41" s="106" t="str">
        <f ca="1">IF(OFFSET('Vehicle Checklist (Print)'!VehicleInfo, 62, 3, 1, 1) = 0, "", OFFSET('Vehicle Checklist (Print)'!VehicleInfo, 62, 3, 1, 1))</f>
        <v/>
      </c>
      <c r="W41" s="106" t="str">
        <f ca="1">IF(OFFSET('Vehicle Checklist (Print)'!VehicleInfo, 63, 2, 1, 1) = 0, "", OFFSET('Vehicle Checklist (Print)'!VehicleInfo, 63, 2, 1, 1))</f>
        <v/>
      </c>
      <c r="X41" s="120" t="str">
        <f ca="1">IF(OFFSET('Vehicle Checklist (Print)'!VehicleInfo, 63, 3, 1, 1) = 0, "", OFFSET('Vehicle Checklist (Print)'!VehicleInfo, 63, 3, 1, 1))</f>
        <v/>
      </c>
    </row>
    <row r="42" spans="1:24">
      <c r="A42" s="125" t="s">
        <v>59</v>
      </c>
      <c r="B42" s="106" t="str">
        <f ca="1">IF(OFFSET('Vehicle Checklist (Print)'!VehicleInfo, 44, 4, 1, 1) = 0, "", OFFSET('Vehicle Checklist (Print)'!VehicleInfo, 44, 4, 1, 1))</f>
        <v/>
      </c>
      <c r="C42" s="106" t="str">
        <f ca="1">IF(OFFSET('Vehicle Checklist (Print)'!VehicleInfo, 46, 4, 1, 1) = 0, "", OFFSET('Vehicle Checklist (Print)'!VehicleInfo, 46, 4, 1, 1))</f>
        <v/>
      </c>
      <c r="D42" s="106" t="str">
        <f ca="1">IF(OFFSET('Vehicle Checklist (Print)'!VehicleInfo, 53, 4, 1, 1) = 0, "", OFFSET('Vehicle Checklist (Print)'!VehicleInfo, 53, 4, 1, 1))</f>
        <v/>
      </c>
      <c r="E42" s="106" t="str">
        <f ca="1">IF(OFFSET('Vehicle Checklist (Print)'!VehicleInfo, 53, 5, 1, 1) = 0, "", OFFSET('Vehicle Checklist (Print)'!VehicleInfo, 53, 5, 1, 1))</f>
        <v/>
      </c>
      <c r="F42" s="106" t="str">
        <f ca="1">IF(OFFSET('Vehicle Checklist (Print)'!VehicleInfo, 54, 4, 1, 1) = 0, "", OFFSET('Vehicle Checklist (Print)'!VehicleInfo, 54, 4, 1, 1))</f>
        <v/>
      </c>
      <c r="G42" s="106" t="str">
        <f ca="1">IF(OFFSET('Vehicle Checklist (Print)'!VehicleInfo, 54, 5, 1, 1) = 0, "", OFFSET('Vehicle Checklist (Print)'!VehicleInfo, 54, 5, 1, 1))</f>
        <v/>
      </c>
      <c r="H42" s="106" t="str">
        <f ca="1">IF(OFFSET('Vehicle Checklist (Print)'!VehicleInfo, 55, 4, 1, 1) = 0, "", OFFSET('Vehicle Checklist (Print)'!VehicleInfo, 55, 4, 1, 1))</f>
        <v/>
      </c>
      <c r="I42" s="106" t="str">
        <f ca="1">IF(OFFSET('Vehicle Checklist (Print)'!VehicleInfo, 55, 5, 1, 1) = 0, "", OFFSET('Vehicle Checklist (Print)'!VehicleInfo, 55, 5, 1, 1))</f>
        <v/>
      </c>
      <c r="J42" s="106" t="str">
        <f ca="1">IF(OFFSET('Vehicle Checklist (Print)'!VehicleInfo, 56, 4, 1, 1) = 0, "", OFFSET('Vehicle Checklist (Print)'!VehicleInfo, 56, 4, 1, 1))</f>
        <v/>
      </c>
      <c r="K42" s="106" t="str">
        <f ca="1">IF(OFFSET('Vehicle Checklist (Print)'!VehicleInfo, 57, 4, 1, 1) = 0, "", OFFSET('Vehicle Checklist (Print)'!VehicleInfo, 57, 4, 1, 1))</f>
        <v/>
      </c>
      <c r="L42" s="106" t="str">
        <f ca="1">IF(OFFSET('Vehicle Checklist (Print)'!VehicleInfo, 57, 5, 1, 1) = 0, "", OFFSET('Vehicle Checklist (Print)'!VehicleInfo, 57, 5, 1, 1))</f>
        <v/>
      </c>
      <c r="M42" s="106" t="str">
        <f ca="1">IF(OFFSET('Vehicle Checklist (Print)'!VehicleInfo, 58, 4, 1, 1) = 0, "", OFFSET('Vehicle Checklist (Print)'!VehicleInfo, 58, 4, 1, 1))</f>
        <v/>
      </c>
      <c r="N42" s="106" t="str">
        <f ca="1">IF(OFFSET('Vehicle Checklist (Print)'!VehicleInfo, 58, 5, 1, 1) = 0, "", OFFSET('Vehicle Checklist (Print)'!VehicleInfo, 58, 5, 1, 1))</f>
        <v/>
      </c>
      <c r="O42" s="106" t="str">
        <f ca="1">IF(OFFSET('Vehicle Checklist (Print)'!VehicleInfo, 59, 4, 1, 1) = 0, "", OFFSET('Vehicle Checklist (Print)'!VehicleInfo, 59, 4, 1, 1))</f>
        <v/>
      </c>
      <c r="P42" s="106" t="str">
        <f ca="1">IF(OFFSET('Vehicle Checklist (Print)'!VehicleInfo, 59, 5, 1, 1) = 0, "", OFFSET('Vehicle Checklist (Print)'!VehicleInfo, 59, 5, 1, 1))</f>
        <v/>
      </c>
      <c r="Q42" s="106" t="str">
        <f ca="1">IF(OFFSET('Vehicle Checklist (Print)'!VehicleInfo, 60, 4, 1, 1) = 0, "", OFFSET('Vehicle Checklist (Print)'!VehicleInfo, 60, 4, 1, 1))</f>
        <v/>
      </c>
      <c r="R42" s="106" t="str">
        <f ca="1">IF(OFFSET('Vehicle Checklist (Print)'!VehicleInfo, 60, 5, 1, 1) = 0, "", OFFSET('Vehicle Checklist (Print)'!VehicleInfo, 60, 5, 1, 1))</f>
        <v/>
      </c>
      <c r="S42" s="106" t="str">
        <f ca="1">IF(OFFSET('Vehicle Checklist (Print)'!VehicleInfo, 61, 4, 1, 1) = 0, "", OFFSET('Vehicle Checklist (Print)'!VehicleInfo, 61, 4, 1, 1))</f>
        <v/>
      </c>
      <c r="T42" s="106" t="str">
        <f ca="1">IF(OFFSET('Vehicle Checklist (Print)'!VehicleInfo, 61, 5, 1, 1) = 0, "", OFFSET('Vehicle Checklist (Print)'!VehicleInfo, 61, 5, 1, 1))</f>
        <v/>
      </c>
      <c r="U42" s="106" t="str">
        <f ca="1">IF(OFFSET('Vehicle Checklist (Print)'!VehicleInfo, 62, 4, 1, 1) = 0, "", OFFSET('Vehicle Checklist (Print)'!VehicleInfo, 62, 4, 1, 1))</f>
        <v/>
      </c>
      <c r="V42" s="106" t="str">
        <f ca="1">IF(OFFSET('Vehicle Checklist (Print)'!VehicleInfo, 62, 5, 1, 1) = 0, "", OFFSET('Vehicle Checklist (Print)'!VehicleInfo, 62, 5, 1, 1))</f>
        <v/>
      </c>
      <c r="W42" s="106" t="str">
        <f ca="1">IF(OFFSET('Vehicle Checklist (Print)'!VehicleInfo, 63, 4, 1, 1) = 0, "", OFFSET('Vehicle Checklist (Print)'!VehicleInfo, 63, 4, 1, 1))</f>
        <v/>
      </c>
      <c r="X42" s="120" t="str">
        <f ca="1">IF(OFFSET('Vehicle Checklist (Print)'!VehicleInfo, 63, 5, 1, 1) = 0, "", OFFSET('Vehicle Checklist (Print)'!VehicleInfo, 63, 5, 1, 1))</f>
        <v/>
      </c>
    </row>
    <row r="43" spans="1:24" ht="13" thickBot="1">
      <c r="A43" s="103" t="s">
        <v>60</v>
      </c>
      <c r="B43" s="104" t="str">
        <f ca="1">IF(OFFSET('Vehicle Checklist (Print)'!VehicleInfo, 44, 6, 1, 1) = 0, "", OFFSET('Vehicle Checklist (Print)'!VehicleInfo, 44, 6, 1, 1))</f>
        <v/>
      </c>
      <c r="C43" s="104" t="str">
        <f ca="1">IF(OFFSET('Vehicle Checklist (Print)'!VehicleInfo, 46, 6, 1, 1) = 0, "", OFFSET('Vehicle Checklist (Print)'!VehicleInfo, 46, 6, 1, 1))</f>
        <v/>
      </c>
      <c r="D43" s="104" t="str">
        <f ca="1">IF(OFFSET('Vehicle Checklist (Print)'!VehicleInfo, 53, 6, 1, 1) = 0, "", OFFSET('Vehicle Checklist (Print)'!VehicleInfo, 53, 6, 1, 1))</f>
        <v/>
      </c>
      <c r="E43" s="104" t="str">
        <f ca="1">IF(OFFSET('Vehicle Checklist (Print)'!VehicleInfo, 53, 7, 1, 1) = 0, "", OFFSET('Vehicle Checklist (Print)'!VehicleInfo, 53, 7, 1, 1))</f>
        <v/>
      </c>
      <c r="F43" s="104" t="str">
        <f ca="1">IF(OFFSET('Vehicle Checklist (Print)'!VehicleInfo, 54, 6, 1, 1) = 0, "", OFFSET('Vehicle Checklist (Print)'!VehicleInfo, 54, 6, 1, 1))</f>
        <v/>
      </c>
      <c r="G43" s="104" t="str">
        <f ca="1">IF(OFFSET('Vehicle Checklist (Print)'!VehicleInfo, 54, 7, 1, 1) = 0, "", OFFSET('Vehicle Checklist (Print)'!VehicleInfo, 54, 7, 1, 1))</f>
        <v/>
      </c>
      <c r="H43" s="104" t="str">
        <f ca="1">IF(OFFSET('Vehicle Checklist (Print)'!VehicleInfo, 55, 6, 1, 1) = 0, "", OFFSET('Vehicle Checklist (Print)'!VehicleInfo, 55, 6, 1, 1))</f>
        <v/>
      </c>
      <c r="I43" s="104" t="str">
        <f ca="1">IF(OFFSET('Vehicle Checklist (Print)'!VehicleInfo, 55, 7, 1, 1) = 0, "", OFFSET('Vehicle Checklist (Print)'!VehicleInfo, 55, 7, 1, 1))</f>
        <v/>
      </c>
      <c r="J43" s="104" t="str">
        <f ca="1">IF(OFFSET('Vehicle Checklist (Print)'!VehicleInfo, 56, 6, 1, 1) = 0, "", OFFSET('Vehicle Checklist (Print)'!VehicleInfo, 56, 6, 1, 1))</f>
        <v/>
      </c>
      <c r="K43" s="104" t="str">
        <f ca="1">IF(OFFSET('Vehicle Checklist (Print)'!VehicleInfo, 57, 6, 1, 1) = 0, "", OFFSET('Vehicle Checklist (Print)'!VehicleInfo, 57, 6, 1, 1))</f>
        <v/>
      </c>
      <c r="L43" s="104" t="str">
        <f ca="1">IF(OFFSET('Vehicle Checklist (Print)'!VehicleInfo, 57, 7, 1, 1) = 0, "", OFFSET('Vehicle Checklist (Print)'!VehicleInfo, 57, 7, 1, 1))</f>
        <v/>
      </c>
      <c r="M43" s="104" t="str">
        <f ca="1">IF(OFFSET('Vehicle Checklist (Print)'!VehicleInfo, 58, 6, 1, 1) = 0, "", OFFSET('Vehicle Checklist (Print)'!VehicleInfo, 58, 6, 1, 1))</f>
        <v/>
      </c>
      <c r="N43" s="104" t="str">
        <f ca="1">IF(OFFSET('Vehicle Checklist (Print)'!VehicleInfo, 58, 7, 1, 1) = 0, "", OFFSET('Vehicle Checklist (Print)'!VehicleInfo, 58, 7, 1, 1))</f>
        <v/>
      </c>
      <c r="O43" s="104" t="str">
        <f ca="1">IF(OFFSET('Vehicle Checklist (Print)'!VehicleInfo, 59, 6, 1, 1) = 0, "", OFFSET('Vehicle Checklist (Print)'!VehicleInfo, 59, 6, 1, 1))</f>
        <v/>
      </c>
      <c r="P43" s="104" t="str">
        <f ca="1">IF(OFFSET('Vehicle Checklist (Print)'!VehicleInfo, 59, 7, 1, 1) = 0, "", OFFSET('Vehicle Checklist (Print)'!VehicleInfo, 59, 7, 1, 1))</f>
        <v/>
      </c>
      <c r="Q43" s="104" t="str">
        <f ca="1">IF(OFFSET('Vehicle Checklist (Print)'!VehicleInfo, 60, 6, 1, 1) = 0, "", OFFSET('Vehicle Checklist (Print)'!VehicleInfo, 60, 6, 1, 1))</f>
        <v/>
      </c>
      <c r="R43" s="104" t="str">
        <f ca="1">IF(OFFSET('Vehicle Checklist (Print)'!VehicleInfo, 60, 7, 1, 1) = 0, "", OFFSET('Vehicle Checklist (Print)'!VehicleInfo, 60, 7, 1, 1))</f>
        <v/>
      </c>
      <c r="S43" s="104" t="str">
        <f ca="1">IF(OFFSET('Vehicle Checklist (Print)'!VehicleInfo, 61, 6, 1, 1) = 0, "", OFFSET('Vehicle Checklist (Print)'!VehicleInfo, 61, 6, 1, 1))</f>
        <v/>
      </c>
      <c r="T43" s="104" t="str">
        <f ca="1">IF(OFFSET('Vehicle Checklist (Print)'!VehicleInfo, 61, 7, 1, 1) = 0, "", OFFSET('Vehicle Checklist (Print)'!VehicleInfo, 61, 7, 1, 1))</f>
        <v/>
      </c>
      <c r="U43" s="104" t="str">
        <f ca="1">IF(OFFSET('Vehicle Checklist (Print)'!VehicleInfo, 62, 6, 1, 1) = 0, "", OFFSET('Vehicle Checklist (Print)'!VehicleInfo, 62, 6, 1, 1))</f>
        <v/>
      </c>
      <c r="V43" s="104" t="str">
        <f ca="1">IF(OFFSET('Vehicle Checklist (Print)'!VehicleInfo, 62, 7, 1, 1) = 0, "", OFFSET('Vehicle Checklist (Print)'!VehicleInfo, 62, 7, 1, 1))</f>
        <v/>
      </c>
      <c r="W43" s="104" t="str">
        <f ca="1">IF(OFFSET('Vehicle Checklist (Print)'!VehicleInfo, 63, 6, 1, 1) = 0, "", OFFSET('Vehicle Checklist (Print)'!VehicleInfo, 63, 6, 1, 1))</f>
        <v/>
      </c>
      <c r="X43" s="111" t="str">
        <f ca="1">IF(OFFSET('Vehicle Checklist (Print)'!VehicleInfo, 63, 7, 1, 1) = 0, "", OFFSET('Vehicle Checklist (Print)'!VehicleInfo, 63, 7, 1, 1))</f>
        <v/>
      </c>
    </row>
    <row r="45" spans="1:24" ht="13" thickBot="1">
      <c r="A45" s="2" t="s">
        <v>551</v>
      </c>
    </row>
    <row r="46" spans="1:24" s="5" customFormat="1" ht="25">
      <c r="A46" s="164" t="s">
        <v>426</v>
      </c>
      <c r="B46" s="165" t="s">
        <v>425</v>
      </c>
      <c r="C46" s="165" t="s">
        <v>617</v>
      </c>
      <c r="D46" s="165" t="s">
        <v>611</v>
      </c>
      <c r="E46" s="165" t="s">
        <v>612</v>
      </c>
      <c r="F46" s="165" t="s">
        <v>613</v>
      </c>
      <c r="G46" s="165" t="s">
        <v>610</v>
      </c>
      <c r="H46" s="165" t="s">
        <v>616</v>
      </c>
      <c r="I46" s="166" t="s">
        <v>614</v>
      </c>
      <c r="J46" s="166" t="s">
        <v>615</v>
      </c>
      <c r="K46" s="165" t="s">
        <v>618</v>
      </c>
      <c r="L46" s="165" t="s">
        <v>619</v>
      </c>
      <c r="M46" s="165" t="s">
        <v>620</v>
      </c>
      <c r="N46" s="165" t="s">
        <v>621</v>
      </c>
      <c r="O46" s="165" t="s">
        <v>622</v>
      </c>
      <c r="P46" s="102" t="s">
        <v>645</v>
      </c>
    </row>
    <row r="47" spans="1:24">
      <c r="A47" s="157" t="str">
        <f>IF('Employee Req. Table (Print)'!A19 = 0, "", 'Employee Req. Table (Print)'!A19)</f>
        <v>A</v>
      </c>
      <c r="B47" s="158" t="str">
        <f>IF('Employee Req. Table (Print)'!B19 = 0, "", 'Employee Req. Table (Print)'!B19)</f>
        <v/>
      </c>
      <c r="C47" s="159">
        <f>IF('Employee Req. Table (Print)'!E19=DATE(1900,1,0), DATE(1900,1,1), 'Employee Req. Table (Print)'!E19)</f>
        <v>1</v>
      </c>
      <c r="D47" s="158" t="str">
        <f>IF('Employee Req. Table (Print)'!F19= 0, "", 'Employee Req. Table (Print)'!F19)</f>
        <v/>
      </c>
      <c r="E47" s="158" t="str">
        <f>IF('Employee Req. Table (Print)'!G19= 0, "", 'Employee Req. Table (Print)'!G19)</f>
        <v/>
      </c>
      <c r="F47" s="158" t="str">
        <f>IF('Employee Req. Table (Print)'!H19= 0, "", 'Employee Req. Table (Print)'!H19)</f>
        <v/>
      </c>
      <c r="G47" s="158" t="str">
        <f>IF('Employee Req. Table (Print)'!I19= 0, "", 'Employee Req. Table (Print)'!I19)</f>
        <v/>
      </c>
      <c r="H47" s="158" t="str">
        <f>IF('Employee Req. Table (Print)'!J19= 0, "", 'Employee Req. Table (Print)'!J19)</f>
        <v/>
      </c>
      <c r="I47" s="35" t="str">
        <f>IF('Employee Req. Table (Print)'!N19= 0, "", 'Employee Req. Table (Print)'!N19)</f>
        <v/>
      </c>
      <c r="J47" s="35" t="str">
        <f>IF('Employee Req. Table (Print)'!O19= 0, "", 'Employee Req. Table (Print)'!O19)</f>
        <v/>
      </c>
      <c r="P47" s="221" t="str">
        <f>IF('Employee Req. Table (Print)'!K19= 0, "", 'Employee Req. Table (Print)'!K19)</f>
        <v/>
      </c>
    </row>
    <row r="48" spans="1:24">
      <c r="A48" s="157" t="str">
        <f>IF('Employee Req. Table (Print)'!A20 = 0, "", 'Employee Req. Table (Print)'!A20)</f>
        <v>B</v>
      </c>
      <c r="B48" s="158" t="str">
        <f>IF('Employee Req. Table (Print)'!B20 = 0, "", 'Employee Req. Table (Print)'!B20)</f>
        <v/>
      </c>
      <c r="C48" s="159">
        <f>IF('Employee Req. Table (Print)'!E20=DATE(1900,1,0), DATE(1900,1,1), 'Employee Req. Table (Print)'!E20)</f>
        <v>1</v>
      </c>
      <c r="D48" s="158" t="str">
        <f>IF('Employee Req. Table (Print)'!F20= 0, "", 'Employee Req. Table (Print)'!F20)</f>
        <v/>
      </c>
      <c r="E48" s="158" t="str">
        <f>IF('Employee Req. Table (Print)'!G20= 0, "", 'Employee Req. Table (Print)'!G20)</f>
        <v/>
      </c>
      <c r="F48" s="158" t="str">
        <f>IF('Employee Req. Table (Print)'!H20= 0, "", 'Employee Req. Table (Print)'!H20)</f>
        <v/>
      </c>
      <c r="G48" s="158" t="str">
        <f>IF('Employee Req. Table (Print)'!I20= 0, "", 'Employee Req. Table (Print)'!I20)</f>
        <v/>
      </c>
      <c r="H48" s="158" t="str">
        <f>IF('Employee Req. Table (Print)'!J20= 0, "", 'Employee Req. Table (Print)'!J20)</f>
        <v/>
      </c>
      <c r="I48" s="35" t="str">
        <f>IF('Employee Req. Table (Print)'!N20= 0, "", 'Employee Req. Table (Print)'!N20)</f>
        <v/>
      </c>
      <c r="J48" s="35" t="str">
        <f>IF('Employee Req. Table (Print)'!O20= 0, "", 'Employee Req. Table (Print)'!O20)</f>
        <v/>
      </c>
      <c r="P48" s="221" t="str">
        <f>IF('Employee Req. Table (Print)'!K20= 0, "", 'Employee Req. Table (Print)'!K20)</f>
        <v/>
      </c>
    </row>
    <row r="49" spans="1:16">
      <c r="A49" s="157" t="str">
        <f>IF('Employee Req. Table (Print)'!A21 = 0, "", 'Employee Req. Table (Print)'!A21)</f>
        <v>C</v>
      </c>
      <c r="B49" s="158" t="str">
        <f>IF('Employee Req. Table (Print)'!B21 = 0, "", 'Employee Req. Table (Print)'!B21)</f>
        <v/>
      </c>
      <c r="C49" s="159">
        <f>IF('Employee Req. Table (Print)'!E21=DATE(1900,1,0), DATE(1900,1,1), 'Employee Req. Table (Print)'!E21)</f>
        <v>1</v>
      </c>
      <c r="D49" s="158" t="str">
        <f>IF('Employee Req. Table (Print)'!F21= 0, "", 'Employee Req. Table (Print)'!F21)</f>
        <v/>
      </c>
      <c r="E49" s="158" t="str">
        <f>IF('Employee Req. Table (Print)'!G21= 0, "", 'Employee Req. Table (Print)'!G21)</f>
        <v/>
      </c>
      <c r="F49" s="158" t="str">
        <f>IF('Employee Req. Table (Print)'!H21= 0, "", 'Employee Req. Table (Print)'!H21)</f>
        <v/>
      </c>
      <c r="G49" s="158" t="str">
        <f>IF('Employee Req. Table (Print)'!I21= 0, "", 'Employee Req. Table (Print)'!I21)</f>
        <v/>
      </c>
      <c r="H49" s="158" t="str">
        <f>IF('Employee Req. Table (Print)'!J21= 0, "", 'Employee Req. Table (Print)'!J21)</f>
        <v/>
      </c>
      <c r="I49" s="35" t="str">
        <f>IF('Employee Req. Table (Print)'!N21= 0, "", 'Employee Req. Table (Print)'!N21)</f>
        <v/>
      </c>
      <c r="J49" s="35" t="str">
        <f>IF('Employee Req. Table (Print)'!O21= 0, "", 'Employee Req. Table (Print)'!O21)</f>
        <v/>
      </c>
      <c r="P49" s="221" t="str">
        <f>IF('Employee Req. Table (Print)'!K21= 0, "", 'Employee Req. Table (Print)'!K21)</f>
        <v/>
      </c>
    </row>
    <row r="50" spans="1:16">
      <c r="A50" s="157" t="str">
        <f>IF('Employee Req. Table (Print)'!A22 = 0, "", 'Employee Req. Table (Print)'!A22)</f>
        <v>D</v>
      </c>
      <c r="B50" s="158" t="str">
        <f>IF('Employee Req. Table (Print)'!B22 = 0, "", 'Employee Req. Table (Print)'!B22)</f>
        <v/>
      </c>
      <c r="C50" s="159">
        <f>IF('Employee Req. Table (Print)'!E22=DATE(1900,1,0), DATE(1900,1,1), 'Employee Req. Table (Print)'!E22)</f>
        <v>1</v>
      </c>
      <c r="D50" s="158" t="str">
        <f>IF('Employee Req. Table (Print)'!F22= 0, "", 'Employee Req. Table (Print)'!F22)</f>
        <v/>
      </c>
      <c r="E50" s="158" t="str">
        <f>IF('Employee Req. Table (Print)'!G22= 0, "", 'Employee Req. Table (Print)'!G22)</f>
        <v/>
      </c>
      <c r="F50" s="158" t="str">
        <f>IF('Employee Req. Table (Print)'!H22= 0, "", 'Employee Req. Table (Print)'!H22)</f>
        <v/>
      </c>
      <c r="G50" s="158" t="str">
        <f>IF('Employee Req. Table (Print)'!I22= 0, "", 'Employee Req. Table (Print)'!I22)</f>
        <v/>
      </c>
      <c r="H50" s="158" t="str">
        <f>IF('Employee Req. Table (Print)'!J22= 0, "", 'Employee Req. Table (Print)'!J22)</f>
        <v/>
      </c>
      <c r="I50" s="35" t="str">
        <f>IF('Employee Req. Table (Print)'!N22= 0, "", 'Employee Req. Table (Print)'!N22)</f>
        <v/>
      </c>
      <c r="J50" s="35" t="str">
        <f>IF('Employee Req. Table (Print)'!O22= 0, "", 'Employee Req. Table (Print)'!O22)</f>
        <v/>
      </c>
      <c r="P50" s="221" t="str">
        <f>IF('Employee Req. Table (Print)'!K22= 0, "", 'Employee Req. Table (Print)'!K22)</f>
        <v/>
      </c>
    </row>
    <row r="51" spans="1:16">
      <c r="A51" s="157" t="str">
        <f>IF('Employee Req. Table (Print)'!A23 = 0, "", 'Employee Req. Table (Print)'!A23)</f>
        <v>E</v>
      </c>
      <c r="B51" s="158" t="str">
        <f>IF('Employee Req. Table (Print)'!B23 = 0, "", 'Employee Req. Table (Print)'!B23)</f>
        <v/>
      </c>
      <c r="C51" s="159">
        <f>IF('Employee Req. Table (Print)'!E23=DATE(1900,1,0), DATE(1900,1,1), 'Employee Req. Table (Print)'!E23)</f>
        <v>1</v>
      </c>
      <c r="D51" s="158" t="str">
        <f>IF('Employee Req. Table (Print)'!F23= 0, "", 'Employee Req. Table (Print)'!F23)</f>
        <v/>
      </c>
      <c r="E51" s="158" t="str">
        <f>IF('Employee Req. Table (Print)'!G23= 0, "", 'Employee Req. Table (Print)'!G23)</f>
        <v/>
      </c>
      <c r="F51" s="158" t="str">
        <f>IF('Employee Req. Table (Print)'!H23= 0, "", 'Employee Req. Table (Print)'!H23)</f>
        <v/>
      </c>
      <c r="G51" s="158" t="str">
        <f>IF('Employee Req. Table (Print)'!I23= 0, "", 'Employee Req. Table (Print)'!I23)</f>
        <v/>
      </c>
      <c r="H51" s="158" t="str">
        <f>IF('Employee Req. Table (Print)'!J23= 0, "", 'Employee Req. Table (Print)'!J23)</f>
        <v/>
      </c>
      <c r="I51" s="35" t="str">
        <f>IF('Employee Req. Table (Print)'!N23= 0, "", 'Employee Req. Table (Print)'!N23)</f>
        <v/>
      </c>
      <c r="J51" s="35" t="str">
        <f>IF('Employee Req. Table (Print)'!O23= 0, "", 'Employee Req. Table (Print)'!O23)</f>
        <v/>
      </c>
      <c r="P51" s="221" t="str">
        <f>IF('Employee Req. Table (Print)'!K23= 0, "", 'Employee Req. Table (Print)'!K23)</f>
        <v/>
      </c>
    </row>
    <row r="52" spans="1:16">
      <c r="A52" s="157" t="str">
        <f>IF('Employee Req. Table (Print)'!A24 = 0, "", 'Employee Req. Table (Print)'!A24)</f>
        <v>F</v>
      </c>
      <c r="B52" s="158" t="str">
        <f>IF('Employee Req. Table (Print)'!B24 = 0, "", 'Employee Req. Table (Print)'!B24)</f>
        <v/>
      </c>
      <c r="C52" s="159">
        <f>IF('Employee Req. Table (Print)'!E24=DATE(1900,1,0), DATE(1900,1,1), 'Employee Req. Table (Print)'!E24)</f>
        <v>1</v>
      </c>
      <c r="D52" s="158" t="str">
        <f>IF('Employee Req. Table (Print)'!F24= 0, "", 'Employee Req. Table (Print)'!F24)</f>
        <v/>
      </c>
      <c r="E52" s="158" t="str">
        <f>IF('Employee Req. Table (Print)'!G24= 0, "", 'Employee Req. Table (Print)'!G24)</f>
        <v/>
      </c>
      <c r="F52" s="158" t="str">
        <f>IF('Employee Req. Table (Print)'!H24= 0, "", 'Employee Req. Table (Print)'!H24)</f>
        <v/>
      </c>
      <c r="G52" s="158" t="str">
        <f>IF('Employee Req. Table (Print)'!I24= 0, "", 'Employee Req. Table (Print)'!I24)</f>
        <v/>
      </c>
      <c r="H52" s="158" t="str">
        <f>IF('Employee Req. Table (Print)'!J24= 0, "", 'Employee Req. Table (Print)'!J24)</f>
        <v/>
      </c>
      <c r="I52" s="35" t="str">
        <f>IF('Employee Req. Table (Print)'!N24= 0, "", 'Employee Req. Table (Print)'!N24)</f>
        <v/>
      </c>
      <c r="J52" s="35" t="str">
        <f>IF('Employee Req. Table (Print)'!O24= 0, "", 'Employee Req. Table (Print)'!O24)</f>
        <v/>
      </c>
      <c r="P52" s="221" t="str">
        <f>IF('Employee Req. Table (Print)'!K24= 0, "", 'Employee Req. Table (Print)'!K24)</f>
        <v/>
      </c>
    </row>
    <row r="53" spans="1:16">
      <c r="A53" s="157" t="str">
        <f>IF('Employee Req. Table (Print)'!A25 = 0, "", 'Employee Req. Table (Print)'!A25)</f>
        <v>G</v>
      </c>
      <c r="B53" s="158" t="str">
        <f>IF('Employee Req. Table (Print)'!B25 = 0, "", 'Employee Req. Table (Print)'!B25)</f>
        <v/>
      </c>
      <c r="C53" s="159">
        <f>IF('Employee Req. Table (Print)'!E25=DATE(1900,1,0), DATE(1900,1,1), 'Employee Req. Table (Print)'!E25)</f>
        <v>1</v>
      </c>
      <c r="D53" s="158" t="str">
        <f>IF('Employee Req. Table (Print)'!F25= 0, "", 'Employee Req. Table (Print)'!F25)</f>
        <v/>
      </c>
      <c r="E53" s="158" t="str">
        <f>IF('Employee Req. Table (Print)'!G25= 0, "", 'Employee Req. Table (Print)'!G25)</f>
        <v/>
      </c>
      <c r="F53" s="158" t="str">
        <f>IF('Employee Req. Table (Print)'!H25= 0, "", 'Employee Req. Table (Print)'!H25)</f>
        <v/>
      </c>
      <c r="G53" s="158" t="str">
        <f>IF('Employee Req. Table (Print)'!I25= 0, "", 'Employee Req. Table (Print)'!I25)</f>
        <v/>
      </c>
      <c r="H53" s="158" t="str">
        <f>IF('Employee Req. Table (Print)'!J25= 0, "", 'Employee Req. Table (Print)'!J25)</f>
        <v/>
      </c>
      <c r="I53" s="35" t="str">
        <f>IF('Employee Req. Table (Print)'!N25= 0, "", 'Employee Req. Table (Print)'!N25)</f>
        <v/>
      </c>
      <c r="J53" s="35" t="str">
        <f>IF('Employee Req. Table (Print)'!O25= 0, "", 'Employee Req. Table (Print)'!O25)</f>
        <v/>
      </c>
      <c r="P53" s="221" t="str">
        <f>IF('Employee Req. Table (Print)'!K25= 0, "", 'Employee Req. Table (Print)'!K25)</f>
        <v/>
      </c>
    </row>
    <row r="54" spans="1:16">
      <c r="A54" s="157" t="str">
        <f>IF('Employee Req. Table (Print)'!A26 = 0, "", 'Employee Req. Table (Print)'!A26)</f>
        <v>H</v>
      </c>
      <c r="B54" s="158" t="str">
        <f>IF('Employee Req. Table (Print)'!B26 = 0, "", 'Employee Req. Table (Print)'!B26)</f>
        <v/>
      </c>
      <c r="C54" s="159">
        <f>IF('Employee Req. Table (Print)'!E26=DATE(1900,1,0), DATE(1900,1,1), 'Employee Req. Table (Print)'!E26)</f>
        <v>1</v>
      </c>
      <c r="D54" s="158" t="str">
        <f>IF('Employee Req. Table (Print)'!F26= 0, "", 'Employee Req. Table (Print)'!F26)</f>
        <v/>
      </c>
      <c r="E54" s="158" t="str">
        <f>IF('Employee Req. Table (Print)'!G26= 0, "", 'Employee Req. Table (Print)'!G26)</f>
        <v/>
      </c>
      <c r="F54" s="158" t="str">
        <f>IF('Employee Req. Table (Print)'!H26= 0, "", 'Employee Req. Table (Print)'!H26)</f>
        <v/>
      </c>
      <c r="G54" s="158" t="str">
        <f>IF('Employee Req. Table (Print)'!I26= 0, "", 'Employee Req. Table (Print)'!I26)</f>
        <v/>
      </c>
      <c r="H54" s="158" t="str">
        <f>IF('Employee Req. Table (Print)'!J26= 0, "", 'Employee Req. Table (Print)'!J26)</f>
        <v/>
      </c>
      <c r="I54" s="35" t="str">
        <f>IF('Employee Req. Table (Print)'!N26= 0, "", 'Employee Req. Table (Print)'!N26)</f>
        <v/>
      </c>
      <c r="J54" s="35" t="str">
        <f>IF('Employee Req. Table (Print)'!O26= 0, "", 'Employee Req. Table (Print)'!O26)</f>
        <v/>
      </c>
      <c r="P54" s="221" t="str">
        <f>IF('Employee Req. Table (Print)'!K26= 0, "", 'Employee Req. Table (Print)'!K26)</f>
        <v/>
      </c>
    </row>
    <row r="55" spans="1:16">
      <c r="A55" s="157" t="str">
        <f>IF('Employee Req. Table (Print)'!A27 = 0, "", 'Employee Req. Table (Print)'!A27)</f>
        <v>I</v>
      </c>
      <c r="B55" s="158" t="str">
        <f>IF('Employee Req. Table (Print)'!B27 = 0, "", 'Employee Req. Table (Print)'!B27)</f>
        <v/>
      </c>
      <c r="C55" s="159">
        <f>IF('Employee Req. Table (Print)'!E27=DATE(1900,1,0), DATE(1900,1,1), 'Employee Req. Table (Print)'!E27)</f>
        <v>1</v>
      </c>
      <c r="D55" s="158" t="str">
        <f>IF('Employee Req. Table (Print)'!F27= 0, "", 'Employee Req. Table (Print)'!F27)</f>
        <v/>
      </c>
      <c r="E55" s="158" t="str">
        <f>IF('Employee Req. Table (Print)'!G27= 0, "", 'Employee Req. Table (Print)'!G27)</f>
        <v/>
      </c>
      <c r="F55" s="158" t="str">
        <f>IF('Employee Req. Table (Print)'!H27= 0, "", 'Employee Req. Table (Print)'!H27)</f>
        <v/>
      </c>
      <c r="G55" s="158" t="str">
        <f>IF('Employee Req. Table (Print)'!I27= 0, "", 'Employee Req. Table (Print)'!I27)</f>
        <v/>
      </c>
      <c r="H55" s="158" t="str">
        <f>IF('Employee Req. Table (Print)'!J27= 0, "", 'Employee Req. Table (Print)'!J27)</f>
        <v/>
      </c>
      <c r="I55" s="35" t="str">
        <f>IF('Employee Req. Table (Print)'!N27= 0, "", 'Employee Req. Table (Print)'!N27)</f>
        <v/>
      </c>
      <c r="J55" s="35" t="str">
        <f>IF('Employee Req. Table (Print)'!O27= 0, "", 'Employee Req. Table (Print)'!O27)</f>
        <v/>
      </c>
      <c r="P55" s="221" t="str">
        <f>IF('Employee Req. Table (Print)'!K27= 0, "", 'Employee Req. Table (Print)'!K27)</f>
        <v/>
      </c>
    </row>
    <row r="56" spans="1:16">
      <c r="A56" s="157" t="str">
        <f>IF('Employee Req. Table (Print)'!A28 = 0, "", 'Employee Req. Table (Print)'!A28)</f>
        <v>J</v>
      </c>
      <c r="B56" s="158" t="str">
        <f>IF('Employee Req. Table (Print)'!B28 = 0, "", 'Employee Req. Table (Print)'!B28)</f>
        <v/>
      </c>
      <c r="C56" s="159">
        <f>IF('Employee Req. Table (Print)'!E28=DATE(1900,1,0), DATE(1900,1,1), 'Employee Req. Table (Print)'!E28)</f>
        <v>1</v>
      </c>
      <c r="D56" s="158" t="str">
        <f>IF('Employee Req. Table (Print)'!F28= 0, "", 'Employee Req. Table (Print)'!F28)</f>
        <v/>
      </c>
      <c r="E56" s="158" t="str">
        <f>IF('Employee Req. Table (Print)'!G28= 0, "", 'Employee Req. Table (Print)'!G28)</f>
        <v/>
      </c>
      <c r="F56" s="158" t="str">
        <f>IF('Employee Req. Table (Print)'!H28= 0, "", 'Employee Req. Table (Print)'!H28)</f>
        <v/>
      </c>
      <c r="G56" s="158" t="str">
        <f>IF('Employee Req. Table (Print)'!I28= 0, "", 'Employee Req. Table (Print)'!I28)</f>
        <v/>
      </c>
      <c r="H56" s="158" t="str">
        <f>IF('Employee Req. Table (Print)'!J28= 0, "", 'Employee Req. Table (Print)'!J28)</f>
        <v/>
      </c>
      <c r="I56" s="35" t="str">
        <f>IF('Employee Req. Table (Print)'!N28= 0, "", 'Employee Req. Table (Print)'!N28)</f>
        <v/>
      </c>
      <c r="J56" s="35" t="str">
        <f>IF('Employee Req. Table (Print)'!O28= 0, "", 'Employee Req. Table (Print)'!O28)</f>
        <v/>
      </c>
      <c r="P56" s="221" t="str">
        <f>IF('Employee Req. Table (Print)'!K28= 0, "", 'Employee Req. Table (Print)'!K28)</f>
        <v/>
      </c>
    </row>
    <row r="57" spans="1:16">
      <c r="A57" s="157" t="str">
        <f>IF('Employee Req. Table (Print)'!A29 = 0, "", 'Employee Req. Table (Print)'!A29)</f>
        <v>K</v>
      </c>
      <c r="B57" s="158" t="str">
        <f>IF('Employee Req. Table (Print)'!B29 = 0, "", 'Employee Req. Table (Print)'!B29)</f>
        <v/>
      </c>
      <c r="C57" s="159">
        <f>IF('Employee Req. Table (Print)'!E29=DATE(1900,1,0), DATE(1900,1,1), 'Employee Req. Table (Print)'!E29)</f>
        <v>1</v>
      </c>
      <c r="D57" s="158" t="str">
        <f>IF('Employee Req. Table (Print)'!F29= 0, "", 'Employee Req. Table (Print)'!F29)</f>
        <v/>
      </c>
      <c r="E57" s="158" t="str">
        <f>IF('Employee Req. Table (Print)'!G29= 0, "", 'Employee Req. Table (Print)'!G29)</f>
        <v/>
      </c>
      <c r="F57" s="158" t="str">
        <f>IF('Employee Req. Table (Print)'!H29= 0, "", 'Employee Req. Table (Print)'!H29)</f>
        <v/>
      </c>
      <c r="G57" s="158" t="str">
        <f>IF('Employee Req. Table (Print)'!I29= 0, "", 'Employee Req. Table (Print)'!I29)</f>
        <v/>
      </c>
      <c r="H57" s="158" t="str">
        <f>IF('Employee Req. Table (Print)'!J29= 0, "", 'Employee Req. Table (Print)'!J29)</f>
        <v/>
      </c>
      <c r="I57" s="35" t="str">
        <f>IF('Employee Req. Table (Print)'!N29= 0, "", 'Employee Req. Table (Print)'!N29)</f>
        <v/>
      </c>
      <c r="J57" s="35" t="str">
        <f>IF('Employee Req. Table (Print)'!O29= 0, "", 'Employee Req. Table (Print)'!O29)</f>
        <v/>
      </c>
      <c r="P57" s="221" t="str">
        <f>IF('Employee Req. Table (Print)'!K29= 0, "", 'Employee Req. Table (Print)'!K29)</f>
        <v/>
      </c>
    </row>
    <row r="58" spans="1:16">
      <c r="A58" s="157" t="str">
        <f>IF('Employee Req. Table (Print)'!A30 = 0, "", 'Employee Req. Table (Print)'!A30)</f>
        <v>L</v>
      </c>
      <c r="B58" s="158" t="str">
        <f>IF('Employee Req. Table (Print)'!B30 = 0, "", 'Employee Req. Table (Print)'!B30)</f>
        <v/>
      </c>
      <c r="C58" s="159">
        <f>IF('Employee Req. Table (Print)'!E30=DATE(1900,1,0), DATE(1900,1,1), 'Employee Req. Table (Print)'!E30)</f>
        <v>1</v>
      </c>
      <c r="D58" s="158" t="str">
        <f>IF('Employee Req. Table (Print)'!F30= 0, "", 'Employee Req. Table (Print)'!F30)</f>
        <v/>
      </c>
      <c r="E58" s="158" t="str">
        <f>IF('Employee Req. Table (Print)'!G30= 0, "", 'Employee Req. Table (Print)'!G30)</f>
        <v/>
      </c>
      <c r="F58" s="158" t="str">
        <f>IF('Employee Req. Table (Print)'!H30= 0, "", 'Employee Req. Table (Print)'!H30)</f>
        <v/>
      </c>
      <c r="G58" s="158" t="str">
        <f>IF('Employee Req. Table (Print)'!I30= 0, "", 'Employee Req. Table (Print)'!I30)</f>
        <v/>
      </c>
      <c r="H58" s="158" t="str">
        <f>IF('Employee Req. Table (Print)'!J30= 0, "", 'Employee Req. Table (Print)'!J30)</f>
        <v/>
      </c>
      <c r="I58" s="35" t="str">
        <f>IF('Employee Req. Table (Print)'!N30= 0, "", 'Employee Req. Table (Print)'!N30)</f>
        <v/>
      </c>
      <c r="J58" s="35" t="str">
        <f>IF('Employee Req. Table (Print)'!O30= 0, "", 'Employee Req. Table (Print)'!O30)</f>
        <v/>
      </c>
      <c r="P58" s="221" t="str">
        <f>IF('Employee Req. Table (Print)'!K30= 0, "", 'Employee Req. Table (Print)'!K30)</f>
        <v/>
      </c>
    </row>
    <row r="59" spans="1:16">
      <c r="A59" s="157" t="str">
        <f>IF('Employee Req. Table (Print)'!A31 = 0, "", 'Employee Req. Table (Print)'!A31)</f>
        <v>M</v>
      </c>
      <c r="B59" s="158" t="str">
        <f>IF('Employee Req. Table (Print)'!B31 = 0, "", 'Employee Req. Table (Print)'!B31)</f>
        <v/>
      </c>
      <c r="C59" s="159">
        <f>IF('Employee Req. Table (Print)'!E31=DATE(1900,1,0), DATE(1900,1,1), 'Employee Req. Table (Print)'!E31)</f>
        <v>1</v>
      </c>
      <c r="D59" s="158" t="str">
        <f>IF('Employee Req. Table (Print)'!F31= 0, "", 'Employee Req. Table (Print)'!F31)</f>
        <v/>
      </c>
      <c r="E59" s="158" t="str">
        <f>IF('Employee Req. Table (Print)'!G31= 0, "", 'Employee Req. Table (Print)'!G31)</f>
        <v/>
      </c>
      <c r="F59" s="158" t="str">
        <f>IF('Employee Req. Table (Print)'!H31= 0, "", 'Employee Req. Table (Print)'!H31)</f>
        <v/>
      </c>
      <c r="G59" s="158" t="str">
        <f>IF('Employee Req. Table (Print)'!I31= 0, "", 'Employee Req. Table (Print)'!I31)</f>
        <v/>
      </c>
      <c r="H59" s="158" t="str">
        <f>IF('Employee Req. Table (Print)'!J31= 0, "", 'Employee Req. Table (Print)'!J31)</f>
        <v/>
      </c>
      <c r="I59" s="35" t="str">
        <f>IF('Employee Req. Table (Print)'!N31= 0, "", 'Employee Req. Table (Print)'!N31)</f>
        <v/>
      </c>
      <c r="J59" s="35" t="str">
        <f>IF('Employee Req. Table (Print)'!O31= 0, "", 'Employee Req. Table (Print)'!O31)</f>
        <v/>
      </c>
      <c r="P59" s="221" t="str">
        <f>IF('Employee Req. Table (Print)'!K31= 0, "", 'Employee Req. Table (Print)'!K31)</f>
        <v/>
      </c>
    </row>
    <row r="60" spans="1:16">
      <c r="A60" s="157" t="str">
        <f>IF('Employee Req. Table (Print)'!A32 = 0, "", 'Employee Req. Table (Print)'!A32)</f>
        <v>N</v>
      </c>
      <c r="B60" s="158" t="str">
        <f>IF('Employee Req. Table (Print)'!B32 = 0, "", 'Employee Req. Table (Print)'!B32)</f>
        <v/>
      </c>
      <c r="C60" s="159">
        <f>IF('Employee Req. Table (Print)'!E32=DATE(1900,1,0), DATE(1900,1,1), 'Employee Req. Table (Print)'!E32)</f>
        <v>1</v>
      </c>
      <c r="D60" s="158" t="str">
        <f>IF('Employee Req. Table (Print)'!F32= 0, "", 'Employee Req. Table (Print)'!F32)</f>
        <v/>
      </c>
      <c r="E60" s="158" t="str">
        <f>IF('Employee Req. Table (Print)'!G32= 0, "", 'Employee Req. Table (Print)'!G32)</f>
        <v/>
      </c>
      <c r="F60" s="158" t="str">
        <f>IF('Employee Req. Table (Print)'!H32= 0, "", 'Employee Req. Table (Print)'!H32)</f>
        <v/>
      </c>
      <c r="G60" s="158" t="str">
        <f>IF('Employee Req. Table (Print)'!I32= 0, "", 'Employee Req. Table (Print)'!I32)</f>
        <v/>
      </c>
      <c r="H60" s="158" t="str">
        <f>IF('Employee Req. Table (Print)'!J32= 0, "", 'Employee Req. Table (Print)'!J32)</f>
        <v/>
      </c>
      <c r="I60" s="35" t="str">
        <f>IF('Employee Req. Table (Print)'!N32= 0, "", 'Employee Req. Table (Print)'!N32)</f>
        <v/>
      </c>
      <c r="J60" s="35" t="str">
        <f>IF('Employee Req. Table (Print)'!O32= 0, "", 'Employee Req. Table (Print)'!O32)</f>
        <v/>
      </c>
      <c r="P60" s="221" t="str">
        <f>IF('Employee Req. Table (Print)'!K32= 0, "", 'Employee Req. Table (Print)'!K32)</f>
        <v/>
      </c>
    </row>
    <row r="61" spans="1:16">
      <c r="A61" s="157" t="str">
        <f>IF('Employee Req. Table (Print)'!A33 = 0, "", 'Employee Req. Table (Print)'!A33)</f>
        <v>O</v>
      </c>
      <c r="B61" s="158" t="str">
        <f>IF('Employee Req. Table (Print)'!B33 = 0, "", 'Employee Req. Table (Print)'!B33)</f>
        <v/>
      </c>
      <c r="C61" s="159">
        <f>IF('Employee Req. Table (Print)'!E33=DATE(1900,1,0), DATE(1900,1,1), 'Employee Req. Table (Print)'!E33)</f>
        <v>1</v>
      </c>
      <c r="D61" s="158" t="str">
        <f>IF('Employee Req. Table (Print)'!F33= 0, "", 'Employee Req. Table (Print)'!F33)</f>
        <v/>
      </c>
      <c r="E61" s="158" t="str">
        <f>IF('Employee Req. Table (Print)'!G33= 0, "", 'Employee Req. Table (Print)'!G33)</f>
        <v/>
      </c>
      <c r="F61" s="158" t="str">
        <f>IF('Employee Req. Table (Print)'!H33= 0, "", 'Employee Req. Table (Print)'!H33)</f>
        <v/>
      </c>
      <c r="G61" s="158" t="str">
        <f>IF('Employee Req. Table (Print)'!I33= 0, "", 'Employee Req. Table (Print)'!I33)</f>
        <v/>
      </c>
      <c r="H61" s="158" t="str">
        <f>IF('Employee Req. Table (Print)'!J33= 0, "", 'Employee Req. Table (Print)'!J33)</f>
        <v/>
      </c>
      <c r="I61" s="35" t="str">
        <f>IF('Employee Req. Table (Print)'!N33= 0, "", 'Employee Req. Table (Print)'!N33)</f>
        <v/>
      </c>
      <c r="J61" s="35" t="str">
        <f>IF('Employee Req. Table (Print)'!O33= 0, "", 'Employee Req. Table (Print)'!O33)</f>
        <v/>
      </c>
      <c r="P61" s="221" t="str">
        <f>IF('Employee Req. Table (Print)'!K33= 0, "", 'Employee Req. Table (Print)'!K33)</f>
        <v/>
      </c>
    </row>
    <row r="62" spans="1:16">
      <c r="A62" s="157" t="str">
        <f>IF('Employee Req. Table (Print)'!A34 = 0, "", 'Employee Req. Table (Print)'!A34)</f>
        <v>P</v>
      </c>
      <c r="B62" s="158" t="str">
        <f>IF('Employee Req. Table (Print)'!B34 = 0, "", 'Employee Req. Table (Print)'!B34)</f>
        <v/>
      </c>
      <c r="C62" s="159">
        <f>IF('Employee Req. Table (Print)'!E34=DATE(1900,1,0), DATE(1900,1,1), 'Employee Req. Table (Print)'!E34)</f>
        <v>1</v>
      </c>
      <c r="D62" s="158" t="str">
        <f>IF('Employee Req. Table (Print)'!F34= 0, "", 'Employee Req. Table (Print)'!F34)</f>
        <v/>
      </c>
      <c r="E62" s="158" t="str">
        <f>IF('Employee Req. Table (Print)'!G34= 0, "", 'Employee Req. Table (Print)'!G34)</f>
        <v/>
      </c>
      <c r="F62" s="158" t="str">
        <f>IF('Employee Req. Table (Print)'!H34= 0, "", 'Employee Req. Table (Print)'!H34)</f>
        <v/>
      </c>
      <c r="G62" s="158" t="str">
        <f>IF('Employee Req. Table (Print)'!I34= 0, "", 'Employee Req. Table (Print)'!I34)</f>
        <v/>
      </c>
      <c r="H62" s="158" t="str">
        <f>IF('Employee Req. Table (Print)'!J34= 0, "", 'Employee Req. Table (Print)'!J34)</f>
        <v/>
      </c>
      <c r="I62" s="35" t="str">
        <f>IF('Employee Req. Table (Print)'!N34= 0, "", 'Employee Req. Table (Print)'!N34)</f>
        <v/>
      </c>
      <c r="J62" s="35" t="str">
        <f>IF('Employee Req. Table (Print)'!O34= 0, "", 'Employee Req. Table (Print)'!O34)</f>
        <v/>
      </c>
      <c r="P62" s="221" t="str">
        <f>IF('Employee Req. Table (Print)'!K34= 0, "", 'Employee Req. Table (Print)'!K34)</f>
        <v/>
      </c>
    </row>
    <row r="63" spans="1:16">
      <c r="A63" s="157" t="str">
        <f>IF('Employee Req. Table (Print)'!A35 = 0, "", 'Employee Req. Table (Print)'!A35)</f>
        <v>Q</v>
      </c>
      <c r="B63" s="158" t="str">
        <f>IF('Employee Req. Table (Print)'!B35 = 0, "", 'Employee Req. Table (Print)'!B35)</f>
        <v/>
      </c>
      <c r="C63" s="159">
        <f>IF('Employee Req. Table (Print)'!E35=DATE(1900,1,0), DATE(1900,1,1), 'Employee Req. Table (Print)'!E35)</f>
        <v>1</v>
      </c>
      <c r="D63" s="158" t="str">
        <f>IF('Employee Req. Table (Print)'!F35= 0, "", 'Employee Req. Table (Print)'!F35)</f>
        <v/>
      </c>
      <c r="E63" s="158" t="str">
        <f>IF('Employee Req. Table (Print)'!G35= 0, "", 'Employee Req. Table (Print)'!G35)</f>
        <v/>
      </c>
      <c r="F63" s="158" t="str">
        <f>IF('Employee Req. Table (Print)'!H35= 0, "", 'Employee Req. Table (Print)'!H35)</f>
        <v/>
      </c>
      <c r="G63" s="158" t="str">
        <f>IF('Employee Req. Table (Print)'!I35= 0, "", 'Employee Req. Table (Print)'!I35)</f>
        <v/>
      </c>
      <c r="H63" s="158" t="str">
        <f>IF('Employee Req. Table (Print)'!J35= 0, "", 'Employee Req. Table (Print)'!J35)</f>
        <v/>
      </c>
      <c r="I63" s="35" t="str">
        <f>IF('Employee Req. Table (Print)'!N35= 0, "", 'Employee Req. Table (Print)'!N35)</f>
        <v/>
      </c>
      <c r="J63" s="35" t="str">
        <f>IF('Employee Req. Table (Print)'!O35= 0, "", 'Employee Req. Table (Print)'!O35)</f>
        <v/>
      </c>
      <c r="P63" s="221" t="str">
        <f>IF('Employee Req. Table (Print)'!K35= 0, "", 'Employee Req. Table (Print)'!K35)</f>
        <v/>
      </c>
    </row>
    <row r="64" spans="1:16">
      <c r="A64" s="157" t="str">
        <f>IF('Employee Req. Table (Print)'!A36 = 0, "", 'Employee Req. Table (Print)'!A36)</f>
        <v>R</v>
      </c>
      <c r="B64" s="158" t="str">
        <f>IF('Employee Req. Table (Print)'!B36 = 0, "", 'Employee Req. Table (Print)'!B36)</f>
        <v/>
      </c>
      <c r="C64" s="159">
        <f>IF('Employee Req. Table (Print)'!E36=DATE(1900,1,0), DATE(1900,1,1), 'Employee Req. Table (Print)'!E36)</f>
        <v>1</v>
      </c>
      <c r="D64" s="158" t="str">
        <f>IF('Employee Req. Table (Print)'!F36= 0, "", 'Employee Req. Table (Print)'!F36)</f>
        <v/>
      </c>
      <c r="E64" s="158" t="str">
        <f>IF('Employee Req. Table (Print)'!G36= 0, "", 'Employee Req. Table (Print)'!G36)</f>
        <v/>
      </c>
      <c r="F64" s="158" t="str">
        <f>IF('Employee Req. Table (Print)'!H36= 0, "", 'Employee Req. Table (Print)'!H36)</f>
        <v/>
      </c>
      <c r="G64" s="158" t="str">
        <f>IF('Employee Req. Table (Print)'!I36= 0, "", 'Employee Req. Table (Print)'!I36)</f>
        <v/>
      </c>
      <c r="H64" s="158" t="str">
        <f>IF('Employee Req. Table (Print)'!J36= 0, "", 'Employee Req. Table (Print)'!J36)</f>
        <v/>
      </c>
      <c r="I64" s="35" t="str">
        <f>IF('Employee Req. Table (Print)'!N36= 0, "", 'Employee Req. Table (Print)'!N36)</f>
        <v/>
      </c>
      <c r="J64" s="35" t="str">
        <f>IF('Employee Req. Table (Print)'!O36= 0, "", 'Employee Req. Table (Print)'!O36)</f>
        <v/>
      </c>
      <c r="P64" s="221" t="str">
        <f>IF('Employee Req. Table (Print)'!K36= 0, "", 'Employee Req. Table (Print)'!K36)</f>
        <v/>
      </c>
    </row>
    <row r="65" spans="1:62">
      <c r="A65" s="157" t="str">
        <f>IF('Employee Req. Table (Print)'!A37 = 0, "", 'Employee Req. Table (Print)'!A37)</f>
        <v>S</v>
      </c>
      <c r="B65" s="158" t="str">
        <f>IF('Employee Req. Table (Print)'!B37 = 0, "", 'Employee Req. Table (Print)'!B37)</f>
        <v/>
      </c>
      <c r="C65" s="159">
        <f>IF('Employee Req. Table (Print)'!E37=DATE(1900,1,0), DATE(1900,1,1), 'Employee Req. Table (Print)'!E37)</f>
        <v>1</v>
      </c>
      <c r="D65" s="158" t="str">
        <f>IF('Employee Req. Table (Print)'!F37= 0, "", 'Employee Req. Table (Print)'!F37)</f>
        <v/>
      </c>
      <c r="E65" s="158" t="str">
        <f>IF('Employee Req. Table (Print)'!G37= 0, "", 'Employee Req. Table (Print)'!G37)</f>
        <v/>
      </c>
      <c r="F65" s="158" t="str">
        <f>IF('Employee Req. Table (Print)'!H37= 0, "", 'Employee Req. Table (Print)'!H37)</f>
        <v/>
      </c>
      <c r="G65" s="158" t="str">
        <f>IF('Employee Req. Table (Print)'!I37= 0, "", 'Employee Req. Table (Print)'!I37)</f>
        <v/>
      </c>
      <c r="H65" s="158" t="str">
        <f>IF('Employee Req. Table (Print)'!J37= 0, "", 'Employee Req. Table (Print)'!J37)</f>
        <v/>
      </c>
      <c r="I65" s="35" t="str">
        <f>IF('Employee Req. Table (Print)'!N37= 0, "", 'Employee Req. Table (Print)'!N37)</f>
        <v/>
      </c>
      <c r="J65" s="35" t="str">
        <f>IF('Employee Req. Table (Print)'!O37= 0, "", 'Employee Req. Table (Print)'!O37)</f>
        <v/>
      </c>
      <c r="P65" s="221" t="str">
        <f>IF('Employee Req. Table (Print)'!K37= 0, "", 'Employee Req. Table (Print)'!K37)</f>
        <v/>
      </c>
    </row>
    <row r="66" spans="1:62">
      <c r="A66" s="157" t="str">
        <f>IF('Employee Req. Table (Print)'!A38 = 0, "", 'Employee Req. Table (Print)'!A38)</f>
        <v>T</v>
      </c>
      <c r="B66" s="158" t="str">
        <f>IF('Employee Req. Table (Print)'!B38 = 0, "", 'Employee Req. Table (Print)'!B38)</f>
        <v/>
      </c>
      <c r="C66" s="159">
        <f>IF('Employee Req. Table (Print)'!E38=DATE(1900,1,0), DATE(1900,1,1), 'Employee Req. Table (Print)'!E38)</f>
        <v>1</v>
      </c>
      <c r="D66" s="158" t="str">
        <f>IF('Employee Req. Table (Print)'!F38= 0, "", 'Employee Req. Table (Print)'!F38)</f>
        <v/>
      </c>
      <c r="E66" s="158" t="str">
        <f>IF('Employee Req. Table (Print)'!G38= 0, "", 'Employee Req. Table (Print)'!G38)</f>
        <v/>
      </c>
      <c r="F66" s="158" t="str">
        <f>IF('Employee Req. Table (Print)'!H38= 0, "", 'Employee Req. Table (Print)'!H38)</f>
        <v/>
      </c>
      <c r="G66" s="158" t="str">
        <f>IF('Employee Req. Table (Print)'!I38= 0, "", 'Employee Req. Table (Print)'!I38)</f>
        <v/>
      </c>
      <c r="H66" s="158" t="str">
        <f>IF('Employee Req. Table (Print)'!J38= 0, "", 'Employee Req. Table (Print)'!J38)</f>
        <v/>
      </c>
      <c r="I66" s="35" t="str">
        <f>IF('Employee Req. Table (Print)'!N38= 0, "", 'Employee Req. Table (Print)'!N38)</f>
        <v/>
      </c>
      <c r="J66" s="35" t="str">
        <f>IF('Employee Req. Table (Print)'!O38= 0, "", 'Employee Req. Table (Print)'!O38)</f>
        <v/>
      </c>
      <c r="P66" s="221" t="str">
        <f>IF('Employee Req. Table (Print)'!K38= 0, "", 'Employee Req. Table (Print)'!K38)</f>
        <v/>
      </c>
    </row>
    <row r="67" spans="1:62">
      <c r="A67" s="157" t="str">
        <f>IF('Employee Req. Table (Print)'!A39 = 0, "", 'Employee Req. Table (Print)'!A39)</f>
        <v>U</v>
      </c>
      <c r="B67" s="158" t="str">
        <f>IF('Employee Req. Table (Print)'!B39 = 0, "", 'Employee Req. Table (Print)'!B39)</f>
        <v/>
      </c>
      <c r="C67" s="159">
        <f>IF('Employee Req. Table (Print)'!E39=DATE(1900,1,0), DATE(1900,1,1), 'Employee Req. Table (Print)'!E39)</f>
        <v>1</v>
      </c>
      <c r="D67" s="158" t="str">
        <f>IF('Employee Req. Table (Print)'!F39= 0, "", 'Employee Req. Table (Print)'!F39)</f>
        <v/>
      </c>
      <c r="E67" s="158" t="str">
        <f>IF('Employee Req. Table (Print)'!G39= 0, "", 'Employee Req. Table (Print)'!G39)</f>
        <v/>
      </c>
      <c r="F67" s="158" t="str">
        <f>IF('Employee Req. Table (Print)'!H39= 0, "", 'Employee Req. Table (Print)'!H39)</f>
        <v/>
      </c>
      <c r="G67" s="158" t="str">
        <f>IF('Employee Req. Table (Print)'!I39= 0, "", 'Employee Req. Table (Print)'!I39)</f>
        <v/>
      </c>
      <c r="H67" s="158" t="str">
        <f>IF('Employee Req. Table (Print)'!J39= 0, "", 'Employee Req. Table (Print)'!J39)</f>
        <v/>
      </c>
      <c r="I67" s="35" t="str">
        <f>IF('Employee Req. Table (Print)'!N39= 0, "", 'Employee Req. Table (Print)'!N39)</f>
        <v/>
      </c>
      <c r="J67" s="35" t="str">
        <f>IF('Employee Req. Table (Print)'!O39= 0, "", 'Employee Req. Table (Print)'!O39)</f>
        <v/>
      </c>
      <c r="P67" s="221" t="str">
        <f>IF('Employee Req. Table (Print)'!K39= 0, "", 'Employee Req. Table (Print)'!K39)</f>
        <v/>
      </c>
    </row>
    <row r="68" spans="1:62">
      <c r="A68" s="157" t="str">
        <f>IF('Employee Req. Table (Print)'!A40 = 0, "", 'Employee Req. Table (Print)'!A40)</f>
        <v>V</v>
      </c>
      <c r="B68" s="158" t="str">
        <f>IF('Employee Req. Table (Print)'!B40 = 0, "", 'Employee Req. Table (Print)'!B40)</f>
        <v/>
      </c>
      <c r="C68" s="159">
        <f>IF('Employee Req. Table (Print)'!E40=DATE(1900,1,0), DATE(1900,1,1), 'Employee Req. Table (Print)'!E40)</f>
        <v>1</v>
      </c>
      <c r="D68" s="158" t="str">
        <f>IF('Employee Req. Table (Print)'!F40= 0, "", 'Employee Req. Table (Print)'!F40)</f>
        <v/>
      </c>
      <c r="E68" s="158" t="str">
        <f>IF('Employee Req. Table (Print)'!G40= 0, "", 'Employee Req. Table (Print)'!G40)</f>
        <v/>
      </c>
      <c r="F68" s="158" t="str">
        <f>IF('Employee Req. Table (Print)'!H40= 0, "", 'Employee Req. Table (Print)'!H40)</f>
        <v/>
      </c>
      <c r="G68" s="158" t="str">
        <f>IF('Employee Req. Table (Print)'!I40= 0, "", 'Employee Req. Table (Print)'!I40)</f>
        <v/>
      </c>
      <c r="H68" s="158" t="str">
        <f>IF('Employee Req. Table (Print)'!J40= 0, "", 'Employee Req. Table (Print)'!J40)</f>
        <v/>
      </c>
      <c r="I68" s="35" t="str">
        <f>IF('Employee Req. Table (Print)'!N40= 0, "", 'Employee Req. Table (Print)'!N40)</f>
        <v/>
      </c>
      <c r="J68" s="35" t="str">
        <f>IF('Employee Req. Table (Print)'!O40= 0, "", 'Employee Req. Table (Print)'!O40)</f>
        <v/>
      </c>
      <c r="P68" s="221" t="str">
        <f>IF('Employee Req. Table (Print)'!K40= 0, "", 'Employee Req. Table (Print)'!K40)</f>
        <v/>
      </c>
    </row>
    <row r="69" spans="1:62">
      <c r="A69" s="157" t="str">
        <f>IF('Employee Req. Table (Print)'!A41 = 0, "", 'Employee Req. Table (Print)'!A41)</f>
        <v>W</v>
      </c>
      <c r="B69" s="158" t="str">
        <f>IF('Employee Req. Table (Print)'!B41 = 0, "", 'Employee Req. Table (Print)'!B41)</f>
        <v/>
      </c>
      <c r="C69" s="159">
        <f>IF('Employee Req. Table (Print)'!E41=DATE(1900,1,0), DATE(1900,1,1), 'Employee Req. Table (Print)'!E41)</f>
        <v>1</v>
      </c>
      <c r="D69" s="158" t="str">
        <f>IF('Employee Req. Table (Print)'!F41= 0, "", 'Employee Req. Table (Print)'!F41)</f>
        <v/>
      </c>
      <c r="E69" s="158" t="str">
        <f>IF('Employee Req. Table (Print)'!G41= 0, "", 'Employee Req. Table (Print)'!G41)</f>
        <v/>
      </c>
      <c r="F69" s="158" t="str">
        <f>IF('Employee Req. Table (Print)'!H41= 0, "", 'Employee Req. Table (Print)'!H41)</f>
        <v/>
      </c>
      <c r="G69" s="158" t="str">
        <f>IF('Employee Req. Table (Print)'!I41= 0, "", 'Employee Req. Table (Print)'!I41)</f>
        <v/>
      </c>
      <c r="H69" s="158" t="str">
        <f>IF('Employee Req. Table (Print)'!J41= 0, "", 'Employee Req. Table (Print)'!J41)</f>
        <v/>
      </c>
      <c r="I69" s="35" t="str">
        <f>IF('Employee Req. Table (Print)'!N41= 0, "", 'Employee Req. Table (Print)'!N41)</f>
        <v/>
      </c>
      <c r="J69" s="35" t="str">
        <f>IF('Employee Req. Table (Print)'!O41= 0, "", 'Employee Req. Table (Print)'!O41)</f>
        <v/>
      </c>
      <c r="P69" s="221" t="str">
        <f>IF('Employee Req. Table (Print)'!K41= 0, "", 'Employee Req. Table (Print)'!K41)</f>
        <v/>
      </c>
    </row>
    <row r="70" spans="1:62">
      <c r="A70" s="157" t="str">
        <f>IF('Employee Req. Table (Print)'!A42 = 0, "", 'Employee Req. Table (Print)'!A42)</f>
        <v>X</v>
      </c>
      <c r="B70" s="158" t="str">
        <f>IF('Employee Req. Table (Print)'!B42 = 0, "", 'Employee Req. Table (Print)'!B42)</f>
        <v/>
      </c>
      <c r="C70" s="159">
        <f>IF('Employee Req. Table (Print)'!E42=DATE(1900,1,0), DATE(1900,1,1), 'Employee Req. Table (Print)'!E42)</f>
        <v>1</v>
      </c>
      <c r="D70" s="158" t="str">
        <f>IF('Employee Req. Table (Print)'!F42= 0, "", 'Employee Req. Table (Print)'!F42)</f>
        <v/>
      </c>
      <c r="E70" s="158" t="str">
        <f>IF('Employee Req. Table (Print)'!G42= 0, "", 'Employee Req. Table (Print)'!G42)</f>
        <v/>
      </c>
      <c r="F70" s="158" t="str">
        <f>IF('Employee Req. Table (Print)'!H42= 0, "", 'Employee Req. Table (Print)'!H42)</f>
        <v/>
      </c>
      <c r="G70" s="158" t="str">
        <f>IF('Employee Req. Table (Print)'!I42= 0, "", 'Employee Req. Table (Print)'!I42)</f>
        <v/>
      </c>
      <c r="H70" s="158" t="str">
        <f>IF('Employee Req. Table (Print)'!J42= 0, "", 'Employee Req. Table (Print)'!J42)</f>
        <v/>
      </c>
      <c r="I70" s="35" t="str">
        <f>IF('Employee Req. Table (Print)'!N42= 0, "", 'Employee Req. Table (Print)'!N42)</f>
        <v/>
      </c>
      <c r="J70" s="35" t="str">
        <f>IF('Employee Req. Table (Print)'!O42= 0, "", 'Employee Req. Table (Print)'!O42)</f>
        <v/>
      </c>
      <c r="P70" s="221" t="str">
        <f>IF('Employee Req. Table (Print)'!K42= 0, "", 'Employee Req. Table (Print)'!K42)</f>
        <v/>
      </c>
    </row>
    <row r="71" spans="1:62">
      <c r="A71" s="157" t="str">
        <f>IF('Employee Req. Table (Print)'!A43 = 0, "", 'Employee Req. Table (Print)'!A43)</f>
        <v>Y</v>
      </c>
      <c r="B71" s="158" t="str">
        <f>IF('Employee Req. Table (Print)'!B43 = 0, "", 'Employee Req. Table (Print)'!B43)</f>
        <v/>
      </c>
      <c r="C71" s="159">
        <f>IF('Employee Req. Table (Print)'!E43=DATE(1900,1,0), DATE(1900,1,1), 'Employee Req. Table (Print)'!E43)</f>
        <v>1</v>
      </c>
      <c r="D71" s="158" t="str">
        <f>IF('Employee Req. Table (Print)'!F43= 0, "", 'Employee Req. Table (Print)'!F43)</f>
        <v/>
      </c>
      <c r="E71" s="158" t="str">
        <f>IF('Employee Req. Table (Print)'!G43= 0, "", 'Employee Req. Table (Print)'!G43)</f>
        <v/>
      </c>
      <c r="F71" s="158" t="str">
        <f>IF('Employee Req. Table (Print)'!H43= 0, "", 'Employee Req. Table (Print)'!H43)</f>
        <v/>
      </c>
      <c r="G71" s="158" t="str">
        <f>IF('Employee Req. Table (Print)'!I43= 0, "", 'Employee Req. Table (Print)'!I43)</f>
        <v/>
      </c>
      <c r="H71" s="158" t="str">
        <f>IF('Employee Req. Table (Print)'!J43= 0, "", 'Employee Req. Table (Print)'!J43)</f>
        <v/>
      </c>
      <c r="I71" s="35" t="str">
        <f>IF('Employee Req. Table (Print)'!N43= 0, "", 'Employee Req. Table (Print)'!N43)</f>
        <v/>
      </c>
      <c r="J71" s="35" t="str">
        <f>IF('Employee Req. Table (Print)'!O43= 0, "", 'Employee Req. Table (Print)'!O43)</f>
        <v/>
      </c>
      <c r="P71" s="221" t="str">
        <f>IF('Employee Req. Table (Print)'!K43= 0, "", 'Employee Req. Table (Print)'!K43)</f>
        <v/>
      </c>
    </row>
    <row r="72" spans="1:62">
      <c r="A72" s="157" t="str">
        <f>IF('Employee Req. Table (Print)'!A44 = 0, "", 'Employee Req. Table (Print)'!A44)</f>
        <v>Z</v>
      </c>
      <c r="B72" s="158" t="str">
        <f>IF('Employee Req. Table (Print)'!B44 = 0, "", 'Employee Req. Table (Print)'!B44)</f>
        <v/>
      </c>
      <c r="C72" s="159">
        <f>IF('Employee Req. Table (Print)'!E44=DATE(1900,1,0), DATE(1900,1,1), 'Employee Req. Table (Print)'!E44)</f>
        <v>1</v>
      </c>
      <c r="D72" s="158" t="str">
        <f>IF('Employee Req. Table (Print)'!F44= 0, "", 'Employee Req. Table (Print)'!F44)</f>
        <v/>
      </c>
      <c r="E72" s="158" t="str">
        <f>IF('Employee Req. Table (Print)'!G44= 0, "", 'Employee Req. Table (Print)'!G44)</f>
        <v/>
      </c>
      <c r="F72" s="158" t="str">
        <f>IF('Employee Req. Table (Print)'!H44= 0, "", 'Employee Req. Table (Print)'!H44)</f>
        <v/>
      </c>
      <c r="G72" s="158" t="str">
        <f>IF('Employee Req. Table (Print)'!I44= 0, "", 'Employee Req. Table (Print)'!I44)</f>
        <v/>
      </c>
      <c r="H72" s="158" t="str">
        <f>IF('Employee Req. Table (Print)'!J44= 0, "", 'Employee Req. Table (Print)'!J44)</f>
        <v/>
      </c>
      <c r="I72" s="35" t="str">
        <f>IF('Employee Req. Table (Print)'!N44= 0, "", 'Employee Req. Table (Print)'!N44)</f>
        <v/>
      </c>
      <c r="J72" s="35" t="str">
        <f>IF('Employee Req. Table (Print)'!O44= 0, "", 'Employee Req. Table (Print)'!O44)</f>
        <v/>
      </c>
      <c r="P72" s="221" t="str">
        <f>IF('Employee Req. Table (Print)'!K44= 0, "", 'Employee Req. Table (Print)'!K44)</f>
        <v/>
      </c>
    </row>
    <row r="73" spans="1:62">
      <c r="A73" s="157" t="str">
        <f>IF('Employee Req. Table (Print)'!A45 = 0, "", 'Employee Req. Table (Print)'!A45)</f>
        <v>AA</v>
      </c>
      <c r="B73" s="158" t="str">
        <f>IF('Employee Req. Table (Print)'!B45 = 0, "", 'Employee Req. Table (Print)'!B45)</f>
        <v/>
      </c>
      <c r="C73" s="159">
        <f>IF('Employee Req. Table (Print)'!E45=DATE(1900,1,0), DATE(1900,1,1), 'Employee Req. Table (Print)'!E45)</f>
        <v>1</v>
      </c>
      <c r="D73" s="158" t="str">
        <f>IF('Employee Req. Table (Print)'!F45= 0, "", 'Employee Req. Table (Print)'!F45)</f>
        <v/>
      </c>
      <c r="E73" s="158" t="str">
        <f>IF('Employee Req. Table (Print)'!G45= 0, "", 'Employee Req. Table (Print)'!G45)</f>
        <v/>
      </c>
      <c r="F73" s="158" t="str">
        <f>IF('Employee Req. Table (Print)'!H45= 0, "", 'Employee Req. Table (Print)'!H45)</f>
        <v/>
      </c>
      <c r="G73" s="158" t="str">
        <f>IF('Employee Req. Table (Print)'!I45= 0, "", 'Employee Req. Table (Print)'!I45)</f>
        <v/>
      </c>
      <c r="H73" s="158" t="str">
        <f>IF('Employee Req. Table (Print)'!J45= 0, "", 'Employee Req. Table (Print)'!J45)</f>
        <v/>
      </c>
      <c r="I73" s="35" t="str">
        <f>IF('Employee Req. Table (Print)'!N45= 0, "", 'Employee Req. Table (Print)'!N45)</f>
        <v/>
      </c>
      <c r="J73" s="35" t="str">
        <f>IF('Employee Req. Table (Print)'!O45= 0, "", 'Employee Req. Table (Print)'!O45)</f>
        <v/>
      </c>
      <c r="P73" s="221" t="str">
        <f>IF('Employee Req. Table (Print)'!K45= 0, "", 'Employee Req. Table (Print)'!K45)</f>
        <v/>
      </c>
    </row>
    <row r="74" spans="1:62">
      <c r="A74" s="157" t="str">
        <f>IF('Employee Req. Table (Print)'!A46 = 0, "", 'Employee Req. Table (Print)'!A46)</f>
        <v>BB</v>
      </c>
      <c r="B74" s="158" t="str">
        <f>IF('Employee Req. Table (Print)'!B46 = 0, "", 'Employee Req. Table (Print)'!B46)</f>
        <v/>
      </c>
      <c r="C74" s="159">
        <f>IF('Employee Req. Table (Print)'!E46=DATE(1900,1,0), DATE(1900,1,1), 'Employee Req. Table (Print)'!E46)</f>
        <v>1</v>
      </c>
      <c r="D74" s="158" t="str">
        <f>IF('Employee Req. Table (Print)'!F46= 0, "", 'Employee Req. Table (Print)'!F46)</f>
        <v/>
      </c>
      <c r="E74" s="158" t="str">
        <f>IF('Employee Req. Table (Print)'!G46= 0, "", 'Employee Req. Table (Print)'!G46)</f>
        <v/>
      </c>
      <c r="F74" s="158" t="str">
        <f>IF('Employee Req. Table (Print)'!H46= 0, "", 'Employee Req. Table (Print)'!H46)</f>
        <v/>
      </c>
      <c r="G74" s="158" t="str">
        <f>IF('Employee Req. Table (Print)'!I46= 0, "", 'Employee Req. Table (Print)'!I46)</f>
        <v/>
      </c>
      <c r="H74" s="158" t="str">
        <f>IF('Employee Req. Table (Print)'!J46= 0, "", 'Employee Req. Table (Print)'!J46)</f>
        <v/>
      </c>
      <c r="I74" s="35" t="str">
        <f>IF('Employee Req. Table (Print)'!N46= 0, "", 'Employee Req. Table (Print)'!N46)</f>
        <v/>
      </c>
      <c r="J74" s="35" t="str">
        <f>IF('Employee Req. Table (Print)'!O46= 0, "", 'Employee Req. Table (Print)'!O46)</f>
        <v/>
      </c>
      <c r="P74" s="221" t="str">
        <f>IF('Employee Req. Table (Print)'!K46= 0, "", 'Employee Req. Table (Print)'!K46)</f>
        <v/>
      </c>
    </row>
    <row r="75" spans="1:62">
      <c r="A75" s="157" t="str">
        <f>IF('Employee Req. Table (Print)'!A47 = 0, "", 'Employee Req. Table (Print)'!A47)</f>
        <v>CC</v>
      </c>
      <c r="B75" s="158" t="str">
        <f>IF('Employee Req. Table (Print)'!B47 = 0, "", 'Employee Req. Table (Print)'!B47)</f>
        <v/>
      </c>
      <c r="C75" s="159">
        <f>IF('Employee Req. Table (Print)'!E47=DATE(1900,1,0), DATE(1900,1,1), 'Employee Req. Table (Print)'!E47)</f>
        <v>1</v>
      </c>
      <c r="D75" s="158" t="str">
        <f>IF('Employee Req. Table (Print)'!F47= 0, "", 'Employee Req. Table (Print)'!F47)</f>
        <v/>
      </c>
      <c r="E75" s="158" t="str">
        <f>IF('Employee Req. Table (Print)'!G47= 0, "", 'Employee Req. Table (Print)'!G47)</f>
        <v/>
      </c>
      <c r="F75" s="158" t="str">
        <f>IF('Employee Req. Table (Print)'!H47= 0, "", 'Employee Req. Table (Print)'!H47)</f>
        <v/>
      </c>
      <c r="G75" s="158" t="str">
        <f>IF('Employee Req. Table (Print)'!I47= 0, "", 'Employee Req. Table (Print)'!I47)</f>
        <v/>
      </c>
      <c r="H75" s="158" t="str">
        <f>IF('Employee Req. Table (Print)'!J47= 0, "", 'Employee Req. Table (Print)'!J47)</f>
        <v/>
      </c>
      <c r="I75" s="35" t="str">
        <f>IF('Employee Req. Table (Print)'!N47= 0, "", 'Employee Req. Table (Print)'!N47)</f>
        <v/>
      </c>
      <c r="J75" s="35" t="str">
        <f>IF('Employee Req. Table (Print)'!O47= 0, "", 'Employee Req. Table (Print)'!O47)</f>
        <v/>
      </c>
      <c r="P75" s="221" t="str">
        <f>IF('Employee Req. Table (Print)'!K47= 0, "", 'Employee Req. Table (Print)'!K47)</f>
        <v/>
      </c>
    </row>
    <row r="76" spans="1:62" ht="13" thickBot="1">
      <c r="A76" s="160" t="str">
        <f>IF('Employee Req. Table (Print)'!A48 = 0, "", 'Employee Req. Table (Print)'!A48)</f>
        <v>DD</v>
      </c>
      <c r="B76" s="161" t="str">
        <f>IF('Employee Req. Table (Print)'!B48 = 0, "", 'Employee Req. Table (Print)'!B48)</f>
        <v/>
      </c>
      <c r="C76" s="162">
        <f>IF('Employee Req. Table (Print)'!E48=DATE(1900,1,0), DATE(1900,1,1), 'Employee Req. Table (Print)'!E48)</f>
        <v>1</v>
      </c>
      <c r="D76" s="161" t="str">
        <f>IF('Employee Req. Table (Print)'!F48= 0, "", 'Employee Req. Table (Print)'!F48)</f>
        <v/>
      </c>
      <c r="E76" s="161" t="str">
        <f>IF('Employee Req. Table (Print)'!G48= 0, "", 'Employee Req. Table (Print)'!G48)</f>
        <v/>
      </c>
      <c r="F76" s="161" t="str">
        <f>IF('Employee Req. Table (Print)'!H48= 0, "", 'Employee Req. Table (Print)'!H48)</f>
        <v/>
      </c>
      <c r="G76" s="161" t="str">
        <f>IF('Employee Req. Table (Print)'!I48= 0, "", 'Employee Req. Table (Print)'!I48)</f>
        <v/>
      </c>
      <c r="H76" s="161" t="str">
        <f>IF('Employee Req. Table (Print)'!J48= 0, "", 'Employee Req. Table (Print)'!J48)</f>
        <v/>
      </c>
      <c r="I76" s="163" t="str">
        <f>IF('Employee Req. Table (Print)'!N48= 0, "", 'Employee Req. Table (Print)'!N48)</f>
        <v/>
      </c>
      <c r="J76" s="163" t="str">
        <f>IF('Employee Req. Table (Print)'!O48= 0, "", 'Employee Req. Table (Print)'!O48)</f>
        <v/>
      </c>
      <c r="K76" s="131"/>
      <c r="L76" s="131"/>
      <c r="M76" s="131"/>
      <c r="N76" s="131"/>
      <c r="O76" s="131"/>
      <c r="P76" s="222" t="str">
        <f>IF('Employee Req. Table (Print)'!K48= 0, "", 'Employee Req. Table (Print)'!K48)</f>
        <v/>
      </c>
    </row>
    <row r="78" spans="1:62" ht="13" thickBot="1">
      <c r="A78" s="2" t="s">
        <v>552</v>
      </c>
    </row>
    <row r="79" spans="1:62" s="5" customFormat="1" ht="25">
      <c r="A79" s="100" t="s">
        <v>427</v>
      </c>
      <c r="B79" s="101" t="s">
        <v>310</v>
      </c>
      <c r="C79" s="101" t="s">
        <v>311</v>
      </c>
      <c r="D79" s="101" t="s">
        <v>428</v>
      </c>
      <c r="E79" s="101" t="s">
        <v>560</v>
      </c>
      <c r="F79" s="127" t="s">
        <v>432</v>
      </c>
      <c r="G79" s="127" t="s">
        <v>433</v>
      </c>
      <c r="H79" s="101" t="s">
        <v>312</v>
      </c>
      <c r="I79" s="101" t="s">
        <v>399</v>
      </c>
      <c r="J79" s="101" t="s">
        <v>307</v>
      </c>
      <c r="K79" s="101" t="s">
        <v>308</v>
      </c>
      <c r="L79" s="101" t="s">
        <v>434</v>
      </c>
      <c r="M79" s="101" t="s">
        <v>435</v>
      </c>
      <c r="N79" s="101" t="s">
        <v>436</v>
      </c>
      <c r="O79" s="101" t="s">
        <v>437</v>
      </c>
      <c r="P79" s="101" t="s">
        <v>438</v>
      </c>
      <c r="Q79" s="101" t="s">
        <v>439</v>
      </c>
      <c r="R79" s="101" t="s">
        <v>440</v>
      </c>
      <c r="S79" s="101" t="s">
        <v>441</v>
      </c>
      <c r="T79" s="101" t="s">
        <v>555</v>
      </c>
      <c r="U79" s="101" t="s">
        <v>442</v>
      </c>
      <c r="V79" s="101" t="s">
        <v>443</v>
      </c>
      <c r="W79" s="101" t="s">
        <v>444</v>
      </c>
      <c r="X79" s="101" t="s">
        <v>445</v>
      </c>
      <c r="Y79" s="101" t="s">
        <v>446</v>
      </c>
      <c r="Z79" s="101" t="s">
        <v>447</v>
      </c>
      <c r="AA79" s="101" t="s">
        <v>448</v>
      </c>
      <c r="AB79" s="101" t="s">
        <v>449</v>
      </c>
      <c r="AC79" s="101" t="s">
        <v>450</v>
      </c>
      <c r="AD79" s="101" t="s">
        <v>451</v>
      </c>
      <c r="AE79" s="101" t="s">
        <v>452</v>
      </c>
      <c r="AF79" s="101" t="s">
        <v>453</v>
      </c>
      <c r="AG79" s="101" t="s">
        <v>454</v>
      </c>
      <c r="AH79" s="101" t="s">
        <v>455</v>
      </c>
      <c r="AI79" s="101" t="s">
        <v>456</v>
      </c>
      <c r="AJ79" s="101" t="s">
        <v>457</v>
      </c>
      <c r="AK79" s="101" t="s">
        <v>458</v>
      </c>
      <c r="AL79" s="101" t="s">
        <v>459</v>
      </c>
      <c r="AM79" s="101" t="s">
        <v>640</v>
      </c>
      <c r="AN79" s="101" t="s">
        <v>460</v>
      </c>
      <c r="AO79" s="101" t="s">
        <v>461</v>
      </c>
      <c r="AP79" s="101" t="s">
        <v>462</v>
      </c>
      <c r="AQ79" s="101" t="s">
        <v>463</v>
      </c>
      <c r="AR79" s="101" t="s">
        <v>464</v>
      </c>
      <c r="AS79" s="101" t="s">
        <v>465</v>
      </c>
      <c r="AT79" s="101" t="s">
        <v>466</v>
      </c>
      <c r="AU79" s="101" t="s">
        <v>467</v>
      </c>
      <c r="AV79" s="101" t="s">
        <v>468</v>
      </c>
      <c r="AW79" s="101" t="s">
        <v>469</v>
      </c>
      <c r="AX79" s="101" t="s">
        <v>470</v>
      </c>
      <c r="AY79" s="101" t="s">
        <v>471</v>
      </c>
      <c r="AZ79" s="101" t="s">
        <v>472</v>
      </c>
      <c r="BA79" s="101" t="s">
        <v>473</v>
      </c>
      <c r="BB79" s="101" t="s">
        <v>474</v>
      </c>
      <c r="BC79" s="101" t="s">
        <v>475</v>
      </c>
      <c r="BD79" s="101" t="s">
        <v>683</v>
      </c>
      <c r="BE79" s="101" t="s">
        <v>684</v>
      </c>
      <c r="BF79" s="101" t="s">
        <v>476</v>
      </c>
      <c r="BG79" s="101" t="s">
        <v>608</v>
      </c>
      <c r="BH79" s="101" t="s">
        <v>609</v>
      </c>
      <c r="BI79" s="101" t="s">
        <v>638</v>
      </c>
      <c r="BJ79" s="102" t="s">
        <v>639</v>
      </c>
    </row>
    <row r="80" spans="1:62">
      <c r="A80" s="125" t="s">
        <v>429</v>
      </c>
      <c r="B80" s="107">
        <f>IF('Samples (Print)'!D5=DATE(1900,1,0), DATE(1900,1,1),'Samples (Print)'!D5)</f>
        <v>1</v>
      </c>
      <c r="C80" s="107">
        <f>IF('Samples (Print)'!E5=DATE(1900,1,0), DATE(1900,1,1),'Samples (Print)'!E5)</f>
        <v>1</v>
      </c>
      <c r="D80" s="128">
        <f>'IWP01'!SampleNumber</f>
        <v>1</v>
      </c>
      <c r="E80" s="128">
        <f>'IWP01'!ClientID</f>
        <v>0</v>
      </c>
      <c r="F80" s="129"/>
      <c r="G80" s="129"/>
      <c r="H80" s="106" t="str">
        <f ca="1">IF('IWP01'!ContractNumber = 0, "", 'IWP01'!ContractNumber)</f>
        <v/>
      </c>
      <c r="I80" s="106" t="str">
        <f>IF('IWP01'!ServiceCode = 0, "", 'IWP01'!ServiceCode)</f>
        <v/>
      </c>
      <c r="J80" s="106" t="str">
        <f>IF('IWP01'!CompletedByLastName = 0, "", 'IWP01'!CompletedByLastName)</f>
        <v/>
      </c>
      <c r="K80" s="106" t="str">
        <f>IF('IWP01'!CompletedByFirstName = 0, "", 'IWP01'!CompletedByFirstName)</f>
        <v/>
      </c>
      <c r="L80" s="107">
        <f>IF('IWP01'!DateCompleted=DATE(1900,1,0), DATE(1900,1,1),'IWP01'!DateCompleted)</f>
        <v>1</v>
      </c>
      <c r="M80" s="107">
        <f>IF('IWP01'!Std4ReferralDate=DATE(1900,1,0), DATE(1900,1,1),'IWP01'!Std4ReferralDate)</f>
        <v>1</v>
      </c>
      <c r="N80" s="107">
        <f>IF('IWP01'!Std4BeginDate=DATE(1900,1,0), DATE(1900,1,1),'IWP01'!Std4BeginDate)</f>
        <v>1</v>
      </c>
      <c r="O80" s="107">
        <f>IF('IWP01'!Std4DateOfReceipt=DATE(1900,1,0), DATE(1900,1,1),'IWP01'!Std4DateOfReceipt)</f>
        <v>1</v>
      </c>
      <c r="P80" s="107">
        <f>IF('IWP01'!Std4FirstDayOfSvc=DATE(1900,1,0), DATE(1900,1,1),'IWP01'!Std4FirstDayOfSvc)</f>
        <v>1</v>
      </c>
      <c r="Q80" s="107">
        <f>IF('IWP01'!Std4DateOfVerbalPhysOrders=DATE(1900,1,0), DATE(1900,1,1),'IWP01'!Std4DateOfVerbalPhysOrders)</f>
        <v>1</v>
      </c>
      <c r="R80" s="107">
        <f>IF('IWP01'!Std4DateOfWrittenPhysPhysOrders=DATE(1900,1,0), DATE(1900,1,1),'IWP01'!Std4DateOfWrittenPhysPhysOrders)</f>
        <v>1</v>
      </c>
      <c r="S80" s="107">
        <f>IF('IWP01'!Std4DateOfForm3050=DATE(1900,1,0), DATE(1900,1,1),'IWP01'!Std4DateOfForm3050)</f>
        <v>1</v>
      </c>
      <c r="T80" s="107">
        <f>IF('IWP01'!Std4DateForm3050SubmittedDadsRegNurse=DATE(1900,1,0), DATE(1900,1,1),'IWP01'!Std4DateForm3050SubmittedDadsRegNurse)</f>
        <v>1</v>
      </c>
      <c r="U80" s="107">
        <f>IF('IWP01'!Std4DateForm3055SubmittedDadsRegNurse=DATE(1900,1,0), DATE(1900,1,1),'IWP01'!Std4DateForm3055SubmittedDadsRegNurse)</f>
        <v>1</v>
      </c>
      <c r="V80" s="107">
        <f>IF('IWP01'!Std4DateOfXferFromAnotherDahs=DATE(1900,1,0), DATE(1900,1,1),'IWP01'!Std4DateOfXferFromAnotherDahs)</f>
        <v>1</v>
      </c>
      <c r="W80" s="106" t="str">
        <f>IF('IWP01'!Std4dot1aNotCalc = 0, "", 'IWP01'!Std4dot1aNotCalc)</f>
        <v/>
      </c>
      <c r="X80" s="106" t="str">
        <f>IF('IWP01'!Std4dot1bNotCalc = 0, "", 'IWP01'!Std4dot1bNotCalc)</f>
        <v/>
      </c>
      <c r="Y80" s="106" t="str">
        <f>IF('IWP01'!Std4dot1a = 0, "", 'IWP01'!Std4dot1a)</f>
        <v/>
      </c>
      <c r="Z80" s="106" t="str">
        <f>IF('IWP01'!Std4dot1b = 0, "", 'IWP01'!Std4dot1b)</f>
        <v/>
      </c>
      <c r="AA80" s="106" t="str">
        <f>IF('IWP01'!Std4dot1 = 0, "", 'IWP01'!Std4dot1)</f>
        <v/>
      </c>
      <c r="AB80" s="106" t="str">
        <f>IF('IWP01'!Std4dot2NotCalc = 0, "", 'IWP01'!Std4dot2NotCalc)</f>
        <v/>
      </c>
      <c r="AC80" s="106" t="str">
        <f>IF('IWP01'!Std4dot2 = 0, "", 'IWP01'!Std4dot2)</f>
        <v/>
      </c>
      <c r="AD80" s="106" t="str">
        <f>IF('IWP01'!Std4dot3NotCalc = 0, "", 'IWP01'!Std4dot3NotCalc)</f>
        <v/>
      </c>
      <c r="AE80" s="106" t="str">
        <f>IF('IWP01'!Std4dot3a = 0, "", 'IWP01'!Std4dot3a)</f>
        <v/>
      </c>
      <c r="AF80" s="106" t="str">
        <f>IF('IWP01'!Std4dot3b = 0, "", 'IWP01'!Std4dot3b)</f>
        <v/>
      </c>
      <c r="AG80" s="106" t="str">
        <f>IF('IWP01'!Std4dot3c = 0, "", 'IWP01'!Std4dot3c)</f>
        <v/>
      </c>
      <c r="AH80" s="106" t="str">
        <f>IF('IWP01'!Std4dot3d = 0, "", 'IWP01'!Std4dot3d)</f>
        <v/>
      </c>
      <c r="AI80" s="106" t="str">
        <f>IF('IWP01'!Std4dot3 = 0, "", 'IWP01'!Std4dot3)</f>
        <v/>
      </c>
      <c r="AJ80" s="106" t="str">
        <f>IF('IWP01'!Std4dot4a = 0, "", 'IWP01'!Std4dot4a)</f>
        <v/>
      </c>
      <c r="AK80" s="106" t="str">
        <f>IF('IWP01'!Std4dot4b = 0, "", 'IWP01'!Std4dot4b)</f>
        <v/>
      </c>
      <c r="AL80" s="106" t="str">
        <f>IF('IWP01'!Std4dot4 = 0, "", 'IWP01'!Std4dot4)</f>
        <v/>
      </c>
      <c r="AM80" s="106" t="str">
        <f>IF('IWP01'!Std5NotCalc = 0, "", 'IWP01'!Std5NotCalc)</f>
        <v/>
      </c>
      <c r="AN80" s="106" t="str">
        <f>IF('IWP01'!Std5dot1 = 0, "", 'IWP01'!Std5dot1)</f>
        <v>NA</v>
      </c>
      <c r="AO80" s="106" t="str">
        <f>IF('IWP01'!Std5dot2Mo1Ans = 0, "", 'IWP01'!Std5dot2Mo1Ans)</f>
        <v/>
      </c>
      <c r="AP80" s="107">
        <f>IF('IWP01'!Std5dot2Mo1Date=DATE(1900,1,0), DATE(1900,1,1),'IWP01'!Std5dot2Mo1Date)</f>
        <v>1</v>
      </c>
      <c r="AQ80" s="106" t="str">
        <f>IF('IWP01'!Std5dot2Mo2Ans = 0, "", 'IWP01'!Std5dot2Mo2Ans)</f>
        <v/>
      </c>
      <c r="AR80" s="107">
        <f>IF('IWP01'!Std5dot2Mo2Date=DATE(1900,1,0), DATE(1900,1,1),'IWP01'!Std5dot2Mo2Date)</f>
        <v>1</v>
      </c>
      <c r="AS80" s="106" t="str">
        <f>IF('IWP01'!Std5dot2 = 0, "", 'IWP01'!Std5dot2)</f>
        <v/>
      </c>
      <c r="AT80" s="106" t="str">
        <f>IF('IWP01'!Std5dot3Mo1Ans = 0, "", 'IWP01'!Std5dot3Mo1Ans)</f>
        <v/>
      </c>
      <c r="AU80" s="107">
        <f>IF('IWP01'!Std5dot3Mo1Date=DATE(1900,1,0), DATE(1900,1,1),'IWP01'!Std5dot3Mo1Date)</f>
        <v>1</v>
      </c>
      <c r="AV80" s="106" t="str">
        <f>IF('IWP01'!Std5dot3Mo2Ans = 0, "", 'IWP01'!Std5dot3Mo2Ans)</f>
        <v/>
      </c>
      <c r="AW80" s="107">
        <f>IF('IWP01'!Std5dot3Mo2Date=DATE(1900,1,0), DATE(1900,1,1),'IWP01'!Std5dot3Mo2Date)</f>
        <v>1</v>
      </c>
      <c r="AX80" s="106" t="str">
        <f>IF('IWP01'!Std5dot3 = 0, "", 'IWP01'!Std5dot3)</f>
        <v>NA</v>
      </c>
      <c r="AY80" s="106" t="str">
        <f>IF('IWP01'!Std5dot4Mo1Ans = 0, "", 'IWP01'!Std5dot4Mo1Ans)</f>
        <v/>
      </c>
      <c r="AZ80" s="107">
        <f>IF('IWP01'!Std5dot4Mo1Date=DATE(1900,1,0), DATE(1900,1,1),'IWP01'!Std5dot4Mo1Date)</f>
        <v>1</v>
      </c>
      <c r="BA80" s="106" t="str">
        <f>IF('IWP01'!Std5dot4Mo2Ans = 0, "", 'IWP01'!Std5dot4Mo2Ans)</f>
        <v/>
      </c>
      <c r="BB80" s="107">
        <f>IF('IWP01'!Std5dot4Mo2Date=DATE(1900,1,0), DATE(1900,1,1),'IWP01'!Std5dot4Mo2Date)</f>
        <v>1</v>
      </c>
      <c r="BC80" s="2" t="str">
        <f>IF('IWP01'!Std5dot4 = 0, "", 'IWP01'!Std5dot4)</f>
        <v>NA</v>
      </c>
      <c r="BD80" s="2" t="str">
        <f>IF('IWP01'!Std5dot5 = 0, "", 'IWP01'!Std5dot5)</f>
        <v/>
      </c>
      <c r="BE80" s="2" t="str">
        <f>IF('IWP01'!Std5dot6 = 0, "", 'IWP01'!Std5dot6)</f>
        <v/>
      </c>
      <c r="BF80" s="106" t="str">
        <f>IF('IWP01'!Std6dot1 = 0, "", 'IWP01'!Std6dot1)</f>
        <v/>
      </c>
      <c r="BG80" s="155">
        <f>IF('IWP01'!FiscalReviewFirstMonth = DATE(1900,1,0),DATE(1900,1,1), 'IWP01'!FiscalReviewFirstMonth)</f>
        <v>1</v>
      </c>
      <c r="BH80" s="155">
        <f>IF('IWP01'!FiscalReviewSecondMonth = DATE(1900,1,0),DATE(1900,1,1),'IWP01'!FiscalReviewSecondMonth)</f>
        <v>1</v>
      </c>
      <c r="BI80" s="107">
        <f>IF('IWP01'!Std4DateOfForm3049=DATE(1900,1,0), DATE(1900,1,1),'IWP01'!Std4DateOfForm3049)</f>
        <v>1</v>
      </c>
      <c r="BJ80" s="230">
        <f>IF('IWP01'!Std4DateForm3049SubmittedDadsRegNurse=DATE(1900,1,0), DATE(1900,1,1),'IWP01'!Std4DateForm3049SubmittedDadsRegNurse)</f>
        <v>1</v>
      </c>
    </row>
    <row r="81" spans="1:62">
      <c r="A81" s="125" t="s">
        <v>430</v>
      </c>
      <c r="B81" s="107">
        <f>IF('Samples (Print)'!D6=DATE(1900,1,0), DATE(1900,1,1),'Samples (Print)'!D6)</f>
        <v>1</v>
      </c>
      <c r="C81" s="107">
        <f>IF('Samples (Print)'!E6=DATE(1900,1,0), DATE(1900,1,1),'Samples (Print)'!E6)</f>
        <v>1</v>
      </c>
      <c r="D81" s="128">
        <f>'IWP02'!SampleNumber</f>
        <v>2</v>
      </c>
      <c r="E81" s="128">
        <f>'IWP02'!ClientID</f>
        <v>0</v>
      </c>
      <c r="F81" s="129"/>
      <c r="G81" s="129"/>
      <c r="H81" s="106" t="str">
        <f ca="1">IF('IWP02'!ContractNumber = 0, "", 'IWP02'!ContractNumber)</f>
        <v/>
      </c>
      <c r="I81" s="106" t="str">
        <f>IF('IWP02'!ServiceCode = 0, "", 'IWP02'!ServiceCode)</f>
        <v/>
      </c>
      <c r="J81" s="106" t="str">
        <f>IF('IWP02'!CompletedByLastName = 0, "", 'IWP02'!CompletedByLastName)</f>
        <v/>
      </c>
      <c r="K81" s="106" t="str">
        <f>IF('IWP02'!CompletedByFirstName = 0, "", 'IWP02'!CompletedByFirstName)</f>
        <v/>
      </c>
      <c r="L81" s="107">
        <f>IF('IWP02'!DateCompleted=DATE(1900,1,0), DATE(1900,1,1),'IWP02'!DateCompleted)</f>
        <v>1</v>
      </c>
      <c r="M81" s="107">
        <f>IF('IWP02'!Std4ReferralDate=DATE(1900,1,0), DATE(1900,1,1),'IWP02'!Std4ReferralDate)</f>
        <v>1</v>
      </c>
      <c r="N81" s="107">
        <f>IF('IWP02'!Std4BeginDate=DATE(1900,1,0), DATE(1900,1,1),'IWP02'!Std4BeginDate)</f>
        <v>1</v>
      </c>
      <c r="O81" s="107">
        <f>IF('IWP02'!Std4DateOfReceipt=DATE(1900,1,0), DATE(1900,1,1),'IWP02'!Std4DateOfReceipt)</f>
        <v>1</v>
      </c>
      <c r="P81" s="107">
        <f>IF('IWP02'!Std4FirstDayOfSvc=DATE(1900,1,0), DATE(1900,1,1),'IWP02'!Std4FirstDayOfSvc)</f>
        <v>1</v>
      </c>
      <c r="Q81" s="107">
        <f>IF('IWP02'!Std4DateOfVerbalPhysOrders=DATE(1900,1,0), DATE(1900,1,1),'IWP02'!Std4DateOfVerbalPhysOrders)</f>
        <v>1</v>
      </c>
      <c r="R81" s="107">
        <f>IF('IWP02'!Std4DateOfWrittenPhysPhysOrders=DATE(1900,1,0), DATE(1900,1,1),'IWP02'!Std4DateOfWrittenPhysPhysOrders)</f>
        <v>1</v>
      </c>
      <c r="S81" s="107">
        <f>IF('IWP02'!Std4DateOfForm3050=DATE(1900,1,0), DATE(1900,1,1),'IWP02'!Std4DateOfForm3050)</f>
        <v>1</v>
      </c>
      <c r="T81" s="107">
        <f>IF('IWP02'!Std4DateForm3050SubmittedDadsRegNurse=DATE(1900,1,0), DATE(1900,1,1),'IWP02'!Std4DateForm3050SubmittedDadsRegNurse)</f>
        <v>1</v>
      </c>
      <c r="U81" s="107">
        <f>IF('IWP02'!Std4DateForm3055SubmittedDadsRegNurse=DATE(1900,1,0), DATE(1900,1,1),'IWP02'!Std4DateForm3055SubmittedDadsRegNurse)</f>
        <v>1</v>
      </c>
      <c r="V81" s="107">
        <f>IF('IWP02'!Std4DateOfXferFromAnotherDahs=DATE(1900,1,0), DATE(1900,1,1),'IWP02'!Std4DateOfXferFromAnotherDahs)</f>
        <v>1</v>
      </c>
      <c r="W81" s="106" t="str">
        <f>IF('IWP02'!Std4dot1aNotCalc = 0, "", 'IWP02'!Std4dot1aNotCalc)</f>
        <v/>
      </c>
      <c r="X81" s="106" t="str">
        <f>IF('IWP02'!Std4dot1bNotCalc = 0, "", 'IWP02'!Std4dot1bNotCalc)</f>
        <v/>
      </c>
      <c r="Y81" s="106" t="str">
        <f>IF('IWP02'!Std4dot1a = 0, "", 'IWP02'!Std4dot1a)</f>
        <v/>
      </c>
      <c r="Z81" s="106" t="str">
        <f>IF('IWP02'!Std4dot1b = 0, "", 'IWP02'!Std4dot1b)</f>
        <v/>
      </c>
      <c r="AA81" s="106" t="str">
        <f>IF('IWP02'!Std4dot1 = 0, "", 'IWP02'!Std4dot1)</f>
        <v/>
      </c>
      <c r="AB81" s="106" t="str">
        <f>IF('IWP02'!Std4dot2NotCalc = 0, "", 'IWP02'!Std4dot2NotCalc)</f>
        <v/>
      </c>
      <c r="AC81" s="106" t="str">
        <f>IF('IWP02'!Std4dot2 = 0, "", 'IWP02'!Std4dot2)</f>
        <v/>
      </c>
      <c r="AD81" s="106" t="str">
        <f>IF('IWP02'!Std4dot3NotCalc = 0, "", 'IWP02'!Std4dot3NotCalc)</f>
        <v/>
      </c>
      <c r="AE81" s="106" t="str">
        <f>IF('IWP02'!Std4dot3a = 0, "", 'IWP02'!Std4dot3a)</f>
        <v/>
      </c>
      <c r="AF81" s="106" t="str">
        <f>IF('IWP02'!Std4dot3b = 0, "", 'IWP02'!Std4dot3b)</f>
        <v/>
      </c>
      <c r="AG81" s="106" t="str">
        <f>IF('IWP02'!Std4dot3c = 0, "", 'IWP02'!Std4dot3c)</f>
        <v/>
      </c>
      <c r="AH81" s="106" t="str">
        <f>IF('IWP02'!Std4dot3d = 0, "", 'IWP02'!Std4dot3d)</f>
        <v/>
      </c>
      <c r="AI81" s="106" t="str">
        <f>IF('IWP02'!Std4dot3 = 0, "", 'IWP02'!Std4dot3)</f>
        <v/>
      </c>
      <c r="AJ81" s="106" t="str">
        <f>IF('IWP02'!Std4dot4a = 0, "", 'IWP02'!Std4dot4a)</f>
        <v/>
      </c>
      <c r="AK81" s="106" t="str">
        <f>IF('IWP02'!Std4dot4b = 0, "", 'IWP02'!Std4dot4b)</f>
        <v/>
      </c>
      <c r="AL81" s="106" t="str">
        <f>IF('IWP02'!Std4dot4 = 0, "", 'IWP02'!Std4dot4)</f>
        <v/>
      </c>
      <c r="AM81" s="106" t="str">
        <f>IF('IWP02'!Std5NotCalc = 0, "", 'IWP02'!Std5NotCalc)</f>
        <v/>
      </c>
      <c r="AN81" s="106" t="str">
        <f>IF('IWP02'!Std5dot1 = 0, "", 'IWP02'!Std5dot1)</f>
        <v>NA</v>
      </c>
      <c r="AO81" s="106" t="str">
        <f>IF('IWP02'!Std5dot2Mo1Ans = 0, "", 'IWP02'!Std5dot2Mo1Ans)</f>
        <v/>
      </c>
      <c r="AP81" s="107">
        <f>IF('IWP02'!Std5dot2Mo1Date=DATE(1900,1,0), DATE(1900,1,1),'IWP02'!Std5dot2Mo1Date)</f>
        <v>1</v>
      </c>
      <c r="AQ81" s="106" t="str">
        <f>IF('IWP02'!Std5dot2Mo2Ans = 0, "", 'IWP02'!Std5dot2Mo2Ans)</f>
        <v/>
      </c>
      <c r="AR81" s="107">
        <f>IF('IWP02'!Std5dot2Mo2Date=DATE(1900,1,0), DATE(1900,1,1),'IWP02'!Std5dot2Mo2Date)</f>
        <v>1</v>
      </c>
      <c r="AS81" s="106" t="str">
        <f>IF('IWP02'!Std5dot2 = 0, "", 'IWP02'!Std5dot2)</f>
        <v/>
      </c>
      <c r="AT81" s="106" t="str">
        <f>IF('IWP02'!Std5dot3Mo1Ans = 0, "", 'IWP02'!Std5dot3Mo1Ans)</f>
        <v/>
      </c>
      <c r="AU81" s="107">
        <f>IF('IWP02'!Std5dot3Mo1Date=DATE(1900,1,0), DATE(1900,1,1),'IWP02'!Std5dot3Mo1Date)</f>
        <v>1</v>
      </c>
      <c r="AV81" s="106" t="str">
        <f>IF('IWP02'!Std5dot3Mo2Ans = 0, "", 'IWP02'!Std5dot3Mo2Ans)</f>
        <v/>
      </c>
      <c r="AW81" s="107">
        <f>IF('IWP02'!Std5dot3Mo2Date=DATE(1900,1,0), DATE(1900,1,1),'IWP02'!Std5dot3Mo2Date)</f>
        <v>1</v>
      </c>
      <c r="AX81" s="106" t="str">
        <f>IF('IWP02'!Std5dot3 = 0, "", 'IWP02'!Std5dot3)</f>
        <v>NA</v>
      </c>
      <c r="AY81" s="106" t="str">
        <f>IF('IWP02'!Std5dot4Mo1Ans = 0, "", 'IWP02'!Std5dot4Mo1Ans)</f>
        <v/>
      </c>
      <c r="AZ81" s="107">
        <f>IF('IWP02'!Std5dot4Mo1Date=DATE(1900,1,0), DATE(1900,1,1),'IWP02'!Std5dot4Mo1Date)</f>
        <v>1</v>
      </c>
      <c r="BA81" s="106" t="str">
        <f>IF('IWP02'!Std5dot4Mo2Ans = 0, "", 'IWP02'!Std5dot4Mo2Ans)</f>
        <v/>
      </c>
      <c r="BB81" s="107">
        <f>IF('IWP02'!Std5dot4Mo2Date=DATE(1900,1,0), DATE(1900,1,1),'IWP02'!Std5dot4Mo2Date)</f>
        <v>1</v>
      </c>
      <c r="BC81" s="2" t="str">
        <f>IF('IWP02'!Std5dot4 = 0, "", 'IWP02'!Std5dot4)</f>
        <v>NA</v>
      </c>
      <c r="BD81" s="2" t="str">
        <f>IF('IWP02'!Std5dot5 = 0, "", 'IWP02'!Std5dot5)</f>
        <v/>
      </c>
      <c r="BE81" s="2" t="str">
        <f>IF('IWP02'!Std5dot6 = 0, "", 'IWP02'!Std5dot6)</f>
        <v/>
      </c>
      <c r="BF81" s="106" t="str">
        <f>IF('IWP02'!Std6dot1 = 0, "", 'IWP02'!Std6dot1)</f>
        <v/>
      </c>
      <c r="BG81" s="155">
        <f>IF('IWP02'!FiscalReviewFirstMonth = DATE(1900,1,0),DATE(1900,1,1), 'IWP02'!FiscalReviewFirstMonth)</f>
        <v>1</v>
      </c>
      <c r="BH81" s="155">
        <f>IF('IWP02'!FiscalReviewSecondMonth = DATE(1900,1,0),DATE(1900,1,1), 'IWP02'!FiscalReviewSecondMonth)</f>
        <v>1</v>
      </c>
      <c r="BI81" s="107">
        <f>IF('IWP02'!Std4DateOfForm3049=DATE(1900,1,0), DATE(1900,1,1),'IWP02'!Std4DateOfForm3049)</f>
        <v>1</v>
      </c>
      <c r="BJ81" s="230">
        <f>IF('IWP02'!Std4DateForm3049SubmittedDadsRegNurse=DATE(1900,1,0), DATE(1900,1,1),'IWP02'!Std4DateForm3049SubmittedDadsRegNurse)</f>
        <v>1</v>
      </c>
    </row>
    <row r="82" spans="1:62">
      <c r="A82" s="125" t="s">
        <v>431</v>
      </c>
      <c r="B82" s="107">
        <f>IF('Samples (Print)'!D7=DATE(1900,1,0), DATE(1900,1,1),'Samples (Print)'!D7)</f>
        <v>1</v>
      </c>
      <c r="C82" s="107">
        <f>IF('Samples (Print)'!E7=DATE(1900,1,0), DATE(1900,1,1),'Samples (Print)'!E7)</f>
        <v>1</v>
      </c>
      <c r="D82" s="128">
        <f>'IWP03'!SampleNumber</f>
        <v>3</v>
      </c>
      <c r="E82" s="128">
        <f>'IWP03'!ClientID</f>
        <v>0</v>
      </c>
      <c r="F82" s="129"/>
      <c r="G82" s="129"/>
      <c r="H82" s="106" t="str">
        <f ca="1">IF('IWP03'!ContractNumber = 0, "", 'IWP03'!ContractNumber)</f>
        <v/>
      </c>
      <c r="I82" s="106" t="str">
        <f>IF('IWP03'!ServiceCode = 0, "", 'IWP03'!ServiceCode)</f>
        <v/>
      </c>
      <c r="J82" s="106" t="str">
        <f>IF('IWP03'!CompletedByLastName = 0, "", 'IWP03'!CompletedByLastName)</f>
        <v/>
      </c>
      <c r="K82" s="106" t="str">
        <f>IF('IWP03'!CompletedByFirstName = 0, "", 'IWP03'!CompletedByFirstName)</f>
        <v/>
      </c>
      <c r="L82" s="107">
        <f>IF('IWP03'!DateCompleted=DATE(1900,1,0), DATE(1900,1,1),'IWP03'!DateCompleted)</f>
        <v>1</v>
      </c>
      <c r="M82" s="107">
        <f>IF('IWP03'!Std4ReferralDate=DATE(1900,1,0), DATE(1900,1,1),'IWP03'!Std4ReferralDate)</f>
        <v>1</v>
      </c>
      <c r="N82" s="107">
        <f>IF('IWP03'!Std4BeginDate=DATE(1900,1,0), DATE(1900,1,1),'IWP03'!Std4BeginDate)</f>
        <v>1</v>
      </c>
      <c r="O82" s="107">
        <f>IF('IWP03'!Std4DateOfReceipt=DATE(1900,1,0), DATE(1900,1,1),'IWP03'!Std4DateOfReceipt)</f>
        <v>1</v>
      </c>
      <c r="P82" s="107">
        <f>IF('IWP03'!Std4FirstDayOfSvc=DATE(1900,1,0), DATE(1900,1,1),'IWP03'!Std4FirstDayOfSvc)</f>
        <v>1</v>
      </c>
      <c r="Q82" s="107">
        <f>IF('IWP03'!Std4DateOfVerbalPhysOrders=DATE(1900,1,0), DATE(1900,1,1),'IWP03'!Std4DateOfVerbalPhysOrders)</f>
        <v>1</v>
      </c>
      <c r="R82" s="107">
        <f>IF('IWP03'!Std4DateOfWrittenPhysPhysOrders=DATE(1900,1,0), DATE(1900,1,1),'IWP03'!Std4DateOfWrittenPhysPhysOrders)</f>
        <v>1</v>
      </c>
      <c r="S82" s="107">
        <f>IF('IWP03'!Std4DateOfForm3050=DATE(1900,1,0), DATE(1900,1,1),'IWP03'!Std4DateOfForm3050)</f>
        <v>1</v>
      </c>
      <c r="T82" s="107">
        <f>IF('IWP03'!Std4DateForm3050SubmittedDadsRegNurse=DATE(1900,1,0), DATE(1900,1,1),'IWP03'!Std4DateForm3050SubmittedDadsRegNurse)</f>
        <v>1</v>
      </c>
      <c r="U82" s="107">
        <f>IF('IWP03'!Std4DateForm3055SubmittedDadsRegNurse=DATE(1900,1,0), DATE(1900,1,1),'IWP03'!Std4DateForm3055SubmittedDadsRegNurse)</f>
        <v>1</v>
      </c>
      <c r="V82" s="107">
        <f>IF('IWP03'!Std4DateOfXferFromAnotherDahs=DATE(1900,1,0), DATE(1900,1,1),'IWP03'!Std4DateOfXferFromAnotherDahs)</f>
        <v>1</v>
      </c>
      <c r="W82" s="106" t="str">
        <f>IF('IWP03'!Std4dot1aNotCalc = 0, "", 'IWP03'!Std4dot1aNotCalc)</f>
        <v/>
      </c>
      <c r="X82" s="106" t="str">
        <f>IF('IWP03'!Std4dot1bNotCalc = 0, "", 'IWP03'!Std4dot1bNotCalc)</f>
        <v/>
      </c>
      <c r="Y82" s="106" t="str">
        <f>IF('IWP03'!Std4dot1a = 0, "", 'IWP03'!Std4dot1a)</f>
        <v/>
      </c>
      <c r="Z82" s="106" t="str">
        <f>IF('IWP03'!Std4dot1b = 0, "", 'IWP03'!Std4dot1b)</f>
        <v/>
      </c>
      <c r="AA82" s="106" t="str">
        <f>IF('IWP03'!Std4dot1 = 0, "", 'IWP03'!Std4dot1)</f>
        <v/>
      </c>
      <c r="AB82" s="106" t="str">
        <f>IF('IWP03'!Std4dot2NotCalc = 0, "", 'IWP03'!Std4dot2NotCalc)</f>
        <v/>
      </c>
      <c r="AC82" s="106" t="str">
        <f>IF('IWP03'!Std4dot2 = 0, "", 'IWP03'!Std4dot2)</f>
        <v/>
      </c>
      <c r="AD82" s="106" t="str">
        <f>IF('IWP03'!Std4dot3NotCalc = 0, "", 'IWP03'!Std4dot3NotCalc)</f>
        <v/>
      </c>
      <c r="AE82" s="106" t="str">
        <f>IF('IWP03'!Std4dot3a = 0, "", 'IWP03'!Std4dot3a)</f>
        <v/>
      </c>
      <c r="AF82" s="106" t="str">
        <f>IF('IWP03'!Std4dot3b = 0, "", 'IWP03'!Std4dot3b)</f>
        <v/>
      </c>
      <c r="AG82" s="106" t="str">
        <f>IF('IWP03'!Std4dot3c = 0, "", 'IWP03'!Std4dot3c)</f>
        <v/>
      </c>
      <c r="AH82" s="106" t="str">
        <f>IF('IWP03'!Std4dot3d = 0, "", 'IWP03'!Std4dot3d)</f>
        <v/>
      </c>
      <c r="AI82" s="106" t="str">
        <f>IF('IWP03'!Std4dot3 = 0, "", 'IWP03'!Std4dot3)</f>
        <v/>
      </c>
      <c r="AJ82" s="106" t="str">
        <f>IF('IWP03'!Std4dot4a = 0, "", 'IWP03'!Std4dot4a)</f>
        <v/>
      </c>
      <c r="AK82" s="106" t="str">
        <f>IF('IWP03'!Std4dot4b = 0, "", 'IWP03'!Std4dot4b)</f>
        <v/>
      </c>
      <c r="AL82" s="106" t="str">
        <f>IF('IWP03'!Std4dot4 = 0, "", 'IWP03'!Std4dot4)</f>
        <v/>
      </c>
      <c r="AM82" s="106" t="str">
        <f>IF('IWP03'!Std5NotCalc = 0, "", 'IWP03'!Std5NotCalc)</f>
        <v/>
      </c>
      <c r="AN82" s="106" t="str">
        <f>IF('IWP03'!Std5dot1 = 0, "", 'IWP03'!Std5dot1)</f>
        <v>NA</v>
      </c>
      <c r="AO82" s="106" t="str">
        <f>IF('IWP03'!Std5dot2Mo1Ans = 0, "", 'IWP03'!Std5dot2Mo1Ans)</f>
        <v/>
      </c>
      <c r="AP82" s="107">
        <f>IF('IWP03'!Std5dot2Mo1Date=DATE(1900,1,0), DATE(1900,1,1),'IWP03'!Std5dot2Mo1Date)</f>
        <v>1</v>
      </c>
      <c r="AQ82" s="106" t="str">
        <f>IF('IWP03'!Std5dot2Mo2Ans = 0, "", 'IWP03'!Std5dot2Mo2Ans)</f>
        <v/>
      </c>
      <c r="AR82" s="107">
        <f>IF('IWP03'!Std5dot2Mo2Date=DATE(1900,1,0), DATE(1900,1,1),'IWP03'!Std5dot2Mo2Date)</f>
        <v>1</v>
      </c>
      <c r="AS82" s="106" t="str">
        <f>IF('IWP03'!Std5dot2 = 0, "", 'IWP03'!Std5dot2)</f>
        <v/>
      </c>
      <c r="AT82" s="106" t="str">
        <f>IF('IWP03'!Std5dot3Mo1Ans = 0, "", 'IWP03'!Std5dot3Mo1Ans)</f>
        <v/>
      </c>
      <c r="AU82" s="107">
        <f>IF('IWP03'!Std5dot3Mo1Date=DATE(1900,1,0), DATE(1900,1,1),'IWP03'!Std5dot3Mo1Date)</f>
        <v>1</v>
      </c>
      <c r="AV82" s="106" t="str">
        <f>IF('IWP03'!Std5dot3Mo2Ans = 0, "", 'IWP03'!Std5dot3Mo2Ans)</f>
        <v/>
      </c>
      <c r="AW82" s="107">
        <f>IF('IWP03'!Std5dot3Mo2Date=DATE(1900,1,0), DATE(1900,1,1),'IWP03'!Std5dot3Mo2Date)</f>
        <v>1</v>
      </c>
      <c r="AX82" s="106" t="str">
        <f>IF('IWP03'!Std5dot3 = 0, "", 'IWP03'!Std5dot3)</f>
        <v>NA</v>
      </c>
      <c r="AY82" s="106" t="str">
        <f>IF('IWP03'!Std5dot4Mo1Ans = 0, "", 'IWP03'!Std5dot4Mo1Ans)</f>
        <v/>
      </c>
      <c r="AZ82" s="107">
        <f>IF('IWP03'!Std5dot4Mo1Date=DATE(1900,1,0), DATE(1900,1,1),'IWP03'!Std5dot4Mo1Date)</f>
        <v>1</v>
      </c>
      <c r="BA82" s="106" t="str">
        <f>IF('IWP03'!Std5dot4Mo2Ans = 0, "", 'IWP03'!Std5dot4Mo2Ans)</f>
        <v/>
      </c>
      <c r="BB82" s="107">
        <f>IF('IWP03'!Std5dot4Mo2Date=DATE(1900,1,0), DATE(1900,1,1),'IWP03'!Std5dot4Mo2Date)</f>
        <v>1</v>
      </c>
      <c r="BC82" s="2" t="str">
        <f>IF('IWP03'!Std5dot4 = 0, "", 'IWP03'!Std5dot4)</f>
        <v>NA</v>
      </c>
      <c r="BD82" s="2" t="str">
        <f>IF('IWP03'!Std5dot5 = 0, "", 'IWP03'!Std5dot5)</f>
        <v/>
      </c>
      <c r="BE82" s="2" t="str">
        <f>IF('IWP03'!Std5dot6 = 0, "", 'IWP03'!Std5dot6)</f>
        <v/>
      </c>
      <c r="BF82" s="106" t="str">
        <f>IF('IWP03'!Std6dot1 = 0, "", 'IWP03'!Std6dot1)</f>
        <v/>
      </c>
      <c r="BG82" s="155">
        <f>IF('IWP03'!FiscalReviewFirstMonth = DATE(1900,1,0),DATE(1900,1,1), 'IWP03'!FiscalReviewFirstMonth)</f>
        <v>1</v>
      </c>
      <c r="BH82" s="155">
        <f>IF('IWP03'!FiscalReviewSecondMonth = DATE(1900,1,0),DATE(1900,1,1), 'IWP03'!FiscalReviewSecondMonth)</f>
        <v>1</v>
      </c>
      <c r="BI82" s="107">
        <f>IF('IWP03'!Std4DateOfForm3049=DATE(1900,1,0), DATE(1900,1,1),'IWP03'!Std4DateOfForm3049)</f>
        <v>1</v>
      </c>
      <c r="BJ82" s="230">
        <f>IF('IWP03'!Std4DateForm3049SubmittedDadsRegNurse=DATE(1900,1,0), DATE(1900,1,1),'IWP03'!Std4DateForm3049SubmittedDadsRegNurse)</f>
        <v>1</v>
      </c>
    </row>
    <row r="83" spans="1:62">
      <c r="A83" s="125" t="s">
        <v>477</v>
      </c>
      <c r="B83" s="107">
        <f>IF('Samples (Print)'!D8=DATE(1900,1,0), DATE(1900,1,1),'Samples (Print)'!D8)</f>
        <v>1</v>
      </c>
      <c r="C83" s="107">
        <f>IF('Samples (Print)'!E8=DATE(1900,1,0), DATE(1900,1,1),'Samples (Print)'!E8)</f>
        <v>1</v>
      </c>
      <c r="D83" s="128">
        <f>'IWP04'!SampleNumber</f>
        <v>4</v>
      </c>
      <c r="E83" s="128">
        <f>'IWP04'!ClientID</f>
        <v>0</v>
      </c>
      <c r="F83" s="129"/>
      <c r="G83" s="129"/>
      <c r="H83" s="106" t="str">
        <f ca="1">IF('IWP04'!ContractNumber = 0, "", 'IWP04'!ContractNumber)</f>
        <v/>
      </c>
      <c r="I83" s="106" t="str">
        <f>IF('IWP04'!ServiceCode = 0, "", 'IWP04'!ServiceCode)</f>
        <v/>
      </c>
      <c r="J83" s="106" t="str">
        <f>IF('IWP04'!CompletedByLastName = 0, "", 'IWP04'!CompletedByLastName)</f>
        <v/>
      </c>
      <c r="K83" s="106" t="str">
        <f>IF('IWP04'!CompletedByFirstName = 0, "", 'IWP04'!CompletedByFirstName)</f>
        <v/>
      </c>
      <c r="L83" s="107">
        <f>IF('IWP04'!DateCompleted=DATE(1900,1,0), DATE(1900,1,1),'IWP04'!DateCompleted)</f>
        <v>1</v>
      </c>
      <c r="M83" s="107">
        <f>IF('IWP04'!Std4ReferralDate=DATE(1900,1,0), DATE(1900,1,1),'IWP04'!Std4ReferralDate)</f>
        <v>1</v>
      </c>
      <c r="N83" s="107">
        <f>IF('IWP04'!Std4BeginDate=DATE(1900,1,0), DATE(1900,1,1),'IWP04'!Std4BeginDate)</f>
        <v>1</v>
      </c>
      <c r="O83" s="107">
        <f>IF('IWP04'!Std4DateOfReceipt=DATE(1900,1,0), DATE(1900,1,1),'IWP04'!Std4DateOfReceipt)</f>
        <v>1</v>
      </c>
      <c r="P83" s="107">
        <f>IF('IWP04'!Std4FirstDayOfSvc=DATE(1900,1,0), DATE(1900,1,1),'IWP04'!Std4FirstDayOfSvc)</f>
        <v>1</v>
      </c>
      <c r="Q83" s="107">
        <f>IF('IWP04'!Std4DateOfVerbalPhysOrders=DATE(1900,1,0), DATE(1900,1,1),'IWP04'!Std4DateOfVerbalPhysOrders)</f>
        <v>1</v>
      </c>
      <c r="R83" s="107">
        <f>IF('IWP04'!Std4DateOfWrittenPhysPhysOrders=DATE(1900,1,0), DATE(1900,1,1),'IWP04'!Std4DateOfWrittenPhysPhysOrders)</f>
        <v>1</v>
      </c>
      <c r="S83" s="107">
        <f>IF('IWP04'!Std4DateOfForm3050=DATE(1900,1,0), DATE(1900,1,1),'IWP04'!Std4DateOfForm3050)</f>
        <v>1</v>
      </c>
      <c r="T83" s="107">
        <f>IF('IWP04'!Std4DateForm3050SubmittedDadsRegNurse=DATE(1900,1,0), DATE(1900,1,1),'IWP04'!Std4DateForm3050SubmittedDadsRegNurse)</f>
        <v>1</v>
      </c>
      <c r="U83" s="107">
        <f>IF('IWP04'!Std4DateForm3055SubmittedDadsRegNurse=DATE(1900,1,0), DATE(1900,1,1),'IWP04'!Std4DateForm3055SubmittedDadsRegNurse)</f>
        <v>1</v>
      </c>
      <c r="V83" s="107">
        <f>IF('IWP04'!Std4DateOfXferFromAnotherDahs=DATE(1900,1,0), DATE(1900,1,1),'IWP04'!Std4DateOfXferFromAnotherDahs)</f>
        <v>1</v>
      </c>
      <c r="W83" s="106" t="str">
        <f>IF('IWP04'!Std4dot1aNotCalc = 0, "", 'IWP04'!Std4dot1aNotCalc)</f>
        <v/>
      </c>
      <c r="X83" s="106" t="str">
        <f>IF('IWP04'!Std4dot1bNotCalc = 0, "", 'IWP04'!Std4dot1bNotCalc)</f>
        <v/>
      </c>
      <c r="Y83" s="106" t="str">
        <f>IF('IWP04'!Std4dot1a = 0, "", 'IWP04'!Std4dot1a)</f>
        <v/>
      </c>
      <c r="Z83" s="106" t="str">
        <f>IF('IWP04'!Std4dot1b = 0, "", 'IWP04'!Std4dot1b)</f>
        <v/>
      </c>
      <c r="AA83" s="106" t="str">
        <f>IF('IWP04'!Std4dot1 = 0, "", 'IWP04'!Std4dot1)</f>
        <v/>
      </c>
      <c r="AB83" s="106" t="str">
        <f>IF('IWP04'!Std4dot2NotCalc = 0, "", 'IWP04'!Std4dot2NotCalc)</f>
        <v/>
      </c>
      <c r="AC83" s="106" t="str">
        <f>IF('IWP04'!Std4dot2 = 0, "", 'IWP04'!Std4dot2)</f>
        <v/>
      </c>
      <c r="AD83" s="106" t="str">
        <f>IF('IWP04'!Std4dot3NotCalc = 0, "", 'IWP04'!Std4dot3NotCalc)</f>
        <v/>
      </c>
      <c r="AE83" s="106" t="str">
        <f>IF('IWP04'!Std4dot3a = 0, "", 'IWP04'!Std4dot3a)</f>
        <v/>
      </c>
      <c r="AF83" s="106" t="str">
        <f>IF('IWP04'!Std4dot3b = 0, "", 'IWP04'!Std4dot3b)</f>
        <v/>
      </c>
      <c r="AG83" s="106" t="str">
        <f>IF('IWP04'!Std4dot3c = 0, "", 'IWP04'!Std4dot3c)</f>
        <v/>
      </c>
      <c r="AH83" s="106" t="str">
        <f>IF('IWP04'!Std4dot3d = 0, "", 'IWP04'!Std4dot3d)</f>
        <v/>
      </c>
      <c r="AI83" s="106" t="str">
        <f>IF('IWP04'!Std4dot3 = 0, "", 'IWP04'!Std4dot3)</f>
        <v/>
      </c>
      <c r="AJ83" s="106" t="str">
        <f>IF('IWP04'!Std4dot4a = 0, "", 'IWP04'!Std4dot4a)</f>
        <v/>
      </c>
      <c r="AK83" s="106" t="str">
        <f>IF('IWP04'!Std4dot4b = 0, "", 'IWP04'!Std4dot4b)</f>
        <v/>
      </c>
      <c r="AL83" s="106" t="str">
        <f>IF('IWP04'!Std4dot4 = 0, "", 'IWP04'!Std4dot4)</f>
        <v/>
      </c>
      <c r="AM83" s="106" t="str">
        <f>IF('IWP04'!Std5NotCalc = 0, "", 'IWP04'!Std5NotCalc)</f>
        <v/>
      </c>
      <c r="AN83" s="106" t="str">
        <f>IF('IWP04'!Std5dot1 = 0, "", 'IWP04'!Std5dot1)</f>
        <v>NA</v>
      </c>
      <c r="AO83" s="106" t="str">
        <f>IF('IWP04'!Std5dot2Mo1Ans = 0, "", 'IWP04'!Std5dot2Mo1Ans)</f>
        <v/>
      </c>
      <c r="AP83" s="107">
        <f>IF('IWP04'!Std5dot2Mo1Date=DATE(1900,1,0), DATE(1900,1,1),'IWP04'!Std5dot2Mo1Date)</f>
        <v>1</v>
      </c>
      <c r="AQ83" s="106" t="str">
        <f>IF('IWP04'!Std5dot2Mo2Ans = 0, "", 'IWP04'!Std5dot2Mo2Ans)</f>
        <v/>
      </c>
      <c r="AR83" s="107">
        <f>IF('IWP04'!Std5dot2Mo2Date=DATE(1900,1,0), DATE(1900,1,1),'IWP04'!Std5dot2Mo2Date)</f>
        <v>1</v>
      </c>
      <c r="AS83" s="106" t="str">
        <f>IF('IWP04'!Std5dot2 = 0, "", 'IWP04'!Std5dot2)</f>
        <v/>
      </c>
      <c r="AT83" s="106" t="str">
        <f>IF('IWP04'!Std5dot3Mo1Ans = 0, "", 'IWP04'!Std5dot3Mo1Ans)</f>
        <v/>
      </c>
      <c r="AU83" s="107">
        <f>IF('IWP04'!Std5dot3Mo1Date=DATE(1900,1,0), DATE(1900,1,1),'IWP04'!Std5dot3Mo1Date)</f>
        <v>1</v>
      </c>
      <c r="AV83" s="106" t="str">
        <f>IF('IWP04'!Std5dot3Mo2Ans = 0, "", 'IWP04'!Std5dot3Mo2Ans)</f>
        <v/>
      </c>
      <c r="AW83" s="107">
        <f>IF('IWP04'!Std5dot3Mo2Date=DATE(1900,1,0), DATE(1900,1,1),'IWP04'!Std5dot3Mo2Date)</f>
        <v>1</v>
      </c>
      <c r="AX83" s="106" t="str">
        <f>IF('IWP04'!Std5dot3 = 0, "", 'IWP04'!Std5dot3)</f>
        <v>NA</v>
      </c>
      <c r="AY83" s="106" t="str">
        <f>IF('IWP04'!Std5dot4Mo1Ans = 0, "", 'IWP04'!Std5dot4Mo1Ans)</f>
        <v/>
      </c>
      <c r="AZ83" s="107">
        <f>IF('IWP04'!Std5dot4Mo1Date=DATE(1900,1,0), DATE(1900,1,1),'IWP04'!Std5dot4Mo1Date)</f>
        <v>1</v>
      </c>
      <c r="BA83" s="106" t="str">
        <f>IF('IWP04'!Std5dot4Mo2Ans = 0, "", 'IWP04'!Std5dot4Mo2Ans)</f>
        <v/>
      </c>
      <c r="BB83" s="107">
        <f>IF('IWP04'!Std5dot4Mo2Date=DATE(1900,1,0), DATE(1900,1,1),'IWP04'!Std5dot4Mo2Date)</f>
        <v>1</v>
      </c>
      <c r="BC83" s="2" t="str">
        <f>IF('IWP04'!Std5dot4 = 0, "", 'IWP04'!Std5dot4)</f>
        <v>NA</v>
      </c>
      <c r="BD83" s="2" t="str">
        <f>IF('IWP04'!Std5dot5 = 0, "", 'IWP04'!Std5dot5)</f>
        <v/>
      </c>
      <c r="BE83" s="2" t="str">
        <f>IF('IWP04'!Std5dot6 = 0, "", 'IWP04'!Std5dot6)</f>
        <v/>
      </c>
      <c r="BF83" s="106" t="str">
        <f>IF('IWP04'!Std6dot1 = 0, "", 'IWP04'!Std6dot1)</f>
        <v/>
      </c>
      <c r="BG83" s="155">
        <f>IF('IWP04'!FiscalReviewFirstMonth = DATE(1900,1,0),DATE(1900,1,1), 'IWP04'!FiscalReviewFirstMonth)</f>
        <v>1</v>
      </c>
      <c r="BH83" s="155">
        <f>IF('IWP04'!FiscalReviewSecondMonth = DATE(1900,1,0),DATE(1900,1,1), 'IWP04'!FiscalReviewSecondMonth)</f>
        <v>1</v>
      </c>
      <c r="BI83" s="107">
        <f>IF('IWP04'!Std4DateOfForm3049=DATE(1900,1,0), DATE(1900,1,1),'IWP04'!Std4DateOfForm3049)</f>
        <v>1</v>
      </c>
      <c r="BJ83" s="230">
        <f>IF('IWP04'!Std4DateForm3049SubmittedDadsRegNurse=DATE(1900,1,0), DATE(1900,1,1),'IWP04'!Std4DateForm3049SubmittedDadsRegNurse)</f>
        <v>1</v>
      </c>
    </row>
    <row r="84" spans="1:62">
      <c r="A84" s="125" t="s">
        <v>478</v>
      </c>
      <c r="B84" s="107">
        <f>IF('Samples (Print)'!D9=DATE(1900,1,0), DATE(1900,1,1),'Samples (Print)'!D9)</f>
        <v>1</v>
      </c>
      <c r="C84" s="107">
        <f>IF('Samples (Print)'!E9=DATE(1900,1,0), DATE(1900,1,1),'Samples (Print)'!E9)</f>
        <v>1</v>
      </c>
      <c r="D84" s="128">
        <f>'IWP05'!SampleNumber</f>
        <v>5</v>
      </c>
      <c r="E84" s="128">
        <f>'IWP05'!ClientID</f>
        <v>0</v>
      </c>
      <c r="F84" s="129"/>
      <c r="G84" s="129"/>
      <c r="H84" s="106" t="str">
        <f ca="1">IF('IWP05'!ContractNumber = 0, "", 'IWP05'!ContractNumber)</f>
        <v/>
      </c>
      <c r="I84" s="106" t="str">
        <f>IF('IWP05'!ServiceCode = 0, "", 'IWP05'!ServiceCode)</f>
        <v/>
      </c>
      <c r="J84" s="106" t="str">
        <f>IF('IWP05'!CompletedByLastName = 0, "", 'IWP05'!CompletedByLastName)</f>
        <v/>
      </c>
      <c r="K84" s="106" t="str">
        <f>IF('IWP05'!CompletedByFirstName = 0, "", 'IWP05'!CompletedByFirstName)</f>
        <v/>
      </c>
      <c r="L84" s="107">
        <f>IF('IWP05'!DateCompleted=DATE(1900,1,0), DATE(1900,1,1),'IWP05'!DateCompleted)</f>
        <v>1</v>
      </c>
      <c r="M84" s="107">
        <f>IF('IWP05'!Std4ReferralDate=DATE(1900,1,0), DATE(1900,1,1),'IWP05'!Std4ReferralDate)</f>
        <v>1</v>
      </c>
      <c r="N84" s="107">
        <f>IF('IWP05'!Std4BeginDate=DATE(1900,1,0), DATE(1900,1,1),'IWP05'!Std4BeginDate)</f>
        <v>1</v>
      </c>
      <c r="O84" s="107">
        <f>IF('IWP05'!Std4DateOfReceipt=DATE(1900,1,0), DATE(1900,1,1),'IWP05'!Std4DateOfReceipt)</f>
        <v>1</v>
      </c>
      <c r="P84" s="107">
        <f>IF('IWP05'!Std4FirstDayOfSvc=DATE(1900,1,0), DATE(1900,1,1),'IWP05'!Std4FirstDayOfSvc)</f>
        <v>1</v>
      </c>
      <c r="Q84" s="107">
        <f>IF('IWP05'!Std4DateOfVerbalPhysOrders=DATE(1900,1,0), DATE(1900,1,1),'IWP05'!Std4DateOfVerbalPhysOrders)</f>
        <v>1</v>
      </c>
      <c r="R84" s="107">
        <f>IF('IWP05'!Std4DateOfWrittenPhysPhysOrders=DATE(1900,1,0), DATE(1900,1,1),'IWP05'!Std4DateOfWrittenPhysPhysOrders)</f>
        <v>1</v>
      </c>
      <c r="S84" s="107">
        <f>IF('IWP05'!Std4DateOfForm3050=DATE(1900,1,0), DATE(1900,1,1),'IWP05'!Std4DateOfForm3050)</f>
        <v>1</v>
      </c>
      <c r="T84" s="107">
        <f>IF('IWP05'!Std4DateForm3050SubmittedDadsRegNurse=DATE(1900,1,0), DATE(1900,1,1),'IWP05'!Std4DateForm3050SubmittedDadsRegNurse)</f>
        <v>1</v>
      </c>
      <c r="U84" s="107">
        <f>IF('IWP05'!Std4DateForm3055SubmittedDadsRegNurse=DATE(1900,1,0), DATE(1900,1,1),'IWP05'!Std4DateForm3055SubmittedDadsRegNurse)</f>
        <v>1</v>
      </c>
      <c r="V84" s="107">
        <f>IF('IWP05'!Std4DateOfXferFromAnotherDahs=DATE(1900,1,0), DATE(1900,1,1),'IWP05'!Std4DateOfXferFromAnotherDahs)</f>
        <v>1</v>
      </c>
      <c r="W84" s="106" t="str">
        <f>IF('IWP05'!Std4dot1aNotCalc = 0, "", 'IWP05'!Std4dot1aNotCalc)</f>
        <v/>
      </c>
      <c r="X84" s="106" t="str">
        <f>IF('IWP05'!Std4dot1bNotCalc = 0, "", 'IWP05'!Std4dot1bNotCalc)</f>
        <v/>
      </c>
      <c r="Y84" s="106" t="str">
        <f>IF('IWP05'!Std4dot1a = 0, "", 'IWP05'!Std4dot1a)</f>
        <v/>
      </c>
      <c r="Z84" s="106" t="str">
        <f>IF('IWP05'!Std4dot1b = 0, "", 'IWP05'!Std4dot1b)</f>
        <v/>
      </c>
      <c r="AA84" s="106" t="str">
        <f>IF('IWP05'!Std4dot1 = 0, "", 'IWP05'!Std4dot1)</f>
        <v/>
      </c>
      <c r="AB84" s="106" t="str">
        <f>IF('IWP05'!Std4dot2NotCalc = 0, "", 'IWP05'!Std4dot2NotCalc)</f>
        <v/>
      </c>
      <c r="AC84" s="106" t="str">
        <f>IF('IWP05'!Std4dot2 = 0, "", 'IWP05'!Std4dot2)</f>
        <v/>
      </c>
      <c r="AD84" s="106" t="str">
        <f>IF('IWP05'!Std4dot3NotCalc = 0, "", 'IWP05'!Std4dot3NotCalc)</f>
        <v/>
      </c>
      <c r="AE84" s="106" t="str">
        <f>IF('IWP05'!Std4dot3a = 0, "", 'IWP05'!Std4dot3a)</f>
        <v/>
      </c>
      <c r="AF84" s="106" t="str">
        <f>IF('IWP05'!Std4dot3b = 0, "", 'IWP05'!Std4dot3b)</f>
        <v/>
      </c>
      <c r="AG84" s="106" t="str">
        <f>IF('IWP05'!Std4dot3c = 0, "", 'IWP05'!Std4dot3c)</f>
        <v/>
      </c>
      <c r="AH84" s="106" t="str">
        <f>IF('IWP05'!Std4dot3d = 0, "", 'IWP05'!Std4dot3d)</f>
        <v/>
      </c>
      <c r="AI84" s="106" t="str">
        <f>IF('IWP05'!Std4dot3 = 0, "", 'IWP05'!Std4dot3)</f>
        <v/>
      </c>
      <c r="AJ84" s="106" t="str">
        <f>IF('IWP05'!Std4dot4a = 0, "", 'IWP05'!Std4dot4a)</f>
        <v/>
      </c>
      <c r="AK84" s="106" t="str">
        <f>IF('IWP05'!Std4dot4b = 0, "", 'IWP05'!Std4dot4b)</f>
        <v/>
      </c>
      <c r="AL84" s="106" t="str">
        <f>IF('IWP05'!Std4dot4 = 0, "", 'IWP05'!Std4dot4)</f>
        <v/>
      </c>
      <c r="AM84" s="106" t="str">
        <f>IF('IWP05'!Std5NotCalc = 0, "", 'IWP05'!Std5NotCalc)</f>
        <v/>
      </c>
      <c r="AN84" s="106" t="str">
        <f>IF('IWP05'!Std5dot1 = 0, "", 'IWP05'!Std5dot1)</f>
        <v>NA</v>
      </c>
      <c r="AO84" s="106" t="str">
        <f>IF('IWP05'!Std5dot2Mo1Ans = 0, "", 'IWP05'!Std5dot2Mo1Ans)</f>
        <v/>
      </c>
      <c r="AP84" s="107">
        <f>IF('IWP05'!Std5dot2Mo1Date=DATE(1900,1,0), DATE(1900,1,1),'IWP05'!Std5dot2Mo1Date)</f>
        <v>1</v>
      </c>
      <c r="AQ84" s="106" t="str">
        <f>IF('IWP05'!Std5dot2Mo2Ans = 0, "", 'IWP05'!Std5dot2Mo2Ans)</f>
        <v/>
      </c>
      <c r="AR84" s="107">
        <f>IF('IWP05'!Std5dot2Mo2Date=DATE(1900,1,0), DATE(1900,1,1),'IWP05'!Std5dot2Mo2Date)</f>
        <v>1</v>
      </c>
      <c r="AS84" s="106" t="str">
        <f>IF('IWP05'!Std5dot2 = 0, "", 'IWP05'!Std5dot2)</f>
        <v/>
      </c>
      <c r="AT84" s="106" t="str">
        <f>IF('IWP05'!Std5dot3Mo1Ans = 0, "", 'IWP05'!Std5dot3Mo1Ans)</f>
        <v/>
      </c>
      <c r="AU84" s="107">
        <f>IF('IWP05'!Std5dot3Mo1Date=DATE(1900,1,0), DATE(1900,1,1),'IWP05'!Std5dot3Mo1Date)</f>
        <v>1</v>
      </c>
      <c r="AV84" s="106" t="str">
        <f>IF('IWP05'!Std5dot3Mo2Ans = 0, "", 'IWP05'!Std5dot3Mo2Ans)</f>
        <v/>
      </c>
      <c r="AW84" s="107">
        <f>IF('IWP05'!Std5dot3Mo2Date=DATE(1900,1,0), DATE(1900,1,1),'IWP05'!Std5dot3Mo2Date)</f>
        <v>1</v>
      </c>
      <c r="AX84" s="106" t="str">
        <f>IF('IWP05'!Std5dot3 = 0, "", 'IWP05'!Std5dot3)</f>
        <v>NA</v>
      </c>
      <c r="AY84" s="106" t="str">
        <f>IF('IWP05'!Std5dot4Mo1Ans = 0, "", 'IWP05'!Std5dot4Mo1Ans)</f>
        <v/>
      </c>
      <c r="AZ84" s="107">
        <f>IF('IWP05'!Std5dot4Mo1Date=DATE(1900,1,0), DATE(1900,1,1),'IWP05'!Std5dot4Mo1Date)</f>
        <v>1</v>
      </c>
      <c r="BA84" s="106" t="str">
        <f>IF('IWP05'!Std5dot4Mo2Ans = 0, "", 'IWP05'!Std5dot4Mo2Ans)</f>
        <v/>
      </c>
      <c r="BB84" s="107">
        <f>IF('IWP05'!Std5dot4Mo2Date=DATE(1900,1,0), DATE(1900,1,1),'IWP05'!Std5dot4Mo2Date)</f>
        <v>1</v>
      </c>
      <c r="BC84" s="2" t="str">
        <f>IF('IWP05'!Std5dot4 = 0, "", 'IWP05'!Std5dot4)</f>
        <v>NA</v>
      </c>
      <c r="BD84" s="2" t="str">
        <f>IF('IWP05'!Std5dot5 = 0, "", 'IWP05'!Std5dot5)</f>
        <v/>
      </c>
      <c r="BE84" s="2" t="str">
        <f>IF('IWP05'!Std5dot6 = 0, "", 'IWP05'!Std5dot6)</f>
        <v/>
      </c>
      <c r="BF84" s="106" t="str">
        <f>IF('IWP05'!Std6dot1 = 0, "", 'IWP05'!Std6dot1)</f>
        <v/>
      </c>
      <c r="BG84" s="155">
        <f>IF('IWP05'!FiscalReviewFirstMonth = DATE(1900,1,0),DATE(1900,1,1), 'IWP05'!FiscalReviewFirstMonth)</f>
        <v>1</v>
      </c>
      <c r="BH84" s="155">
        <f>IF('IWP05'!FiscalReviewSecondMonth = DATE(1900,1,0),DATE(1900,1,1), 'IWP05'!FiscalReviewSecondMonth)</f>
        <v>1</v>
      </c>
      <c r="BI84" s="107">
        <f>IF('IWP05'!Std4DateOfForm3049=DATE(1900,1,0), DATE(1900,1,1),'IWP05'!Std4DateOfForm3049)</f>
        <v>1</v>
      </c>
      <c r="BJ84" s="230">
        <f>IF('IWP05'!Std4DateForm3049SubmittedDadsRegNurse=DATE(1900,1,0), DATE(1900,1,1),'IWP05'!Std4DateForm3049SubmittedDadsRegNurse)</f>
        <v>1</v>
      </c>
    </row>
    <row r="85" spans="1:62">
      <c r="A85" s="125" t="s">
        <v>479</v>
      </c>
      <c r="B85" s="107">
        <f>IF('Samples (Print)'!D10=DATE(1900,1,0), DATE(1900,1,1),'Samples (Print)'!D10)</f>
        <v>1</v>
      </c>
      <c r="C85" s="107">
        <f>IF('Samples (Print)'!E10=DATE(1900,1,0), DATE(1900,1,1),'Samples (Print)'!E10)</f>
        <v>1</v>
      </c>
      <c r="D85" s="128">
        <f>'IWP06'!SampleNumber</f>
        <v>6</v>
      </c>
      <c r="E85" s="128">
        <f>'IWP06'!ClientID</f>
        <v>0</v>
      </c>
      <c r="F85" s="129"/>
      <c r="G85" s="129"/>
      <c r="H85" s="106" t="str">
        <f ca="1">IF('IWP06'!ContractNumber = 0, "", 'IWP06'!ContractNumber)</f>
        <v/>
      </c>
      <c r="I85" s="106" t="str">
        <f>IF('IWP06'!ServiceCode = 0, "", 'IWP06'!ServiceCode)</f>
        <v/>
      </c>
      <c r="J85" s="106" t="str">
        <f>IF('IWP06'!CompletedByLastName = 0, "", 'IWP06'!CompletedByLastName)</f>
        <v/>
      </c>
      <c r="K85" s="106" t="str">
        <f>IF('IWP06'!CompletedByFirstName = 0, "", 'IWP06'!CompletedByFirstName)</f>
        <v/>
      </c>
      <c r="L85" s="107">
        <f>IF('IWP06'!DateCompleted=DATE(1900,1,0), DATE(1900,1,1),'IWP06'!DateCompleted)</f>
        <v>1</v>
      </c>
      <c r="M85" s="107">
        <f>IF('IWP06'!Std4ReferralDate=DATE(1900,1,0), DATE(1900,1,1),'IWP06'!Std4ReferralDate)</f>
        <v>1</v>
      </c>
      <c r="N85" s="107">
        <f>IF('IWP06'!Std4BeginDate=DATE(1900,1,0), DATE(1900,1,1),'IWP06'!Std4BeginDate)</f>
        <v>1</v>
      </c>
      <c r="O85" s="107">
        <f>IF('IWP06'!Std4DateOfReceipt=DATE(1900,1,0), DATE(1900,1,1),'IWP06'!Std4DateOfReceipt)</f>
        <v>1</v>
      </c>
      <c r="P85" s="107">
        <f>IF('IWP06'!Std4FirstDayOfSvc=DATE(1900,1,0), DATE(1900,1,1),'IWP06'!Std4FirstDayOfSvc)</f>
        <v>1</v>
      </c>
      <c r="Q85" s="107">
        <f>IF('IWP06'!Std4DateOfVerbalPhysOrders=DATE(1900,1,0), DATE(1900,1,1),'IWP06'!Std4DateOfVerbalPhysOrders)</f>
        <v>1</v>
      </c>
      <c r="R85" s="107">
        <f>IF('IWP06'!Std4DateOfWrittenPhysPhysOrders=DATE(1900,1,0), DATE(1900,1,1),'IWP06'!Std4DateOfWrittenPhysPhysOrders)</f>
        <v>1</v>
      </c>
      <c r="S85" s="107">
        <f>IF('IWP06'!Std4DateOfForm3050=DATE(1900,1,0), DATE(1900,1,1),'IWP06'!Std4DateOfForm3050)</f>
        <v>1</v>
      </c>
      <c r="T85" s="107">
        <f>IF('IWP06'!Std4DateForm3050SubmittedDadsRegNurse=DATE(1900,1,0), DATE(1900,1,1),'IWP06'!Std4DateForm3050SubmittedDadsRegNurse)</f>
        <v>1</v>
      </c>
      <c r="U85" s="107">
        <f>IF('IWP06'!Std4DateForm3055SubmittedDadsRegNurse=DATE(1900,1,0), DATE(1900,1,1),'IWP06'!Std4DateForm3055SubmittedDadsRegNurse)</f>
        <v>1</v>
      </c>
      <c r="V85" s="107">
        <f>IF('IWP06'!Std4DateOfXferFromAnotherDahs=DATE(1900,1,0), DATE(1900,1,1),'IWP06'!Std4DateOfXferFromAnotherDahs)</f>
        <v>1</v>
      </c>
      <c r="W85" s="106" t="str">
        <f>IF('IWP06'!Std4dot1aNotCalc = 0, "", 'IWP06'!Std4dot1aNotCalc)</f>
        <v/>
      </c>
      <c r="X85" s="106" t="str">
        <f>IF('IWP06'!Std4dot1bNotCalc = 0, "", 'IWP06'!Std4dot1bNotCalc)</f>
        <v/>
      </c>
      <c r="Y85" s="106" t="str">
        <f>IF('IWP06'!Std4dot1a = 0, "", 'IWP06'!Std4dot1a)</f>
        <v/>
      </c>
      <c r="Z85" s="106" t="str">
        <f>IF('IWP06'!Std4dot1b = 0, "", 'IWP06'!Std4dot1b)</f>
        <v/>
      </c>
      <c r="AA85" s="106" t="str">
        <f>IF('IWP06'!Std4dot1 = 0, "", 'IWP06'!Std4dot1)</f>
        <v/>
      </c>
      <c r="AB85" s="106" t="str">
        <f>IF('IWP06'!Std4dot2NotCalc = 0, "", 'IWP06'!Std4dot2NotCalc)</f>
        <v/>
      </c>
      <c r="AC85" s="106" t="str">
        <f>IF('IWP06'!Std4dot2 = 0, "", 'IWP06'!Std4dot2)</f>
        <v/>
      </c>
      <c r="AD85" s="106" t="str">
        <f>IF('IWP06'!Std4dot3NotCalc = 0, "", 'IWP06'!Std4dot3NotCalc)</f>
        <v/>
      </c>
      <c r="AE85" s="106" t="str">
        <f>IF('IWP06'!Std4dot3a = 0, "", 'IWP06'!Std4dot3a)</f>
        <v/>
      </c>
      <c r="AF85" s="106" t="str">
        <f>IF('IWP06'!Std4dot3b = 0, "", 'IWP06'!Std4dot3b)</f>
        <v/>
      </c>
      <c r="AG85" s="106" t="str">
        <f>IF('IWP06'!Std4dot3c = 0, "", 'IWP06'!Std4dot3c)</f>
        <v/>
      </c>
      <c r="AH85" s="106" t="str">
        <f>IF('IWP06'!Std4dot3d = 0, "", 'IWP06'!Std4dot3d)</f>
        <v/>
      </c>
      <c r="AI85" s="106" t="str">
        <f>IF('IWP06'!Std4dot3 = 0, "", 'IWP06'!Std4dot3)</f>
        <v/>
      </c>
      <c r="AJ85" s="106" t="str">
        <f>IF('IWP06'!Std4dot4a = 0, "", 'IWP06'!Std4dot4a)</f>
        <v/>
      </c>
      <c r="AK85" s="106" t="str">
        <f>IF('IWP06'!Std4dot4b = 0, "", 'IWP06'!Std4dot4b)</f>
        <v/>
      </c>
      <c r="AL85" s="106" t="str">
        <f>IF('IWP06'!Std4dot4 = 0, "", 'IWP06'!Std4dot4)</f>
        <v/>
      </c>
      <c r="AM85" s="106" t="str">
        <f>IF('IWP06'!Std5NotCalc = 0, "", 'IWP06'!Std5NotCalc)</f>
        <v/>
      </c>
      <c r="AN85" s="106" t="str">
        <f>IF('IWP06'!Std5dot1 = 0, "", 'IWP06'!Std5dot1)</f>
        <v>NA</v>
      </c>
      <c r="AO85" s="106" t="str">
        <f>IF('IWP06'!Std5dot2Mo1Ans = 0, "", 'IWP06'!Std5dot2Mo1Ans)</f>
        <v/>
      </c>
      <c r="AP85" s="107">
        <f>IF('IWP06'!Std5dot2Mo1Date=DATE(1900,1,0), DATE(1900,1,1),'IWP06'!Std5dot2Mo1Date)</f>
        <v>1</v>
      </c>
      <c r="AQ85" s="106" t="str">
        <f>IF('IWP06'!Std5dot2Mo2Ans = 0, "", 'IWP06'!Std5dot2Mo2Ans)</f>
        <v/>
      </c>
      <c r="AR85" s="107">
        <f>IF('IWP06'!Std5dot2Mo2Date=DATE(1900,1,0), DATE(1900,1,1),'IWP06'!Std5dot2Mo2Date)</f>
        <v>1</v>
      </c>
      <c r="AS85" s="106" t="str">
        <f>IF('IWP06'!Std5dot2 = 0, "", 'IWP06'!Std5dot2)</f>
        <v/>
      </c>
      <c r="AT85" s="106" t="str">
        <f>IF('IWP06'!Std5dot3Mo1Ans = 0, "", 'IWP06'!Std5dot3Mo1Ans)</f>
        <v/>
      </c>
      <c r="AU85" s="107">
        <f>IF('IWP06'!Std5dot3Mo1Date=DATE(1900,1,0), DATE(1900,1,1),'IWP06'!Std5dot3Mo1Date)</f>
        <v>1</v>
      </c>
      <c r="AV85" s="106" t="str">
        <f>IF('IWP06'!Std5dot3Mo2Ans = 0, "", 'IWP06'!Std5dot3Mo2Ans)</f>
        <v/>
      </c>
      <c r="AW85" s="107">
        <f>IF('IWP06'!Std5dot3Mo2Date=DATE(1900,1,0), DATE(1900,1,1),'IWP06'!Std5dot3Mo2Date)</f>
        <v>1</v>
      </c>
      <c r="AX85" s="106" t="str">
        <f>IF('IWP06'!Std5dot3 = 0, "", 'IWP06'!Std5dot3)</f>
        <v>NA</v>
      </c>
      <c r="AY85" s="106" t="str">
        <f>IF('IWP06'!Std5dot4Mo1Ans = 0, "", 'IWP06'!Std5dot4Mo1Ans)</f>
        <v/>
      </c>
      <c r="AZ85" s="107">
        <f>IF('IWP06'!Std5dot4Mo1Date=DATE(1900,1,0), DATE(1900,1,1),'IWP06'!Std5dot4Mo1Date)</f>
        <v>1</v>
      </c>
      <c r="BA85" s="106" t="str">
        <f>IF('IWP06'!Std5dot4Mo2Ans = 0, "", 'IWP06'!Std5dot4Mo2Ans)</f>
        <v/>
      </c>
      <c r="BB85" s="107">
        <f>IF('IWP06'!Std5dot4Mo2Date=DATE(1900,1,0), DATE(1900,1,1),'IWP06'!Std5dot4Mo2Date)</f>
        <v>1</v>
      </c>
      <c r="BC85" s="2" t="str">
        <f>IF('IWP06'!Std5dot4 = 0, "", 'IWP06'!Std5dot4)</f>
        <v>NA</v>
      </c>
      <c r="BD85" s="2" t="str">
        <f>IF('IWP06'!Std5dot5 = 0, "", 'IWP06'!Std5dot5)</f>
        <v/>
      </c>
      <c r="BE85" s="2" t="str">
        <f>IF('IWP06'!Std5dot6 = 0, "", 'IWP06'!Std5dot6)</f>
        <v/>
      </c>
      <c r="BF85" s="106" t="str">
        <f>IF('IWP06'!Std6dot1 = 0, "", 'IWP06'!Std6dot1)</f>
        <v/>
      </c>
      <c r="BG85" s="155">
        <f>IF('IWP06'!FiscalReviewFirstMonth = DATE(1900,1,0),DATE(1900,1,1), 'IWP06'!FiscalReviewFirstMonth)</f>
        <v>1</v>
      </c>
      <c r="BH85" s="155">
        <f>IF('IWP06'!FiscalReviewSecondMonth = DATE(1900,1,0),DATE(1900,1,1), 'IWP06'!FiscalReviewSecondMonth)</f>
        <v>1</v>
      </c>
      <c r="BI85" s="107">
        <f>IF('IWP06'!Std4DateOfForm3049=DATE(1900,1,0), DATE(1900,1,1),'IWP06'!Std4DateOfForm3049)</f>
        <v>1</v>
      </c>
      <c r="BJ85" s="230">
        <f>IF('IWP06'!Std4DateForm3049SubmittedDadsRegNurse=DATE(1900,1,0), DATE(1900,1,1),'IWP06'!Std4DateForm3049SubmittedDadsRegNurse)</f>
        <v>1</v>
      </c>
    </row>
    <row r="86" spans="1:62">
      <c r="A86" s="125" t="s">
        <v>480</v>
      </c>
      <c r="B86" s="107">
        <f>IF('Samples (Print)'!D11=DATE(1900,1,0), DATE(1900,1,1),'Samples (Print)'!D11)</f>
        <v>1</v>
      </c>
      <c r="C86" s="107">
        <f>IF('Samples (Print)'!E11=DATE(1900,1,0), DATE(1900,1,1),'Samples (Print)'!E11)</f>
        <v>1</v>
      </c>
      <c r="D86" s="128">
        <f>'IWP07'!SampleNumber</f>
        <v>7</v>
      </c>
      <c r="E86" s="128">
        <f>'IWP07'!ClientID</f>
        <v>0</v>
      </c>
      <c r="F86" s="129"/>
      <c r="G86" s="129"/>
      <c r="H86" s="106" t="str">
        <f ca="1">IF('IWP07'!ContractNumber = 0, "", 'IWP07'!ContractNumber)</f>
        <v/>
      </c>
      <c r="I86" s="106" t="str">
        <f>IF('IWP07'!ServiceCode = 0, "", 'IWP07'!ServiceCode)</f>
        <v/>
      </c>
      <c r="J86" s="106" t="str">
        <f>IF('IWP07'!CompletedByLastName = 0, "", 'IWP07'!CompletedByLastName)</f>
        <v/>
      </c>
      <c r="K86" s="106" t="str">
        <f>IF('IWP07'!CompletedByFirstName = 0, "", 'IWP07'!CompletedByFirstName)</f>
        <v/>
      </c>
      <c r="L86" s="107">
        <f>IF('IWP07'!DateCompleted=DATE(1900,1,0), DATE(1900,1,1),'IWP07'!DateCompleted)</f>
        <v>1</v>
      </c>
      <c r="M86" s="107">
        <f>IF('IWP07'!Std4ReferralDate=DATE(1900,1,0), DATE(1900,1,1),'IWP07'!Std4ReferralDate)</f>
        <v>1</v>
      </c>
      <c r="N86" s="107">
        <f>IF('IWP07'!Std4BeginDate=DATE(1900,1,0), DATE(1900,1,1),'IWP07'!Std4BeginDate)</f>
        <v>1</v>
      </c>
      <c r="O86" s="107">
        <f>IF('IWP07'!Std4DateOfReceipt=DATE(1900,1,0), DATE(1900,1,1),'IWP07'!Std4DateOfReceipt)</f>
        <v>1</v>
      </c>
      <c r="P86" s="107">
        <f>IF('IWP07'!Std4FirstDayOfSvc=DATE(1900,1,0), DATE(1900,1,1),'IWP07'!Std4FirstDayOfSvc)</f>
        <v>1</v>
      </c>
      <c r="Q86" s="107">
        <f>IF('IWP07'!Std4DateOfVerbalPhysOrders=DATE(1900,1,0), DATE(1900,1,1),'IWP07'!Std4DateOfVerbalPhysOrders)</f>
        <v>1</v>
      </c>
      <c r="R86" s="107">
        <f>IF('IWP07'!Std4DateOfWrittenPhysPhysOrders=DATE(1900,1,0), DATE(1900,1,1),'IWP07'!Std4DateOfWrittenPhysPhysOrders)</f>
        <v>1</v>
      </c>
      <c r="S86" s="107">
        <f>IF('IWP07'!Std4DateOfForm3050=DATE(1900,1,0), DATE(1900,1,1),'IWP07'!Std4DateOfForm3050)</f>
        <v>1</v>
      </c>
      <c r="T86" s="107">
        <f>IF('IWP07'!Std4DateForm3050SubmittedDadsRegNurse=DATE(1900,1,0), DATE(1900,1,1),'IWP07'!Std4DateForm3050SubmittedDadsRegNurse)</f>
        <v>1</v>
      </c>
      <c r="U86" s="107">
        <f>IF('IWP07'!Std4DateForm3055SubmittedDadsRegNurse=DATE(1900,1,0), DATE(1900,1,1),'IWP07'!Std4DateForm3055SubmittedDadsRegNurse)</f>
        <v>1</v>
      </c>
      <c r="V86" s="107">
        <f>IF('IWP07'!Std4DateOfXferFromAnotherDahs=DATE(1900,1,0), DATE(1900,1,1),'IWP07'!Std4DateOfXferFromAnotherDahs)</f>
        <v>1</v>
      </c>
      <c r="W86" s="106" t="str">
        <f>IF('IWP07'!Std4dot1aNotCalc = 0, "", 'IWP07'!Std4dot1aNotCalc)</f>
        <v/>
      </c>
      <c r="X86" s="106" t="str">
        <f>IF('IWP07'!Std4dot1bNotCalc = 0, "", 'IWP07'!Std4dot1bNotCalc)</f>
        <v/>
      </c>
      <c r="Y86" s="106" t="str">
        <f>IF('IWP07'!Std4dot1a = 0, "", 'IWP07'!Std4dot1a)</f>
        <v/>
      </c>
      <c r="Z86" s="106" t="str">
        <f>IF('IWP07'!Std4dot1b = 0, "", 'IWP07'!Std4dot1b)</f>
        <v/>
      </c>
      <c r="AA86" s="106" t="str">
        <f>IF('IWP07'!Std4dot1 = 0, "", 'IWP07'!Std4dot1)</f>
        <v/>
      </c>
      <c r="AB86" s="106" t="str">
        <f>IF('IWP07'!Std4dot2NotCalc = 0, "", 'IWP07'!Std4dot2NotCalc)</f>
        <v/>
      </c>
      <c r="AC86" s="106" t="str">
        <f>IF('IWP07'!Std4dot2 = 0, "", 'IWP07'!Std4dot2)</f>
        <v/>
      </c>
      <c r="AD86" s="106" t="str">
        <f>IF('IWP07'!Std4dot3NotCalc = 0, "", 'IWP07'!Std4dot3NotCalc)</f>
        <v/>
      </c>
      <c r="AE86" s="106" t="str">
        <f>IF('IWP07'!Std4dot3a = 0, "", 'IWP07'!Std4dot3a)</f>
        <v/>
      </c>
      <c r="AF86" s="106" t="str">
        <f>IF('IWP07'!Std4dot3b = 0, "", 'IWP07'!Std4dot3b)</f>
        <v/>
      </c>
      <c r="AG86" s="106" t="str">
        <f>IF('IWP07'!Std4dot3c = 0, "", 'IWP07'!Std4dot3c)</f>
        <v/>
      </c>
      <c r="AH86" s="106" t="str">
        <f>IF('IWP07'!Std4dot3d = 0, "", 'IWP07'!Std4dot3d)</f>
        <v/>
      </c>
      <c r="AI86" s="106" t="str">
        <f>IF('IWP07'!Std4dot3 = 0, "", 'IWP07'!Std4dot3)</f>
        <v/>
      </c>
      <c r="AJ86" s="106" t="str">
        <f>IF('IWP07'!Std4dot4a = 0, "", 'IWP07'!Std4dot4a)</f>
        <v/>
      </c>
      <c r="AK86" s="106" t="str">
        <f>IF('IWP07'!Std4dot4b = 0, "", 'IWP07'!Std4dot4b)</f>
        <v/>
      </c>
      <c r="AL86" s="106" t="str">
        <f>IF('IWP07'!Std4dot4 = 0, "", 'IWP07'!Std4dot4)</f>
        <v/>
      </c>
      <c r="AM86" s="106" t="str">
        <f>IF('IWP07'!Std5NotCalc = 0, "", 'IWP07'!Std5NotCalc)</f>
        <v/>
      </c>
      <c r="AN86" s="106" t="str">
        <f>IF('IWP07'!Std5dot1 = 0, "", 'IWP07'!Std5dot1)</f>
        <v>NA</v>
      </c>
      <c r="AO86" s="106" t="str">
        <f>IF('IWP07'!Std5dot2Mo1Ans = 0, "", 'IWP07'!Std5dot2Mo1Ans)</f>
        <v/>
      </c>
      <c r="AP86" s="107">
        <f>IF('IWP07'!Std5dot2Mo1Date=DATE(1900,1,0), DATE(1900,1,1),'IWP07'!Std5dot2Mo1Date)</f>
        <v>1</v>
      </c>
      <c r="AQ86" s="106" t="str">
        <f>IF('IWP07'!Std5dot2Mo2Ans = 0, "", 'IWP07'!Std5dot2Mo2Ans)</f>
        <v/>
      </c>
      <c r="AR86" s="107">
        <f>IF('IWP07'!Std5dot2Mo2Date=DATE(1900,1,0), DATE(1900,1,1),'IWP07'!Std5dot2Mo2Date)</f>
        <v>1</v>
      </c>
      <c r="AS86" s="106" t="str">
        <f>IF('IWP07'!Std5dot2 = 0, "", 'IWP07'!Std5dot2)</f>
        <v/>
      </c>
      <c r="AT86" s="106" t="str">
        <f>IF('IWP07'!Std5dot3Mo1Ans = 0, "", 'IWP07'!Std5dot3Mo1Ans)</f>
        <v/>
      </c>
      <c r="AU86" s="107">
        <f>IF('IWP07'!Std5dot3Mo1Date=DATE(1900,1,0), DATE(1900,1,1),'IWP07'!Std5dot3Mo1Date)</f>
        <v>1</v>
      </c>
      <c r="AV86" s="106" t="str">
        <f>IF('IWP07'!Std5dot3Mo2Ans = 0, "", 'IWP07'!Std5dot3Mo2Ans)</f>
        <v/>
      </c>
      <c r="AW86" s="107">
        <f>IF('IWP07'!Std5dot3Mo2Date=DATE(1900,1,0), DATE(1900,1,1),'IWP07'!Std5dot3Mo2Date)</f>
        <v>1</v>
      </c>
      <c r="AX86" s="106" t="str">
        <f>IF('IWP07'!Std5dot3 = 0, "", 'IWP07'!Std5dot3)</f>
        <v>NA</v>
      </c>
      <c r="AY86" s="106" t="str">
        <f>IF('IWP07'!Std5dot4Mo1Ans = 0, "", 'IWP07'!Std5dot4Mo1Ans)</f>
        <v/>
      </c>
      <c r="AZ86" s="107">
        <f>IF('IWP07'!Std5dot4Mo1Date=DATE(1900,1,0), DATE(1900,1,1),'IWP07'!Std5dot4Mo1Date)</f>
        <v>1</v>
      </c>
      <c r="BA86" s="106" t="str">
        <f>IF('IWP07'!Std5dot4Mo2Ans = 0, "", 'IWP07'!Std5dot4Mo2Ans)</f>
        <v/>
      </c>
      <c r="BB86" s="107">
        <f>IF('IWP07'!Std5dot4Mo2Date=DATE(1900,1,0), DATE(1900,1,1),'IWP07'!Std5dot4Mo2Date)</f>
        <v>1</v>
      </c>
      <c r="BC86" s="2" t="str">
        <f>IF('IWP07'!Std5dot4 = 0, "", 'IWP07'!Std5dot4)</f>
        <v>NA</v>
      </c>
      <c r="BD86" s="2" t="str">
        <f>IF('IWP07'!Std5dot5 = 0, "", 'IWP07'!Std5dot5)</f>
        <v/>
      </c>
      <c r="BE86" s="2" t="str">
        <f>IF('IWP07'!Std5dot6 = 0, "", 'IWP07'!Std5dot6)</f>
        <v/>
      </c>
      <c r="BF86" s="106" t="str">
        <f>IF('IWP07'!Std6dot1 = 0, "", 'IWP07'!Std6dot1)</f>
        <v/>
      </c>
      <c r="BG86" s="155">
        <f>IF('IWP07'!FiscalReviewFirstMonth = DATE(1900,1,0),DATE(1900,1,1), 'IWP07'!FiscalReviewFirstMonth)</f>
        <v>1</v>
      </c>
      <c r="BH86" s="155">
        <f>IF('IWP07'!FiscalReviewSecondMonth = DATE(1900,1,0),DATE(1900,1,1), 'IWP07'!FiscalReviewSecondMonth)</f>
        <v>1</v>
      </c>
      <c r="BI86" s="107">
        <f>IF('IWP07'!Std4DateOfForm3049=DATE(1900,1,0), DATE(1900,1,1),'IWP07'!Std4DateOfForm3049)</f>
        <v>1</v>
      </c>
      <c r="BJ86" s="230">
        <f>IF('IWP07'!Std4DateForm3049SubmittedDadsRegNurse=DATE(1900,1,0), DATE(1900,1,1),'IWP07'!Std4DateForm3049SubmittedDadsRegNurse)</f>
        <v>1</v>
      </c>
    </row>
    <row r="87" spans="1:62">
      <c r="A87" s="125" t="s">
        <v>481</v>
      </c>
      <c r="B87" s="107">
        <f>IF('Samples (Print)'!D12=DATE(1900,1,0), DATE(1900,1,1),'Samples (Print)'!D12)</f>
        <v>1</v>
      </c>
      <c r="C87" s="107">
        <f>IF('Samples (Print)'!E12=DATE(1900,1,0), DATE(1900,1,1),'Samples (Print)'!E12)</f>
        <v>1</v>
      </c>
      <c r="D87" s="128">
        <f>'IWP08'!SampleNumber</f>
        <v>8</v>
      </c>
      <c r="E87" s="128">
        <f>'IWP08'!ClientID</f>
        <v>0</v>
      </c>
      <c r="F87" s="129"/>
      <c r="G87" s="129"/>
      <c r="H87" s="106" t="str">
        <f ca="1">IF('IWP08'!ContractNumber = 0, "", 'IWP08'!ContractNumber)</f>
        <v/>
      </c>
      <c r="I87" s="106" t="str">
        <f>IF('IWP08'!ServiceCode = 0, "", 'IWP08'!ServiceCode)</f>
        <v/>
      </c>
      <c r="J87" s="106" t="str">
        <f>IF('IWP08'!CompletedByLastName = 0, "", 'IWP08'!CompletedByLastName)</f>
        <v/>
      </c>
      <c r="K87" s="106" t="str">
        <f>IF('IWP08'!CompletedByFirstName = 0, "", 'IWP08'!CompletedByFirstName)</f>
        <v/>
      </c>
      <c r="L87" s="107">
        <f>IF('IWP08'!DateCompleted=DATE(1900,1,0), DATE(1900,1,1),'IWP08'!DateCompleted)</f>
        <v>1</v>
      </c>
      <c r="M87" s="107">
        <f>IF('IWP08'!Std4ReferralDate=DATE(1900,1,0), DATE(1900,1,1),'IWP08'!Std4ReferralDate)</f>
        <v>1</v>
      </c>
      <c r="N87" s="107">
        <f>IF('IWP08'!Std4BeginDate=DATE(1900,1,0), DATE(1900,1,1),'IWP08'!Std4BeginDate)</f>
        <v>1</v>
      </c>
      <c r="O87" s="107">
        <f>IF('IWP08'!Std4DateOfReceipt=DATE(1900,1,0), DATE(1900,1,1),'IWP08'!Std4DateOfReceipt)</f>
        <v>1</v>
      </c>
      <c r="P87" s="107">
        <f>IF('IWP08'!Std4FirstDayOfSvc=DATE(1900,1,0), DATE(1900,1,1),'IWP08'!Std4FirstDayOfSvc)</f>
        <v>1</v>
      </c>
      <c r="Q87" s="107">
        <f>IF('IWP08'!Std4DateOfVerbalPhysOrders=DATE(1900,1,0), DATE(1900,1,1),'IWP08'!Std4DateOfVerbalPhysOrders)</f>
        <v>1</v>
      </c>
      <c r="R87" s="107">
        <f>IF('IWP08'!Std4DateOfWrittenPhysPhysOrders=DATE(1900,1,0), DATE(1900,1,1),'IWP08'!Std4DateOfWrittenPhysPhysOrders)</f>
        <v>1</v>
      </c>
      <c r="S87" s="107">
        <f>IF('IWP08'!Std4DateOfForm3050=DATE(1900,1,0), DATE(1900,1,1),'IWP08'!Std4DateOfForm3050)</f>
        <v>1</v>
      </c>
      <c r="T87" s="107">
        <f>IF('IWP08'!Std4DateForm3050SubmittedDadsRegNurse=DATE(1900,1,0), DATE(1900,1,1),'IWP08'!Std4DateForm3050SubmittedDadsRegNurse)</f>
        <v>1</v>
      </c>
      <c r="U87" s="107">
        <f>IF('IWP08'!Std4DateForm3055SubmittedDadsRegNurse=DATE(1900,1,0), DATE(1900,1,1),'IWP08'!Std4DateForm3055SubmittedDadsRegNurse)</f>
        <v>1</v>
      </c>
      <c r="V87" s="107">
        <f>IF('IWP08'!Std4DateOfXferFromAnotherDahs=DATE(1900,1,0), DATE(1900,1,1),'IWP08'!Std4DateOfXferFromAnotherDahs)</f>
        <v>1</v>
      </c>
      <c r="W87" s="106" t="str">
        <f>IF('IWP08'!Std4dot1aNotCalc = 0, "", 'IWP08'!Std4dot1aNotCalc)</f>
        <v/>
      </c>
      <c r="X87" s="106" t="str">
        <f>IF('IWP08'!Std4dot1bNotCalc = 0, "", 'IWP08'!Std4dot1bNotCalc)</f>
        <v/>
      </c>
      <c r="Y87" s="106" t="str">
        <f>IF('IWP08'!Std4dot1a = 0, "", 'IWP08'!Std4dot1a)</f>
        <v/>
      </c>
      <c r="Z87" s="106" t="str">
        <f>IF('IWP08'!Std4dot1b = 0, "", 'IWP08'!Std4dot1b)</f>
        <v/>
      </c>
      <c r="AA87" s="106" t="str">
        <f>IF('IWP08'!Std4dot1 = 0, "", 'IWP08'!Std4dot1)</f>
        <v/>
      </c>
      <c r="AB87" s="106" t="str">
        <f>IF('IWP08'!Std4dot2NotCalc = 0, "", 'IWP08'!Std4dot2NotCalc)</f>
        <v/>
      </c>
      <c r="AC87" s="106" t="str">
        <f>IF('IWP08'!Std4dot2 = 0, "", 'IWP08'!Std4dot2)</f>
        <v/>
      </c>
      <c r="AD87" s="106" t="str">
        <f>IF('IWP08'!Std4dot3NotCalc = 0, "", 'IWP08'!Std4dot3NotCalc)</f>
        <v/>
      </c>
      <c r="AE87" s="106" t="str">
        <f>IF('IWP08'!Std4dot3a = 0, "", 'IWP08'!Std4dot3a)</f>
        <v/>
      </c>
      <c r="AF87" s="106" t="str">
        <f>IF('IWP08'!Std4dot3b = 0, "", 'IWP08'!Std4dot3b)</f>
        <v/>
      </c>
      <c r="AG87" s="106" t="str">
        <f>IF('IWP08'!Std4dot3c = 0, "", 'IWP08'!Std4dot3c)</f>
        <v/>
      </c>
      <c r="AH87" s="106" t="str">
        <f>IF('IWP08'!Std4dot3d = 0, "", 'IWP08'!Std4dot3d)</f>
        <v/>
      </c>
      <c r="AI87" s="106" t="str">
        <f>IF('IWP08'!Std4dot3 = 0, "", 'IWP08'!Std4dot3)</f>
        <v/>
      </c>
      <c r="AJ87" s="106" t="str">
        <f>IF('IWP08'!Std4dot4a = 0, "", 'IWP08'!Std4dot4a)</f>
        <v/>
      </c>
      <c r="AK87" s="106" t="str">
        <f>IF('IWP08'!Std4dot4b = 0, "", 'IWP08'!Std4dot4b)</f>
        <v/>
      </c>
      <c r="AL87" s="106" t="str">
        <f>IF('IWP08'!Std4dot4 = 0, "", 'IWP08'!Std4dot4)</f>
        <v/>
      </c>
      <c r="AM87" s="106" t="str">
        <f>IF('IWP08'!Std5NotCalc = 0, "", 'IWP08'!Std5NotCalc)</f>
        <v/>
      </c>
      <c r="AN87" s="106" t="str">
        <f>IF('IWP08'!Std5dot1 = 0, "", 'IWP08'!Std5dot1)</f>
        <v>NA</v>
      </c>
      <c r="AO87" s="106" t="str">
        <f>IF('IWP08'!Std5dot2Mo1Ans = 0, "", 'IWP08'!Std5dot2Mo1Ans)</f>
        <v/>
      </c>
      <c r="AP87" s="107">
        <f>IF('IWP08'!Std5dot2Mo1Date=DATE(1900,1,0), DATE(1900,1,1),'IWP08'!Std5dot2Mo1Date)</f>
        <v>1</v>
      </c>
      <c r="AQ87" s="106" t="str">
        <f>IF('IWP08'!Std5dot2Mo2Ans = 0, "", 'IWP08'!Std5dot2Mo2Ans)</f>
        <v/>
      </c>
      <c r="AR87" s="107">
        <f>IF('IWP08'!Std5dot2Mo2Date=DATE(1900,1,0), DATE(1900,1,1),'IWP08'!Std5dot2Mo2Date)</f>
        <v>1</v>
      </c>
      <c r="AS87" s="106" t="str">
        <f>IF('IWP08'!Std5dot2 = 0, "", 'IWP08'!Std5dot2)</f>
        <v/>
      </c>
      <c r="AT87" s="106" t="str">
        <f>IF('IWP08'!Std5dot3Mo1Ans = 0, "", 'IWP08'!Std5dot3Mo1Ans)</f>
        <v/>
      </c>
      <c r="AU87" s="107">
        <f>IF('IWP08'!Std5dot3Mo1Date=DATE(1900,1,0), DATE(1900,1,1),'IWP08'!Std5dot3Mo1Date)</f>
        <v>1</v>
      </c>
      <c r="AV87" s="106" t="str">
        <f>IF('IWP08'!Std5dot3Mo2Ans = 0, "", 'IWP08'!Std5dot3Mo2Ans)</f>
        <v/>
      </c>
      <c r="AW87" s="107">
        <f>IF('IWP08'!Std5dot3Mo2Date=DATE(1900,1,0), DATE(1900,1,1),'IWP08'!Std5dot3Mo2Date)</f>
        <v>1</v>
      </c>
      <c r="AX87" s="106" t="str">
        <f>IF('IWP08'!Std5dot3 = 0, "", 'IWP08'!Std5dot3)</f>
        <v>NA</v>
      </c>
      <c r="AY87" s="106" t="str">
        <f>IF('IWP08'!Std5dot4Mo1Ans = 0, "", 'IWP08'!Std5dot4Mo1Ans)</f>
        <v/>
      </c>
      <c r="AZ87" s="107">
        <f>IF('IWP08'!Std5dot4Mo1Date=DATE(1900,1,0), DATE(1900,1,1),'IWP08'!Std5dot4Mo1Date)</f>
        <v>1</v>
      </c>
      <c r="BA87" s="106" t="str">
        <f>IF('IWP08'!Std5dot4Mo2Ans = 0, "", 'IWP08'!Std5dot4Mo2Ans)</f>
        <v/>
      </c>
      <c r="BB87" s="107">
        <f>IF('IWP08'!Std5dot4Mo2Date=DATE(1900,1,0), DATE(1900,1,1),'IWP08'!Std5dot4Mo2Date)</f>
        <v>1</v>
      </c>
      <c r="BC87" s="2" t="str">
        <f>IF('IWP08'!Std5dot4 = 0, "", 'IWP08'!Std5dot4)</f>
        <v>NA</v>
      </c>
      <c r="BD87" s="2" t="str">
        <f>IF('IWP08'!Std5dot5 = 0, "", 'IWP08'!Std5dot5)</f>
        <v/>
      </c>
      <c r="BE87" s="2" t="str">
        <f>IF('IWP08'!Std5dot6 = 0, "", 'IWP08'!Std5dot6)</f>
        <v/>
      </c>
      <c r="BF87" s="106" t="str">
        <f>IF('IWP08'!Std6dot1 = 0, "", 'IWP08'!Std6dot1)</f>
        <v/>
      </c>
      <c r="BG87" s="155">
        <f>IF('IWP08'!FiscalReviewFirstMonth = DATE(1900,1,0),DATE(1900,1,1), 'IWP08'!FiscalReviewFirstMonth)</f>
        <v>1</v>
      </c>
      <c r="BH87" s="155">
        <f>IF('IWP08'!FiscalReviewSecondMonth = DATE(1900,1,0),DATE(1900,1,1), 'IWP08'!FiscalReviewSecondMonth)</f>
        <v>1</v>
      </c>
      <c r="BI87" s="107">
        <f>IF('IWP08'!Std4DateOfForm3049=DATE(1900,1,0), DATE(1900,1,1),'IWP08'!Std4DateOfForm3049)</f>
        <v>1</v>
      </c>
      <c r="BJ87" s="230">
        <f>IF('IWP08'!Std4DateForm3049SubmittedDadsRegNurse=DATE(1900,1,0), DATE(1900,1,1),'IWP08'!Std4DateForm3049SubmittedDadsRegNurse)</f>
        <v>1</v>
      </c>
    </row>
    <row r="88" spans="1:62">
      <c r="A88" s="125" t="s">
        <v>482</v>
      </c>
      <c r="B88" s="107">
        <f>IF('Samples (Print)'!D13=DATE(1900,1,0), DATE(1900,1,1),'Samples (Print)'!D13)</f>
        <v>1</v>
      </c>
      <c r="C88" s="107">
        <f>IF('Samples (Print)'!E13=DATE(1900,1,0), DATE(1900,1,1),'Samples (Print)'!E13)</f>
        <v>1</v>
      </c>
      <c r="D88" s="128">
        <f>'IWP09'!SampleNumber</f>
        <v>9</v>
      </c>
      <c r="E88" s="128">
        <f>'IWP09'!ClientID</f>
        <v>0</v>
      </c>
      <c r="F88" s="129"/>
      <c r="G88" s="129"/>
      <c r="H88" s="106" t="str">
        <f ca="1">IF('IWP09'!ContractNumber = 0, "", 'IWP09'!ContractNumber)</f>
        <v/>
      </c>
      <c r="I88" s="106" t="str">
        <f>IF('IWP09'!ServiceCode = 0, "", 'IWP09'!ServiceCode)</f>
        <v/>
      </c>
      <c r="J88" s="106" t="str">
        <f>IF('IWP09'!CompletedByLastName = 0, "", 'IWP09'!CompletedByLastName)</f>
        <v/>
      </c>
      <c r="K88" s="106" t="str">
        <f>IF('IWP09'!CompletedByFirstName = 0, "", 'IWP09'!CompletedByFirstName)</f>
        <v/>
      </c>
      <c r="L88" s="107">
        <f>IF('IWP09'!DateCompleted=DATE(1900,1,0), DATE(1900,1,1),'IWP09'!DateCompleted)</f>
        <v>1</v>
      </c>
      <c r="M88" s="107">
        <f>IF('IWP09'!Std4ReferralDate=DATE(1900,1,0), DATE(1900,1,1),'IWP09'!Std4ReferralDate)</f>
        <v>1</v>
      </c>
      <c r="N88" s="107">
        <f>IF('IWP09'!Std4BeginDate=DATE(1900,1,0), DATE(1900,1,1),'IWP09'!Std4BeginDate)</f>
        <v>1</v>
      </c>
      <c r="O88" s="107">
        <f>IF('IWP09'!Std4DateOfReceipt=DATE(1900,1,0), DATE(1900,1,1),'IWP09'!Std4DateOfReceipt)</f>
        <v>1</v>
      </c>
      <c r="P88" s="107">
        <f>IF('IWP09'!Std4FirstDayOfSvc=DATE(1900,1,0), DATE(1900,1,1),'IWP09'!Std4FirstDayOfSvc)</f>
        <v>1</v>
      </c>
      <c r="Q88" s="107">
        <f>IF('IWP09'!Std4DateOfVerbalPhysOrders=DATE(1900,1,0), DATE(1900,1,1),'IWP09'!Std4DateOfVerbalPhysOrders)</f>
        <v>1</v>
      </c>
      <c r="R88" s="107">
        <f>IF('IWP09'!Std4DateOfWrittenPhysPhysOrders=DATE(1900,1,0), DATE(1900,1,1),'IWP09'!Std4DateOfWrittenPhysPhysOrders)</f>
        <v>1</v>
      </c>
      <c r="S88" s="107">
        <f>IF('IWP09'!Std4DateOfForm3050=DATE(1900,1,0), DATE(1900,1,1),'IWP09'!Std4DateOfForm3050)</f>
        <v>1</v>
      </c>
      <c r="T88" s="107">
        <f>IF('IWP09'!Std4DateForm3050SubmittedDadsRegNurse=DATE(1900,1,0), DATE(1900,1,1),'IWP09'!Std4DateForm3050SubmittedDadsRegNurse)</f>
        <v>1</v>
      </c>
      <c r="U88" s="107">
        <f>IF('IWP09'!Std4DateForm3055SubmittedDadsRegNurse=DATE(1900,1,0), DATE(1900,1,1),'IWP09'!Std4DateForm3055SubmittedDadsRegNurse)</f>
        <v>1</v>
      </c>
      <c r="V88" s="107">
        <f>IF('IWP09'!Std4DateOfXferFromAnotherDahs=DATE(1900,1,0), DATE(1900,1,1),'IWP09'!Std4DateOfXferFromAnotherDahs)</f>
        <v>1</v>
      </c>
      <c r="W88" s="106" t="str">
        <f>IF('IWP09'!Std4dot1aNotCalc = 0, "", 'IWP09'!Std4dot1aNotCalc)</f>
        <v/>
      </c>
      <c r="X88" s="106" t="str">
        <f>IF('IWP09'!Std4dot1bNotCalc = 0, "", 'IWP09'!Std4dot1bNotCalc)</f>
        <v/>
      </c>
      <c r="Y88" s="106" t="str">
        <f>IF('IWP09'!Std4dot1a = 0, "", 'IWP09'!Std4dot1a)</f>
        <v/>
      </c>
      <c r="Z88" s="106" t="str">
        <f>IF('IWP09'!Std4dot1b = 0, "", 'IWP09'!Std4dot1b)</f>
        <v/>
      </c>
      <c r="AA88" s="106" t="str">
        <f>IF('IWP09'!Std4dot1 = 0, "", 'IWP09'!Std4dot1)</f>
        <v/>
      </c>
      <c r="AB88" s="106" t="str">
        <f>IF('IWP09'!Std4dot2NotCalc = 0, "", 'IWP09'!Std4dot2NotCalc)</f>
        <v/>
      </c>
      <c r="AC88" s="106" t="str">
        <f>IF('IWP09'!Std4dot2 = 0, "", 'IWP09'!Std4dot2)</f>
        <v/>
      </c>
      <c r="AD88" s="106" t="str">
        <f>IF('IWP09'!Std4dot3NotCalc = 0, "", 'IWP09'!Std4dot3NotCalc)</f>
        <v/>
      </c>
      <c r="AE88" s="106" t="str">
        <f>IF('IWP09'!Std4dot3a = 0, "", 'IWP09'!Std4dot3a)</f>
        <v/>
      </c>
      <c r="AF88" s="106" t="str">
        <f>IF('IWP09'!Std4dot3b = 0, "", 'IWP09'!Std4dot3b)</f>
        <v/>
      </c>
      <c r="AG88" s="106" t="str">
        <f>IF('IWP09'!Std4dot3c = 0, "", 'IWP09'!Std4dot3c)</f>
        <v/>
      </c>
      <c r="AH88" s="106" t="str">
        <f>IF('IWP09'!Std4dot3d = 0, "", 'IWP09'!Std4dot3d)</f>
        <v/>
      </c>
      <c r="AI88" s="106" t="str">
        <f>IF('IWP09'!Std4dot3 = 0, "", 'IWP09'!Std4dot3)</f>
        <v/>
      </c>
      <c r="AJ88" s="106" t="str">
        <f>IF('IWP09'!Std4dot4a = 0, "", 'IWP09'!Std4dot4a)</f>
        <v/>
      </c>
      <c r="AK88" s="106" t="str">
        <f>IF('IWP09'!Std4dot4b = 0, "", 'IWP09'!Std4dot4b)</f>
        <v/>
      </c>
      <c r="AL88" s="106" t="str">
        <f>IF('IWP09'!Std4dot4 = 0, "", 'IWP09'!Std4dot4)</f>
        <v/>
      </c>
      <c r="AM88" s="106" t="str">
        <f>IF('IWP09'!Std5NotCalc = 0, "", 'IWP09'!Std5NotCalc)</f>
        <v/>
      </c>
      <c r="AN88" s="106" t="str">
        <f>IF('IWP09'!Std5dot1 = 0, "", 'IWP09'!Std5dot1)</f>
        <v>NA</v>
      </c>
      <c r="AO88" s="106" t="str">
        <f>IF('IWP09'!Std5dot2Mo1Ans = 0, "", 'IWP09'!Std5dot2Mo1Ans)</f>
        <v/>
      </c>
      <c r="AP88" s="107">
        <f>IF('IWP09'!Std5dot2Mo1Date=DATE(1900,1,0), DATE(1900,1,1),'IWP09'!Std5dot2Mo1Date)</f>
        <v>1</v>
      </c>
      <c r="AQ88" s="106" t="str">
        <f>IF('IWP09'!Std5dot2Mo2Ans = 0, "", 'IWP09'!Std5dot2Mo2Ans)</f>
        <v/>
      </c>
      <c r="AR88" s="107">
        <f>IF('IWP09'!Std5dot2Mo2Date=DATE(1900,1,0), DATE(1900,1,1),'IWP09'!Std5dot2Mo2Date)</f>
        <v>1</v>
      </c>
      <c r="AS88" s="106" t="str">
        <f>IF('IWP09'!Std5dot2 = 0, "", 'IWP09'!Std5dot2)</f>
        <v/>
      </c>
      <c r="AT88" s="106" t="str">
        <f>IF('IWP09'!Std5dot3Mo1Ans = 0, "", 'IWP09'!Std5dot3Mo1Ans)</f>
        <v/>
      </c>
      <c r="AU88" s="107">
        <f>IF('IWP09'!Std5dot3Mo1Date=DATE(1900,1,0), DATE(1900,1,1),'IWP09'!Std5dot3Mo1Date)</f>
        <v>1</v>
      </c>
      <c r="AV88" s="106" t="str">
        <f>IF('IWP09'!Std5dot3Mo2Ans = 0, "", 'IWP09'!Std5dot3Mo2Ans)</f>
        <v/>
      </c>
      <c r="AW88" s="107">
        <f>IF('IWP09'!Std5dot3Mo2Date=DATE(1900,1,0), DATE(1900,1,1),'IWP09'!Std5dot3Mo2Date)</f>
        <v>1</v>
      </c>
      <c r="AX88" s="106" t="str">
        <f>IF('IWP09'!Std5dot3 = 0, "", 'IWP09'!Std5dot3)</f>
        <v>NA</v>
      </c>
      <c r="AY88" s="106" t="str">
        <f>IF('IWP09'!Std5dot4Mo1Ans = 0, "", 'IWP09'!Std5dot4Mo1Ans)</f>
        <v/>
      </c>
      <c r="AZ88" s="107">
        <f>IF('IWP09'!Std5dot4Mo1Date=DATE(1900,1,0), DATE(1900,1,1),'IWP09'!Std5dot4Mo1Date)</f>
        <v>1</v>
      </c>
      <c r="BA88" s="106" t="str">
        <f>IF('IWP09'!Std5dot4Mo2Ans = 0, "", 'IWP09'!Std5dot4Mo2Ans)</f>
        <v/>
      </c>
      <c r="BB88" s="107">
        <f>IF('IWP09'!Std5dot4Mo2Date=DATE(1900,1,0), DATE(1900,1,1),'IWP09'!Std5dot4Mo2Date)</f>
        <v>1</v>
      </c>
      <c r="BC88" s="2" t="str">
        <f>IF('IWP09'!Std5dot4 = 0, "", 'IWP09'!Std5dot4)</f>
        <v>NA</v>
      </c>
      <c r="BD88" s="2" t="str">
        <f>IF('IWP09'!Std5dot5 = 0, "", 'IWP09'!Std5dot5)</f>
        <v/>
      </c>
      <c r="BE88" s="2" t="str">
        <f>IF('IWP09'!Std5dot6 = 0, "", 'IWP09'!Std5dot6)</f>
        <v/>
      </c>
      <c r="BF88" s="106" t="str">
        <f>IF('IWP09'!Std6dot1 = 0, "", 'IWP09'!Std6dot1)</f>
        <v/>
      </c>
      <c r="BG88" s="155">
        <f>IF('IWP09'!FiscalReviewFirstMonth = DATE(1900,1,0),DATE(1900,1,1), 'IWP09'!FiscalReviewFirstMonth)</f>
        <v>1</v>
      </c>
      <c r="BH88" s="155">
        <f>IF('IWP09'!FiscalReviewSecondMonth = DATE(1900,1,0),DATE(1900,1,1), 'IWP09'!FiscalReviewSecondMonth)</f>
        <v>1</v>
      </c>
      <c r="BI88" s="107">
        <f>IF('IWP09'!Std4DateOfForm3049=DATE(1900,1,0), DATE(1900,1,1),'IWP09'!Std4DateOfForm3049)</f>
        <v>1</v>
      </c>
      <c r="BJ88" s="230">
        <f>IF('IWP09'!Std4DateForm3049SubmittedDadsRegNurse=DATE(1900,1,0), DATE(1900,1,1),'IWP09'!Std4DateForm3049SubmittedDadsRegNurse)</f>
        <v>1</v>
      </c>
    </row>
    <row r="89" spans="1:62">
      <c r="A89" s="125" t="s">
        <v>483</v>
      </c>
      <c r="B89" s="107">
        <f>IF('Samples (Print)'!D14=DATE(1900,1,0), DATE(1900,1,1),'Samples (Print)'!D14)</f>
        <v>1</v>
      </c>
      <c r="C89" s="107">
        <f>IF('Samples (Print)'!E14=DATE(1900,1,0), DATE(1900,1,1),'Samples (Print)'!E14)</f>
        <v>1</v>
      </c>
      <c r="D89" s="128">
        <f>'IWP10'!SampleNumber</f>
        <v>10</v>
      </c>
      <c r="E89" s="128">
        <f>'IWP10'!ClientID</f>
        <v>0</v>
      </c>
      <c r="F89" s="129"/>
      <c r="G89" s="129"/>
      <c r="H89" s="106" t="str">
        <f ca="1">IF('IWP10'!ContractNumber = 0, "", 'IWP10'!ContractNumber)</f>
        <v/>
      </c>
      <c r="I89" s="106" t="str">
        <f>IF('IWP10'!ServiceCode = 0, "", 'IWP10'!ServiceCode)</f>
        <v/>
      </c>
      <c r="J89" s="106" t="str">
        <f>IF('IWP10'!CompletedByLastName = 0, "", 'IWP10'!CompletedByLastName)</f>
        <v/>
      </c>
      <c r="K89" s="106" t="str">
        <f>IF('IWP10'!CompletedByFirstName = 0, "", 'IWP10'!CompletedByFirstName)</f>
        <v/>
      </c>
      <c r="L89" s="107">
        <f>IF('IWP10'!DateCompleted=DATE(1900,1,0), DATE(1900,1,1),'IWP10'!DateCompleted)</f>
        <v>1</v>
      </c>
      <c r="M89" s="107">
        <f>IF('IWP10'!Std4ReferralDate=DATE(1900,1,0), DATE(1900,1,1),'IWP10'!Std4ReferralDate)</f>
        <v>1</v>
      </c>
      <c r="N89" s="107">
        <f>IF('IWP10'!Std4BeginDate=DATE(1900,1,0), DATE(1900,1,1),'IWP10'!Std4BeginDate)</f>
        <v>1</v>
      </c>
      <c r="O89" s="107">
        <f>IF('IWP10'!Std4DateOfReceipt=DATE(1900,1,0), DATE(1900,1,1),'IWP10'!Std4DateOfReceipt)</f>
        <v>1</v>
      </c>
      <c r="P89" s="107">
        <f>IF('IWP10'!Std4FirstDayOfSvc=DATE(1900,1,0), DATE(1900,1,1),'IWP10'!Std4FirstDayOfSvc)</f>
        <v>1</v>
      </c>
      <c r="Q89" s="107">
        <f>IF('IWP10'!Std4DateOfVerbalPhysOrders=DATE(1900,1,0), DATE(1900,1,1),'IWP10'!Std4DateOfVerbalPhysOrders)</f>
        <v>1</v>
      </c>
      <c r="R89" s="107">
        <f>IF('IWP10'!Std4DateOfWrittenPhysPhysOrders=DATE(1900,1,0), DATE(1900,1,1),'IWP10'!Std4DateOfWrittenPhysPhysOrders)</f>
        <v>1</v>
      </c>
      <c r="S89" s="107">
        <f>IF('IWP10'!Std4DateOfForm3050=DATE(1900,1,0), DATE(1900,1,1),'IWP10'!Std4DateOfForm3050)</f>
        <v>1</v>
      </c>
      <c r="T89" s="107">
        <f>IF('IWP10'!Std4DateForm3050SubmittedDadsRegNurse=DATE(1900,1,0), DATE(1900,1,1),'IWP10'!Std4DateForm3050SubmittedDadsRegNurse)</f>
        <v>1</v>
      </c>
      <c r="U89" s="107">
        <f>IF('IWP10'!Std4DateForm3055SubmittedDadsRegNurse=DATE(1900,1,0), DATE(1900,1,1),'IWP10'!Std4DateForm3055SubmittedDadsRegNurse)</f>
        <v>1</v>
      </c>
      <c r="V89" s="107">
        <f>IF('IWP10'!Std4DateOfXferFromAnotherDahs=DATE(1900,1,0), DATE(1900,1,1),'IWP10'!Std4DateOfXferFromAnotherDahs)</f>
        <v>1</v>
      </c>
      <c r="W89" s="106" t="str">
        <f>IF('IWP10'!Std4dot1aNotCalc = 0, "", 'IWP10'!Std4dot1aNotCalc)</f>
        <v/>
      </c>
      <c r="X89" s="106" t="str">
        <f>IF('IWP10'!Std4dot1bNotCalc = 0, "", 'IWP10'!Std4dot1bNotCalc)</f>
        <v/>
      </c>
      <c r="Y89" s="106" t="str">
        <f>IF('IWP10'!Std4dot1a = 0, "", 'IWP10'!Std4dot1a)</f>
        <v/>
      </c>
      <c r="Z89" s="106" t="str">
        <f>IF('IWP10'!Std4dot1b = 0, "", 'IWP10'!Std4dot1b)</f>
        <v/>
      </c>
      <c r="AA89" s="106" t="str">
        <f>IF('IWP10'!Std4dot1 = 0, "", 'IWP10'!Std4dot1)</f>
        <v/>
      </c>
      <c r="AB89" s="106" t="str">
        <f>IF('IWP10'!Std4dot2NotCalc = 0, "", 'IWP10'!Std4dot2NotCalc)</f>
        <v/>
      </c>
      <c r="AC89" s="106" t="str">
        <f>IF('IWP10'!Std4dot2 = 0, "", 'IWP10'!Std4dot2)</f>
        <v/>
      </c>
      <c r="AD89" s="106" t="str">
        <f>IF('IWP10'!Std4dot3NotCalc = 0, "", 'IWP10'!Std4dot3NotCalc)</f>
        <v/>
      </c>
      <c r="AE89" s="106" t="str">
        <f>IF('IWP10'!Std4dot3a = 0, "", 'IWP10'!Std4dot3a)</f>
        <v/>
      </c>
      <c r="AF89" s="106" t="str">
        <f>IF('IWP10'!Std4dot3b = 0, "", 'IWP10'!Std4dot3b)</f>
        <v/>
      </c>
      <c r="AG89" s="106" t="str">
        <f>IF('IWP10'!Std4dot3c = 0, "", 'IWP10'!Std4dot3c)</f>
        <v/>
      </c>
      <c r="AH89" s="106" t="str">
        <f>IF('IWP10'!Std4dot3d = 0, "", 'IWP10'!Std4dot3d)</f>
        <v/>
      </c>
      <c r="AI89" s="106" t="str">
        <f>IF('IWP10'!Std4dot3 = 0, "", 'IWP10'!Std4dot3)</f>
        <v/>
      </c>
      <c r="AJ89" s="106" t="str">
        <f>IF('IWP10'!Std4dot4a = 0, "", 'IWP10'!Std4dot4a)</f>
        <v/>
      </c>
      <c r="AK89" s="106" t="str">
        <f>IF('IWP10'!Std4dot4b = 0, "", 'IWP10'!Std4dot4b)</f>
        <v/>
      </c>
      <c r="AL89" s="106" t="str">
        <f>IF('IWP10'!Std4dot4 = 0, "", 'IWP10'!Std4dot4)</f>
        <v/>
      </c>
      <c r="AM89" s="106" t="str">
        <f>IF('IWP10'!Std5NotCalc = 0, "", 'IWP10'!Std5NotCalc)</f>
        <v/>
      </c>
      <c r="AN89" s="106" t="str">
        <f>IF('IWP10'!Std5dot1 = 0, "", 'IWP10'!Std5dot1)</f>
        <v>NA</v>
      </c>
      <c r="AO89" s="106" t="str">
        <f>IF('IWP10'!Std5dot2Mo1Ans = 0, "", 'IWP10'!Std5dot2Mo1Ans)</f>
        <v/>
      </c>
      <c r="AP89" s="107">
        <f>IF('IWP10'!Std5dot2Mo1Date=DATE(1900,1,0), DATE(1900,1,1),'IWP10'!Std5dot2Mo1Date)</f>
        <v>1</v>
      </c>
      <c r="AQ89" s="106" t="str">
        <f>IF('IWP10'!Std5dot2Mo2Ans = 0, "", 'IWP10'!Std5dot2Mo2Ans)</f>
        <v/>
      </c>
      <c r="AR89" s="107">
        <f>IF('IWP10'!Std5dot2Mo2Date=DATE(1900,1,0), DATE(1900,1,1),'IWP10'!Std5dot2Mo2Date)</f>
        <v>1</v>
      </c>
      <c r="AS89" s="106" t="str">
        <f>IF('IWP10'!Std5dot2 = 0, "", 'IWP10'!Std5dot2)</f>
        <v/>
      </c>
      <c r="AT89" s="106" t="str">
        <f>IF('IWP10'!Std5dot3Mo1Ans = 0, "", 'IWP10'!Std5dot3Mo1Ans)</f>
        <v/>
      </c>
      <c r="AU89" s="107">
        <f>IF('IWP10'!Std5dot3Mo1Date=DATE(1900,1,0), DATE(1900,1,1),'IWP10'!Std5dot3Mo1Date)</f>
        <v>1</v>
      </c>
      <c r="AV89" s="106" t="str">
        <f>IF('IWP10'!Std5dot3Mo2Ans = 0, "", 'IWP10'!Std5dot3Mo2Ans)</f>
        <v/>
      </c>
      <c r="AW89" s="107">
        <f>IF('IWP10'!Std5dot3Mo2Date=DATE(1900,1,0), DATE(1900,1,1),'IWP10'!Std5dot3Mo2Date)</f>
        <v>1</v>
      </c>
      <c r="AX89" s="106" t="str">
        <f>IF('IWP10'!Std5dot3 = 0, "", 'IWP10'!Std5dot3)</f>
        <v>NA</v>
      </c>
      <c r="AY89" s="106" t="str">
        <f>IF('IWP10'!Std5dot4Mo1Ans = 0, "", 'IWP10'!Std5dot4Mo1Ans)</f>
        <v/>
      </c>
      <c r="AZ89" s="107">
        <f>IF('IWP10'!Std5dot4Mo1Date=DATE(1900,1,0), DATE(1900,1,1),'IWP10'!Std5dot4Mo1Date)</f>
        <v>1</v>
      </c>
      <c r="BA89" s="106" t="str">
        <f>IF('IWP10'!Std5dot4Mo2Ans = 0, "", 'IWP10'!Std5dot4Mo2Ans)</f>
        <v/>
      </c>
      <c r="BB89" s="107">
        <f>IF('IWP10'!Std5dot4Mo2Date=DATE(1900,1,0), DATE(1900,1,1),'IWP10'!Std5dot4Mo2Date)</f>
        <v>1</v>
      </c>
      <c r="BC89" s="2" t="str">
        <f>IF('IWP10'!Std5dot4 = 0, "", 'IWP10'!Std5dot4)</f>
        <v>NA</v>
      </c>
      <c r="BD89" s="2" t="str">
        <f>IF('IWP10'!Std5dot5 = 0, "", 'IWP10'!Std5dot5)</f>
        <v/>
      </c>
      <c r="BE89" s="2" t="str">
        <f>IF('IWP10'!Std5dot6 = 0, "", 'IWP10'!Std5dot6)</f>
        <v/>
      </c>
      <c r="BF89" s="106" t="str">
        <f>IF('IWP10'!Std6dot1 = 0, "", 'IWP10'!Std6dot1)</f>
        <v/>
      </c>
      <c r="BG89" s="155">
        <f>IF('IWP10'!FiscalReviewFirstMonth = DATE(1900,1,0),DATE(1900,1,1), 'IWP10'!FiscalReviewFirstMonth)</f>
        <v>1</v>
      </c>
      <c r="BH89" s="155">
        <f>IF('IWP10'!FiscalReviewSecondMonth = DATE(1900,1,0),DATE(1900,1,1), 'IWP10'!FiscalReviewSecondMonth)</f>
        <v>1</v>
      </c>
      <c r="BI89" s="107">
        <f>IF('IWP10'!Std4DateOfForm3049=DATE(1900,1,0), DATE(1900,1,1),'IWP10'!Std4DateOfForm3049)</f>
        <v>1</v>
      </c>
      <c r="BJ89" s="230">
        <f>IF('IWP10'!Std4DateForm3049SubmittedDadsRegNurse=DATE(1900,1,0), DATE(1900,1,1),'IWP10'!Std4DateForm3049SubmittedDadsRegNurse)</f>
        <v>1</v>
      </c>
    </row>
    <row r="90" spans="1:62">
      <c r="A90" s="125" t="s">
        <v>484</v>
      </c>
      <c r="B90" s="107">
        <f>IF('Samples (Print)'!D15=DATE(1900,1,0), DATE(1900,1,1),'Samples (Print)'!D15)</f>
        <v>1</v>
      </c>
      <c r="C90" s="107">
        <f>IF('Samples (Print)'!E15=DATE(1900,1,0), DATE(1900,1,1),'Samples (Print)'!E15)</f>
        <v>1</v>
      </c>
      <c r="D90" s="128">
        <f>'IWP11'!SampleNumber</f>
        <v>11</v>
      </c>
      <c r="E90" s="128">
        <f>'IWP11'!ClientID</f>
        <v>0</v>
      </c>
      <c r="F90" s="129"/>
      <c r="G90" s="129"/>
      <c r="H90" s="106" t="str">
        <f ca="1">IF('IWP11'!ContractNumber = 0, "", 'IWP11'!ContractNumber)</f>
        <v/>
      </c>
      <c r="I90" s="106" t="str">
        <f>IF('IWP11'!ServiceCode = 0, "", 'IWP11'!ServiceCode)</f>
        <v/>
      </c>
      <c r="J90" s="106" t="str">
        <f>IF('IWP11'!CompletedByLastName = 0, "", 'IWP11'!CompletedByLastName)</f>
        <v/>
      </c>
      <c r="K90" s="106" t="str">
        <f>IF('IWP11'!CompletedByFirstName = 0, "", 'IWP11'!CompletedByFirstName)</f>
        <v/>
      </c>
      <c r="L90" s="107">
        <f>IF('IWP11'!DateCompleted=DATE(1900,1,0), DATE(1900,1,1),'IWP11'!DateCompleted)</f>
        <v>1</v>
      </c>
      <c r="M90" s="107">
        <f>IF('IWP11'!Std4ReferralDate=DATE(1900,1,0), DATE(1900,1,1),'IWP11'!Std4ReferralDate)</f>
        <v>1</v>
      </c>
      <c r="N90" s="107">
        <f>IF('IWP11'!Std4BeginDate=DATE(1900,1,0), DATE(1900,1,1),'IWP11'!Std4BeginDate)</f>
        <v>1</v>
      </c>
      <c r="O90" s="107">
        <f>IF('IWP11'!Std4DateOfReceipt=DATE(1900,1,0), DATE(1900,1,1),'IWP11'!Std4DateOfReceipt)</f>
        <v>1</v>
      </c>
      <c r="P90" s="107">
        <f>IF('IWP11'!Std4FirstDayOfSvc=DATE(1900,1,0), DATE(1900,1,1),'IWP11'!Std4FirstDayOfSvc)</f>
        <v>1</v>
      </c>
      <c r="Q90" s="107">
        <f>IF('IWP11'!Std4DateOfVerbalPhysOrders=DATE(1900,1,0), DATE(1900,1,1),'IWP11'!Std4DateOfVerbalPhysOrders)</f>
        <v>1</v>
      </c>
      <c r="R90" s="107">
        <f>IF('IWP11'!Std4DateOfWrittenPhysPhysOrders=DATE(1900,1,0), DATE(1900,1,1),'IWP11'!Std4DateOfWrittenPhysPhysOrders)</f>
        <v>1</v>
      </c>
      <c r="S90" s="107">
        <f>IF('IWP11'!Std4DateOfForm3050=DATE(1900,1,0), DATE(1900,1,1),'IWP11'!Std4DateOfForm3050)</f>
        <v>1</v>
      </c>
      <c r="T90" s="107">
        <f>IF('IWP11'!Std4DateForm3050SubmittedDadsRegNurse=DATE(1900,1,0), DATE(1900,1,1),'IWP11'!Std4DateForm3050SubmittedDadsRegNurse)</f>
        <v>1</v>
      </c>
      <c r="U90" s="107">
        <f>IF('IWP11'!Std4DateForm3055SubmittedDadsRegNurse=DATE(1900,1,0), DATE(1900,1,1),'IWP11'!Std4DateForm3055SubmittedDadsRegNurse)</f>
        <v>1</v>
      </c>
      <c r="V90" s="107">
        <f>IF('IWP11'!Std4DateOfXferFromAnotherDahs=DATE(1900,1,0), DATE(1900,1,1),'IWP11'!Std4DateOfXferFromAnotherDahs)</f>
        <v>1</v>
      </c>
      <c r="W90" s="106" t="str">
        <f>IF('IWP11'!Std4dot1aNotCalc = 0, "", 'IWP11'!Std4dot1aNotCalc)</f>
        <v/>
      </c>
      <c r="X90" s="106" t="str">
        <f>IF('IWP11'!Std4dot1bNotCalc = 0, "", 'IWP11'!Std4dot1bNotCalc)</f>
        <v/>
      </c>
      <c r="Y90" s="106" t="str">
        <f>IF('IWP11'!Std4dot1a = 0, "", 'IWP11'!Std4dot1a)</f>
        <v/>
      </c>
      <c r="Z90" s="106" t="str">
        <f>IF('IWP11'!Std4dot1b = 0, "", 'IWP11'!Std4dot1b)</f>
        <v/>
      </c>
      <c r="AA90" s="106" t="str">
        <f>IF('IWP11'!Std4dot1 = 0, "", 'IWP11'!Std4dot1)</f>
        <v/>
      </c>
      <c r="AB90" s="106" t="str">
        <f>IF('IWP11'!Std4dot2NotCalc = 0, "", 'IWP11'!Std4dot2NotCalc)</f>
        <v/>
      </c>
      <c r="AC90" s="106" t="str">
        <f>IF('IWP11'!Std4dot2 = 0, "", 'IWP11'!Std4dot2)</f>
        <v/>
      </c>
      <c r="AD90" s="106" t="str">
        <f>IF('IWP11'!Std4dot3NotCalc = 0, "", 'IWP11'!Std4dot3NotCalc)</f>
        <v/>
      </c>
      <c r="AE90" s="106" t="str">
        <f>IF('IWP11'!Std4dot3a = 0, "", 'IWP11'!Std4dot3a)</f>
        <v/>
      </c>
      <c r="AF90" s="106" t="str">
        <f>IF('IWP11'!Std4dot3b = 0, "", 'IWP11'!Std4dot3b)</f>
        <v/>
      </c>
      <c r="AG90" s="106" t="str">
        <f>IF('IWP11'!Std4dot3c = 0, "", 'IWP11'!Std4dot3c)</f>
        <v/>
      </c>
      <c r="AH90" s="106" t="str">
        <f>IF('IWP11'!Std4dot3d = 0, "", 'IWP11'!Std4dot3d)</f>
        <v/>
      </c>
      <c r="AI90" s="106" t="str">
        <f>IF('IWP11'!Std4dot3 = 0, "", 'IWP11'!Std4dot3)</f>
        <v/>
      </c>
      <c r="AJ90" s="106" t="str">
        <f>IF('IWP11'!Std4dot4a = 0, "", 'IWP11'!Std4dot4a)</f>
        <v/>
      </c>
      <c r="AK90" s="106" t="str">
        <f>IF('IWP11'!Std4dot4b = 0, "", 'IWP11'!Std4dot4b)</f>
        <v/>
      </c>
      <c r="AL90" s="106" t="str">
        <f>IF('IWP11'!Std4dot4 = 0, "", 'IWP11'!Std4dot4)</f>
        <v/>
      </c>
      <c r="AM90" s="106" t="str">
        <f>IF('IWP11'!Std5NotCalc = 0, "", 'IWP11'!Std5NotCalc)</f>
        <v/>
      </c>
      <c r="AN90" s="106" t="str">
        <f>IF('IWP11'!Std5dot1 = 0, "", 'IWP11'!Std5dot1)</f>
        <v>NA</v>
      </c>
      <c r="AO90" s="106" t="str">
        <f>IF('IWP11'!Std5dot2Mo1Ans = 0, "", 'IWP11'!Std5dot2Mo1Ans)</f>
        <v/>
      </c>
      <c r="AP90" s="107">
        <f>IF('IWP11'!Std5dot2Mo1Date=DATE(1900,1,0), DATE(1900,1,1),'IWP11'!Std5dot2Mo1Date)</f>
        <v>1</v>
      </c>
      <c r="AQ90" s="106" t="str">
        <f>IF('IWP11'!Std5dot2Mo2Ans = 0, "", 'IWP11'!Std5dot2Mo2Ans)</f>
        <v/>
      </c>
      <c r="AR90" s="107">
        <f>IF('IWP11'!Std5dot2Mo2Date=DATE(1900,1,0), DATE(1900,1,1),'IWP11'!Std5dot2Mo2Date)</f>
        <v>1</v>
      </c>
      <c r="AS90" s="106" t="str">
        <f>IF('IWP11'!Std5dot2 = 0, "", 'IWP11'!Std5dot2)</f>
        <v/>
      </c>
      <c r="AT90" s="106" t="str">
        <f>IF('IWP11'!Std5dot3Mo1Ans = 0, "", 'IWP11'!Std5dot3Mo1Ans)</f>
        <v/>
      </c>
      <c r="AU90" s="107">
        <f>IF('IWP11'!Std5dot3Mo1Date=DATE(1900,1,0), DATE(1900,1,1),'IWP11'!Std5dot3Mo1Date)</f>
        <v>1</v>
      </c>
      <c r="AV90" s="106" t="str">
        <f>IF('IWP11'!Std5dot3Mo2Ans = 0, "", 'IWP11'!Std5dot3Mo2Ans)</f>
        <v/>
      </c>
      <c r="AW90" s="107">
        <f>IF('IWP11'!Std5dot3Mo2Date=DATE(1900,1,0), DATE(1900,1,1),'IWP11'!Std5dot3Mo2Date)</f>
        <v>1</v>
      </c>
      <c r="AX90" s="106" t="str">
        <f>IF('IWP11'!Std5dot3 = 0, "", 'IWP11'!Std5dot3)</f>
        <v>NA</v>
      </c>
      <c r="AY90" s="106" t="str">
        <f>IF('IWP11'!Std5dot4Mo1Ans = 0, "", 'IWP11'!Std5dot4Mo1Ans)</f>
        <v/>
      </c>
      <c r="AZ90" s="107">
        <f>IF('IWP11'!Std5dot4Mo1Date=DATE(1900,1,0), DATE(1900,1,1),'IWP11'!Std5dot4Mo1Date)</f>
        <v>1</v>
      </c>
      <c r="BA90" s="106" t="str">
        <f>IF('IWP11'!Std5dot4Mo2Ans = 0, "", 'IWP11'!Std5dot4Mo2Ans)</f>
        <v/>
      </c>
      <c r="BB90" s="107">
        <f>IF('IWP11'!Std5dot4Mo2Date=DATE(1900,1,0), DATE(1900,1,1),'IWP11'!Std5dot4Mo2Date)</f>
        <v>1</v>
      </c>
      <c r="BC90" s="2" t="str">
        <f>IF('IWP11'!Std5dot4 = 0, "", 'IWP11'!Std5dot4)</f>
        <v>NA</v>
      </c>
      <c r="BD90" s="2" t="str">
        <f>IF('IWP11'!Std5dot5 = 0, "", 'IWP11'!Std5dot5)</f>
        <v/>
      </c>
      <c r="BE90" s="2" t="str">
        <f>IF('IWP11'!Std5dot6 = 0, "", 'IWP11'!Std5dot6)</f>
        <v/>
      </c>
      <c r="BF90" s="106" t="str">
        <f>IF('IWP11'!Std6dot1 = 0, "", 'IWP11'!Std6dot1)</f>
        <v/>
      </c>
      <c r="BG90" s="155">
        <f>IF('IWP11'!FiscalReviewFirstMonth = DATE(1900,1,0),DATE(1900,1,1), 'IWP11'!FiscalReviewFirstMonth)</f>
        <v>1</v>
      </c>
      <c r="BH90" s="155">
        <f>IF('IWP11'!FiscalReviewSecondMonth = DATE(1900,1,0),DATE(1900,1,1), 'IWP11'!FiscalReviewSecondMonth)</f>
        <v>1</v>
      </c>
      <c r="BI90" s="107">
        <f>IF('IWP11'!Std4DateOfForm3049=DATE(1900,1,0), DATE(1900,1,1),'IWP11'!Std4DateOfForm3049)</f>
        <v>1</v>
      </c>
      <c r="BJ90" s="230">
        <f>IF('IWP11'!Std4DateForm3049SubmittedDadsRegNurse=DATE(1900,1,0), DATE(1900,1,1),'IWP11'!Std4DateForm3049SubmittedDadsRegNurse)</f>
        <v>1</v>
      </c>
    </row>
    <row r="91" spans="1:62">
      <c r="A91" s="125" t="s">
        <v>485</v>
      </c>
      <c r="B91" s="107">
        <f>IF('Samples (Print)'!D16=DATE(1900,1,0), DATE(1900,1,1),'Samples (Print)'!D16)</f>
        <v>1</v>
      </c>
      <c r="C91" s="107">
        <f>IF('Samples (Print)'!E16=DATE(1900,1,0), DATE(1900,1,1),'Samples (Print)'!E16)</f>
        <v>1</v>
      </c>
      <c r="D91" s="128">
        <f>'IWP12'!SampleNumber</f>
        <v>12</v>
      </c>
      <c r="E91" s="128">
        <f>'IWP12'!ClientID</f>
        <v>0</v>
      </c>
      <c r="F91" s="129"/>
      <c r="G91" s="129"/>
      <c r="H91" s="106" t="str">
        <f ca="1">IF('IWP12'!ContractNumber = 0, "", 'IWP12'!ContractNumber)</f>
        <v/>
      </c>
      <c r="I91" s="106" t="str">
        <f>IF('IWP12'!ServiceCode = 0, "", 'IWP12'!ServiceCode)</f>
        <v/>
      </c>
      <c r="J91" s="106" t="str">
        <f>IF('IWP12'!CompletedByLastName = 0, "", 'IWP12'!CompletedByLastName)</f>
        <v/>
      </c>
      <c r="K91" s="106" t="str">
        <f>IF('IWP12'!CompletedByFirstName = 0, "", 'IWP12'!CompletedByFirstName)</f>
        <v/>
      </c>
      <c r="L91" s="107">
        <f>IF('IWP12'!DateCompleted=DATE(1900,1,0), DATE(1900,1,1),'IWP12'!DateCompleted)</f>
        <v>1</v>
      </c>
      <c r="M91" s="107">
        <f>IF('IWP12'!Std4ReferralDate=DATE(1900,1,0), DATE(1900,1,1),'IWP12'!Std4ReferralDate)</f>
        <v>1</v>
      </c>
      <c r="N91" s="107">
        <f>IF('IWP12'!Std4BeginDate=DATE(1900,1,0), DATE(1900,1,1),'IWP12'!Std4BeginDate)</f>
        <v>1</v>
      </c>
      <c r="O91" s="107">
        <f>IF('IWP12'!Std4DateOfReceipt=DATE(1900,1,0), DATE(1900,1,1),'IWP12'!Std4DateOfReceipt)</f>
        <v>1</v>
      </c>
      <c r="P91" s="107">
        <f>IF('IWP12'!Std4FirstDayOfSvc=DATE(1900,1,0), DATE(1900,1,1),'IWP12'!Std4FirstDayOfSvc)</f>
        <v>1</v>
      </c>
      <c r="Q91" s="107">
        <f>IF('IWP12'!Std4DateOfVerbalPhysOrders=DATE(1900,1,0), DATE(1900,1,1),'IWP12'!Std4DateOfVerbalPhysOrders)</f>
        <v>1</v>
      </c>
      <c r="R91" s="107">
        <f>IF('IWP12'!Std4DateOfWrittenPhysPhysOrders=DATE(1900,1,0), DATE(1900,1,1),'IWP12'!Std4DateOfWrittenPhysPhysOrders)</f>
        <v>1</v>
      </c>
      <c r="S91" s="107">
        <f>IF('IWP12'!Std4DateOfForm3050=DATE(1900,1,0), DATE(1900,1,1),'IWP12'!Std4DateOfForm3050)</f>
        <v>1</v>
      </c>
      <c r="T91" s="107">
        <f>IF('IWP12'!Std4DateForm3050SubmittedDadsRegNurse=DATE(1900,1,0), DATE(1900,1,1),'IWP12'!Std4DateForm3050SubmittedDadsRegNurse)</f>
        <v>1</v>
      </c>
      <c r="U91" s="107">
        <f>IF('IWP12'!Std4DateForm3055SubmittedDadsRegNurse=DATE(1900,1,0), DATE(1900,1,1),'IWP12'!Std4DateForm3055SubmittedDadsRegNurse)</f>
        <v>1</v>
      </c>
      <c r="V91" s="107">
        <f>IF('IWP12'!Std4DateOfXferFromAnotherDahs=DATE(1900,1,0), DATE(1900,1,1),'IWP12'!Std4DateOfXferFromAnotherDahs)</f>
        <v>1</v>
      </c>
      <c r="W91" s="106" t="str">
        <f>IF('IWP12'!Std4dot1aNotCalc = 0, "", 'IWP12'!Std4dot1aNotCalc)</f>
        <v/>
      </c>
      <c r="X91" s="106" t="str">
        <f>IF('IWP12'!Std4dot1bNotCalc = 0, "", 'IWP12'!Std4dot1bNotCalc)</f>
        <v/>
      </c>
      <c r="Y91" s="106" t="str">
        <f>IF('IWP12'!Std4dot1a = 0, "", 'IWP12'!Std4dot1a)</f>
        <v/>
      </c>
      <c r="Z91" s="106" t="str">
        <f>IF('IWP12'!Std4dot1b = 0, "", 'IWP12'!Std4dot1b)</f>
        <v/>
      </c>
      <c r="AA91" s="106" t="str">
        <f>IF('IWP12'!Std4dot1 = 0, "", 'IWP12'!Std4dot1)</f>
        <v/>
      </c>
      <c r="AB91" s="106" t="str">
        <f>IF('IWP12'!Std4dot2NotCalc = 0, "", 'IWP12'!Std4dot2NotCalc)</f>
        <v/>
      </c>
      <c r="AC91" s="106" t="str">
        <f>IF('IWP12'!Std4dot2 = 0, "", 'IWP12'!Std4dot2)</f>
        <v/>
      </c>
      <c r="AD91" s="106" t="str">
        <f>IF('IWP12'!Std4dot3NotCalc = 0, "", 'IWP12'!Std4dot3NotCalc)</f>
        <v/>
      </c>
      <c r="AE91" s="106" t="str">
        <f>IF('IWP12'!Std4dot3a = 0, "", 'IWP12'!Std4dot3a)</f>
        <v/>
      </c>
      <c r="AF91" s="106" t="str">
        <f>IF('IWP12'!Std4dot3b = 0, "", 'IWP12'!Std4dot3b)</f>
        <v/>
      </c>
      <c r="AG91" s="106" t="str">
        <f>IF('IWP12'!Std4dot3c = 0, "", 'IWP12'!Std4dot3c)</f>
        <v/>
      </c>
      <c r="AH91" s="106" t="str">
        <f>IF('IWP12'!Std4dot3d = 0, "", 'IWP12'!Std4dot3d)</f>
        <v/>
      </c>
      <c r="AI91" s="106" t="str">
        <f>IF('IWP12'!Std4dot3 = 0, "", 'IWP12'!Std4dot3)</f>
        <v/>
      </c>
      <c r="AJ91" s="106" t="str">
        <f>IF('IWP12'!Std4dot4a = 0, "", 'IWP12'!Std4dot4a)</f>
        <v/>
      </c>
      <c r="AK91" s="106" t="str">
        <f>IF('IWP12'!Std4dot4b = 0, "", 'IWP12'!Std4dot4b)</f>
        <v/>
      </c>
      <c r="AL91" s="106" t="str">
        <f>IF('IWP12'!Std4dot4 = 0, "", 'IWP12'!Std4dot4)</f>
        <v/>
      </c>
      <c r="AM91" s="106" t="str">
        <f>IF('IWP12'!Std5NotCalc = 0, "", 'IWP12'!Std5NotCalc)</f>
        <v/>
      </c>
      <c r="AN91" s="106" t="str">
        <f>IF('IWP12'!Std5dot1 = 0, "", 'IWP12'!Std5dot1)</f>
        <v>NA</v>
      </c>
      <c r="AO91" s="106" t="str">
        <f>IF('IWP12'!Std5dot2Mo1Ans = 0, "", 'IWP12'!Std5dot2Mo1Ans)</f>
        <v/>
      </c>
      <c r="AP91" s="107">
        <f>IF('IWP12'!Std5dot2Mo1Date=DATE(1900,1,0), DATE(1900,1,1),'IWP12'!Std5dot2Mo1Date)</f>
        <v>1</v>
      </c>
      <c r="AQ91" s="106" t="str">
        <f>IF('IWP12'!Std5dot2Mo2Ans = 0, "", 'IWP12'!Std5dot2Mo2Ans)</f>
        <v/>
      </c>
      <c r="AR91" s="107">
        <f>IF('IWP12'!Std5dot2Mo2Date=DATE(1900,1,0), DATE(1900,1,1),'IWP12'!Std5dot2Mo2Date)</f>
        <v>1</v>
      </c>
      <c r="AS91" s="106" t="str">
        <f>IF('IWP12'!Std5dot2 = 0, "", 'IWP12'!Std5dot2)</f>
        <v/>
      </c>
      <c r="AT91" s="106" t="str">
        <f>IF('IWP12'!Std5dot3Mo1Ans = 0, "", 'IWP12'!Std5dot3Mo1Ans)</f>
        <v/>
      </c>
      <c r="AU91" s="107">
        <f>IF('IWP12'!Std5dot3Mo1Date=DATE(1900,1,0), DATE(1900,1,1),'IWP12'!Std5dot3Mo1Date)</f>
        <v>1</v>
      </c>
      <c r="AV91" s="106" t="str">
        <f>IF('IWP12'!Std5dot3Mo2Ans = 0, "", 'IWP12'!Std5dot3Mo2Ans)</f>
        <v/>
      </c>
      <c r="AW91" s="107">
        <f>IF('IWP12'!Std5dot3Mo2Date=DATE(1900,1,0), DATE(1900,1,1),'IWP12'!Std5dot3Mo2Date)</f>
        <v>1</v>
      </c>
      <c r="AX91" s="106" t="str">
        <f>IF('IWP12'!Std5dot3 = 0, "", 'IWP12'!Std5dot3)</f>
        <v>NA</v>
      </c>
      <c r="AY91" s="106" t="str">
        <f>IF('IWP12'!Std5dot4Mo1Ans = 0, "", 'IWP12'!Std5dot4Mo1Ans)</f>
        <v/>
      </c>
      <c r="AZ91" s="107">
        <f>IF('IWP12'!Std5dot4Mo1Date=DATE(1900,1,0), DATE(1900,1,1),'IWP12'!Std5dot4Mo1Date)</f>
        <v>1</v>
      </c>
      <c r="BA91" s="106" t="str">
        <f>IF('IWP12'!Std5dot4Mo2Ans = 0, "", 'IWP12'!Std5dot4Mo2Ans)</f>
        <v/>
      </c>
      <c r="BB91" s="107">
        <f>IF('IWP12'!Std5dot4Mo2Date=DATE(1900,1,0), DATE(1900,1,1),'IWP12'!Std5dot4Mo2Date)</f>
        <v>1</v>
      </c>
      <c r="BC91" s="2" t="str">
        <f>IF('IWP12'!Std5dot4 = 0, "", 'IWP12'!Std5dot4)</f>
        <v>NA</v>
      </c>
      <c r="BD91" s="2" t="str">
        <f>IF('IWP12'!Std5dot5 = 0, "", 'IWP12'!Std5dot5)</f>
        <v/>
      </c>
      <c r="BE91" s="2" t="str">
        <f>IF('IWP12'!Std5dot6 = 0, "", 'IWP12'!Std5dot6)</f>
        <v/>
      </c>
      <c r="BF91" s="106" t="str">
        <f>IF('IWP12'!Std6dot1 = 0, "", 'IWP12'!Std6dot1)</f>
        <v/>
      </c>
      <c r="BG91" s="155">
        <f>IF('IWP12'!FiscalReviewFirstMonth = DATE(1900,1,0),DATE(1900,1,1), 'IWP12'!FiscalReviewFirstMonth)</f>
        <v>1</v>
      </c>
      <c r="BH91" s="155">
        <f>IF('IWP12'!FiscalReviewSecondMonth = DATE(1900,1,0),DATE(1900,1,1), 'IWP12'!FiscalReviewSecondMonth)</f>
        <v>1</v>
      </c>
      <c r="BI91" s="107">
        <f>IF('IWP12'!Std4DateOfForm3049=DATE(1900,1,0), DATE(1900,1,1),'IWP12'!Std4DateOfForm3049)</f>
        <v>1</v>
      </c>
      <c r="BJ91" s="230">
        <f>IF('IWP12'!Std4DateForm3049SubmittedDadsRegNurse=DATE(1900,1,0), DATE(1900,1,1),'IWP12'!Std4DateForm3049SubmittedDadsRegNurse)</f>
        <v>1</v>
      </c>
    </row>
    <row r="92" spans="1:62">
      <c r="A92" s="125" t="s">
        <v>486</v>
      </c>
      <c r="B92" s="107">
        <f>IF('Samples (Print)'!D17=DATE(1900,1,0), DATE(1900,1,1),'Samples (Print)'!D17)</f>
        <v>1</v>
      </c>
      <c r="C92" s="107">
        <f>IF('Samples (Print)'!E17=DATE(1900,1,0), DATE(1900,1,1),'Samples (Print)'!E17)</f>
        <v>1</v>
      </c>
      <c r="D92" s="128">
        <f>'IWP13'!SampleNumber</f>
        <v>13</v>
      </c>
      <c r="E92" s="128">
        <f>'IWP13'!ClientID</f>
        <v>0</v>
      </c>
      <c r="F92" s="129"/>
      <c r="G92" s="129"/>
      <c r="H92" s="106" t="str">
        <f ca="1">IF('IWP13'!ContractNumber = 0, "", 'IWP13'!ContractNumber)</f>
        <v/>
      </c>
      <c r="I92" s="106" t="str">
        <f>IF('IWP13'!ServiceCode = 0, "", 'IWP13'!ServiceCode)</f>
        <v/>
      </c>
      <c r="J92" s="106" t="str">
        <f>IF('IWP13'!CompletedByLastName = 0, "", 'IWP13'!CompletedByLastName)</f>
        <v/>
      </c>
      <c r="K92" s="106" t="str">
        <f>IF('IWP13'!CompletedByFirstName = 0, "", 'IWP13'!CompletedByFirstName)</f>
        <v/>
      </c>
      <c r="L92" s="107">
        <f>IF('IWP13'!DateCompleted=DATE(1900,1,0), DATE(1900,1,1),'IWP13'!DateCompleted)</f>
        <v>1</v>
      </c>
      <c r="M92" s="107">
        <f>IF('IWP13'!Std4ReferralDate=DATE(1900,1,0), DATE(1900,1,1),'IWP13'!Std4ReferralDate)</f>
        <v>1</v>
      </c>
      <c r="N92" s="107">
        <f>IF('IWP13'!Std4BeginDate=DATE(1900,1,0), DATE(1900,1,1),'IWP13'!Std4BeginDate)</f>
        <v>1</v>
      </c>
      <c r="O92" s="107">
        <f>IF('IWP13'!Std4DateOfReceipt=DATE(1900,1,0), DATE(1900,1,1),'IWP13'!Std4DateOfReceipt)</f>
        <v>1</v>
      </c>
      <c r="P92" s="107">
        <f>IF('IWP13'!Std4FirstDayOfSvc=DATE(1900,1,0), DATE(1900,1,1),'IWP13'!Std4FirstDayOfSvc)</f>
        <v>1</v>
      </c>
      <c r="Q92" s="107">
        <f>IF('IWP13'!Std4DateOfVerbalPhysOrders=DATE(1900,1,0), DATE(1900,1,1),'IWP13'!Std4DateOfVerbalPhysOrders)</f>
        <v>1</v>
      </c>
      <c r="R92" s="107">
        <f>IF('IWP13'!Std4DateOfWrittenPhysPhysOrders=DATE(1900,1,0), DATE(1900,1,1),'IWP13'!Std4DateOfWrittenPhysPhysOrders)</f>
        <v>1</v>
      </c>
      <c r="S92" s="107">
        <f>IF('IWP13'!Std4DateOfForm3050=DATE(1900,1,0), DATE(1900,1,1),'IWP13'!Std4DateOfForm3050)</f>
        <v>1</v>
      </c>
      <c r="T92" s="107">
        <f>IF('IWP13'!Std4DateForm3050SubmittedDadsRegNurse=DATE(1900,1,0), DATE(1900,1,1),'IWP13'!Std4DateForm3050SubmittedDadsRegNurse)</f>
        <v>1</v>
      </c>
      <c r="U92" s="107">
        <f>IF('IWP13'!Std4DateForm3055SubmittedDadsRegNurse=DATE(1900,1,0), DATE(1900,1,1),'IWP13'!Std4DateForm3055SubmittedDadsRegNurse)</f>
        <v>1</v>
      </c>
      <c r="V92" s="107">
        <f>IF('IWP13'!Std4DateOfXferFromAnotherDahs=DATE(1900,1,0), DATE(1900,1,1),'IWP13'!Std4DateOfXferFromAnotherDahs)</f>
        <v>1</v>
      </c>
      <c r="W92" s="106" t="str">
        <f>IF('IWP13'!Std4dot1aNotCalc = 0, "", 'IWP13'!Std4dot1aNotCalc)</f>
        <v/>
      </c>
      <c r="X92" s="106" t="str">
        <f>IF('IWP13'!Std4dot1bNotCalc = 0, "", 'IWP13'!Std4dot1bNotCalc)</f>
        <v/>
      </c>
      <c r="Y92" s="106" t="str">
        <f>IF('IWP13'!Std4dot1a = 0, "", 'IWP13'!Std4dot1a)</f>
        <v/>
      </c>
      <c r="Z92" s="106" t="str">
        <f>IF('IWP13'!Std4dot1b = 0, "", 'IWP13'!Std4dot1b)</f>
        <v/>
      </c>
      <c r="AA92" s="106" t="str">
        <f>IF('IWP13'!Std4dot1 = 0, "", 'IWP13'!Std4dot1)</f>
        <v/>
      </c>
      <c r="AB92" s="106" t="str">
        <f>IF('IWP13'!Std4dot2NotCalc = 0, "", 'IWP13'!Std4dot2NotCalc)</f>
        <v/>
      </c>
      <c r="AC92" s="106" t="str">
        <f>IF('IWP13'!Std4dot2 = 0, "", 'IWP13'!Std4dot2)</f>
        <v/>
      </c>
      <c r="AD92" s="106" t="str">
        <f>IF('IWP13'!Std4dot3NotCalc = 0, "", 'IWP13'!Std4dot3NotCalc)</f>
        <v/>
      </c>
      <c r="AE92" s="106" t="str">
        <f>IF('IWP13'!Std4dot3a = 0, "", 'IWP13'!Std4dot3a)</f>
        <v/>
      </c>
      <c r="AF92" s="106" t="str">
        <f>IF('IWP13'!Std4dot3b = 0, "", 'IWP13'!Std4dot3b)</f>
        <v/>
      </c>
      <c r="AG92" s="106" t="str">
        <f>IF('IWP13'!Std4dot3c = 0, "", 'IWP13'!Std4dot3c)</f>
        <v/>
      </c>
      <c r="AH92" s="106" t="str">
        <f>IF('IWP13'!Std4dot3d = 0, "", 'IWP13'!Std4dot3d)</f>
        <v/>
      </c>
      <c r="AI92" s="106" t="str">
        <f>IF('IWP13'!Std4dot3 = 0, "", 'IWP13'!Std4dot3)</f>
        <v/>
      </c>
      <c r="AJ92" s="106" t="str">
        <f>IF('IWP13'!Std4dot4a = 0, "", 'IWP13'!Std4dot4a)</f>
        <v/>
      </c>
      <c r="AK92" s="106" t="str">
        <f>IF('IWP13'!Std4dot4b = 0, "", 'IWP13'!Std4dot4b)</f>
        <v/>
      </c>
      <c r="AL92" s="106" t="str">
        <f>IF('IWP13'!Std4dot4 = 0, "", 'IWP13'!Std4dot4)</f>
        <v/>
      </c>
      <c r="AM92" s="106" t="str">
        <f>IF('IWP13'!Std5NotCalc = 0, "", 'IWP13'!Std5NotCalc)</f>
        <v/>
      </c>
      <c r="AN92" s="106" t="str">
        <f>IF('IWP13'!Std5dot1 = 0, "", 'IWP13'!Std5dot1)</f>
        <v>NA</v>
      </c>
      <c r="AO92" s="106" t="str">
        <f>IF('IWP13'!Std5dot2Mo1Ans = 0, "", 'IWP13'!Std5dot2Mo1Ans)</f>
        <v/>
      </c>
      <c r="AP92" s="107">
        <f>IF('IWP13'!Std5dot2Mo1Date=DATE(1900,1,0), DATE(1900,1,1),'IWP13'!Std5dot2Mo1Date)</f>
        <v>1</v>
      </c>
      <c r="AQ92" s="106" t="str">
        <f>IF('IWP13'!Std5dot2Mo2Ans = 0, "", 'IWP13'!Std5dot2Mo2Ans)</f>
        <v/>
      </c>
      <c r="AR92" s="107">
        <f>IF('IWP13'!Std5dot2Mo2Date=DATE(1900,1,0), DATE(1900,1,1),'IWP13'!Std5dot2Mo2Date)</f>
        <v>1</v>
      </c>
      <c r="AS92" s="106" t="str">
        <f>IF('IWP13'!Std5dot2 = 0, "", 'IWP13'!Std5dot2)</f>
        <v/>
      </c>
      <c r="AT92" s="106" t="str">
        <f>IF('IWP13'!Std5dot3Mo1Ans = 0, "", 'IWP13'!Std5dot3Mo1Ans)</f>
        <v/>
      </c>
      <c r="AU92" s="107">
        <f>IF('IWP13'!Std5dot3Mo1Date=DATE(1900,1,0), DATE(1900,1,1),'IWP13'!Std5dot3Mo1Date)</f>
        <v>1</v>
      </c>
      <c r="AV92" s="106" t="str">
        <f>IF('IWP13'!Std5dot3Mo2Ans = 0, "", 'IWP13'!Std5dot3Mo2Ans)</f>
        <v/>
      </c>
      <c r="AW92" s="107">
        <f>IF('IWP13'!Std5dot3Mo2Date=DATE(1900,1,0), DATE(1900,1,1),'IWP13'!Std5dot3Mo2Date)</f>
        <v>1</v>
      </c>
      <c r="AX92" s="106" t="str">
        <f>IF('IWP13'!Std5dot3 = 0, "", 'IWP13'!Std5dot3)</f>
        <v>NA</v>
      </c>
      <c r="AY92" s="106" t="str">
        <f>IF('IWP13'!Std5dot4Mo1Ans = 0, "", 'IWP13'!Std5dot4Mo1Ans)</f>
        <v/>
      </c>
      <c r="AZ92" s="107">
        <f>IF('IWP13'!Std5dot4Mo1Date=DATE(1900,1,0), DATE(1900,1,1),'IWP13'!Std5dot4Mo1Date)</f>
        <v>1</v>
      </c>
      <c r="BA92" s="106" t="str">
        <f>IF('IWP13'!Std5dot4Mo2Ans = 0, "", 'IWP13'!Std5dot4Mo2Ans)</f>
        <v/>
      </c>
      <c r="BB92" s="107">
        <f>IF('IWP13'!Std5dot4Mo2Date=DATE(1900,1,0), DATE(1900,1,1),'IWP13'!Std5dot4Mo2Date)</f>
        <v>1</v>
      </c>
      <c r="BC92" s="2" t="str">
        <f>IF('IWP13'!Std5dot4 = 0, "", 'IWP13'!Std5dot4)</f>
        <v>NA</v>
      </c>
      <c r="BD92" s="2" t="str">
        <f>IF('IWP13'!Std5dot5 = 0, "", 'IWP13'!Std5dot5)</f>
        <v/>
      </c>
      <c r="BE92" s="2" t="str">
        <f>IF('IWP13'!Std5dot6 = 0, "", 'IWP13'!Std5dot6)</f>
        <v/>
      </c>
      <c r="BF92" s="106" t="str">
        <f>IF('IWP13'!Std6dot1 = 0, "", 'IWP13'!Std6dot1)</f>
        <v/>
      </c>
      <c r="BG92" s="155">
        <f>IF('IWP13'!FiscalReviewFirstMonth = DATE(1900,1,0),DATE(1900,1,1), 'IWP13'!FiscalReviewFirstMonth)</f>
        <v>1</v>
      </c>
      <c r="BH92" s="155">
        <f>IF('IWP13'!FiscalReviewSecondMonth = DATE(1900,1,0),DATE(1900,1,1), 'IWP13'!FiscalReviewSecondMonth)</f>
        <v>1</v>
      </c>
      <c r="BI92" s="107">
        <f>IF('IWP13'!Std4DateOfForm3049=DATE(1900,1,0), DATE(1900,1,1),'IWP13'!Std4DateOfForm3049)</f>
        <v>1</v>
      </c>
      <c r="BJ92" s="230">
        <f>IF('IWP13'!Std4DateForm3049SubmittedDadsRegNurse=DATE(1900,1,0), DATE(1900,1,1),'IWP13'!Std4DateForm3049SubmittedDadsRegNurse)</f>
        <v>1</v>
      </c>
    </row>
    <row r="93" spans="1:62">
      <c r="A93" s="125" t="s">
        <v>487</v>
      </c>
      <c r="B93" s="107">
        <f>IF('Samples (Print)'!D18=DATE(1900,1,0), DATE(1900,1,1),'Samples (Print)'!D18)</f>
        <v>1</v>
      </c>
      <c r="C93" s="107">
        <f>IF('Samples (Print)'!E18=DATE(1900,1,0), DATE(1900,1,1),'Samples (Print)'!E18)</f>
        <v>1</v>
      </c>
      <c r="D93" s="128">
        <f>'IWP14'!SampleNumber</f>
        <v>14</v>
      </c>
      <c r="E93" s="128">
        <f>'IWP14'!ClientID</f>
        <v>0</v>
      </c>
      <c r="F93" s="129"/>
      <c r="G93" s="129"/>
      <c r="H93" s="106" t="str">
        <f ca="1">IF('IWP14'!ContractNumber = 0, "", 'IWP14'!ContractNumber)</f>
        <v/>
      </c>
      <c r="I93" s="106" t="str">
        <f>IF('IWP14'!ServiceCode = 0, "", 'IWP14'!ServiceCode)</f>
        <v/>
      </c>
      <c r="J93" s="106" t="str">
        <f>IF('IWP14'!CompletedByLastName = 0, "", 'IWP14'!CompletedByLastName)</f>
        <v/>
      </c>
      <c r="K93" s="106" t="str">
        <f>IF('IWP14'!CompletedByFirstName = 0, "", 'IWP14'!CompletedByFirstName)</f>
        <v/>
      </c>
      <c r="L93" s="107">
        <f>IF('IWP14'!DateCompleted=DATE(1900,1,0), DATE(1900,1,1),'IWP14'!DateCompleted)</f>
        <v>1</v>
      </c>
      <c r="M93" s="107">
        <f>IF('IWP14'!Std4ReferralDate=DATE(1900,1,0), DATE(1900,1,1),'IWP14'!Std4ReferralDate)</f>
        <v>1</v>
      </c>
      <c r="N93" s="107">
        <f>IF('IWP14'!Std4BeginDate=DATE(1900,1,0), DATE(1900,1,1),'IWP14'!Std4BeginDate)</f>
        <v>1</v>
      </c>
      <c r="O93" s="107">
        <f>IF('IWP14'!Std4DateOfReceipt=DATE(1900,1,0), DATE(1900,1,1),'IWP14'!Std4DateOfReceipt)</f>
        <v>1</v>
      </c>
      <c r="P93" s="107">
        <f>IF('IWP14'!Std4FirstDayOfSvc=DATE(1900,1,0), DATE(1900,1,1),'IWP14'!Std4FirstDayOfSvc)</f>
        <v>1</v>
      </c>
      <c r="Q93" s="107">
        <f>IF('IWP14'!Std4DateOfVerbalPhysOrders=DATE(1900,1,0), DATE(1900,1,1),'IWP14'!Std4DateOfVerbalPhysOrders)</f>
        <v>1</v>
      </c>
      <c r="R93" s="107">
        <f>IF('IWP14'!Std4DateOfWrittenPhysPhysOrders=DATE(1900,1,0), DATE(1900,1,1),'IWP14'!Std4DateOfWrittenPhysPhysOrders)</f>
        <v>1</v>
      </c>
      <c r="S93" s="107">
        <f>IF('IWP14'!Std4DateOfForm3050=DATE(1900,1,0), DATE(1900,1,1),'IWP14'!Std4DateOfForm3050)</f>
        <v>1</v>
      </c>
      <c r="T93" s="107">
        <f>IF('IWP14'!Std4DateForm3050SubmittedDadsRegNurse=DATE(1900,1,0), DATE(1900,1,1),'IWP14'!Std4DateForm3050SubmittedDadsRegNurse)</f>
        <v>1</v>
      </c>
      <c r="U93" s="107">
        <f>IF('IWP14'!Std4DateForm3055SubmittedDadsRegNurse=DATE(1900,1,0), DATE(1900,1,1),'IWP14'!Std4DateForm3055SubmittedDadsRegNurse)</f>
        <v>1</v>
      </c>
      <c r="V93" s="107">
        <f>IF('IWP14'!Std4DateOfXferFromAnotherDahs=DATE(1900,1,0), DATE(1900,1,1),'IWP14'!Std4DateOfXferFromAnotherDahs)</f>
        <v>1</v>
      </c>
      <c r="W93" s="106" t="str">
        <f>IF('IWP14'!Std4dot1aNotCalc = 0, "", 'IWP14'!Std4dot1aNotCalc)</f>
        <v/>
      </c>
      <c r="X93" s="106" t="str">
        <f>IF('IWP14'!Std4dot1bNotCalc = 0, "", 'IWP14'!Std4dot1bNotCalc)</f>
        <v/>
      </c>
      <c r="Y93" s="106" t="str">
        <f>IF('IWP14'!Std4dot1a = 0, "", 'IWP14'!Std4dot1a)</f>
        <v/>
      </c>
      <c r="Z93" s="106" t="str">
        <f>IF('IWP14'!Std4dot1b = 0, "", 'IWP14'!Std4dot1b)</f>
        <v/>
      </c>
      <c r="AA93" s="106" t="str">
        <f>IF('IWP14'!Std4dot1 = 0, "", 'IWP14'!Std4dot1)</f>
        <v/>
      </c>
      <c r="AB93" s="106" t="str">
        <f>IF('IWP14'!Std4dot2NotCalc = 0, "", 'IWP14'!Std4dot2NotCalc)</f>
        <v/>
      </c>
      <c r="AC93" s="106" t="str">
        <f>IF('IWP14'!Std4dot2 = 0, "", 'IWP14'!Std4dot2)</f>
        <v/>
      </c>
      <c r="AD93" s="106" t="str">
        <f>IF('IWP14'!Std4dot3NotCalc = 0, "", 'IWP14'!Std4dot3NotCalc)</f>
        <v/>
      </c>
      <c r="AE93" s="106" t="str">
        <f>IF('IWP14'!Std4dot3a = 0, "", 'IWP14'!Std4dot3a)</f>
        <v/>
      </c>
      <c r="AF93" s="106" t="str">
        <f>IF('IWP14'!Std4dot3b = 0, "", 'IWP14'!Std4dot3b)</f>
        <v/>
      </c>
      <c r="AG93" s="106" t="str">
        <f>IF('IWP14'!Std4dot3c = 0, "", 'IWP14'!Std4dot3c)</f>
        <v/>
      </c>
      <c r="AH93" s="106" t="str">
        <f>IF('IWP14'!Std4dot3d = 0, "", 'IWP14'!Std4dot3d)</f>
        <v/>
      </c>
      <c r="AI93" s="106" t="str">
        <f>IF('IWP14'!Std4dot3 = 0, "", 'IWP14'!Std4dot3)</f>
        <v/>
      </c>
      <c r="AJ93" s="106" t="str">
        <f>IF('IWP14'!Std4dot4a = 0, "", 'IWP14'!Std4dot4a)</f>
        <v/>
      </c>
      <c r="AK93" s="106" t="str">
        <f>IF('IWP14'!Std4dot4b = 0, "", 'IWP14'!Std4dot4b)</f>
        <v/>
      </c>
      <c r="AL93" s="106" t="str">
        <f>IF('IWP14'!Std4dot4 = 0, "", 'IWP14'!Std4dot4)</f>
        <v/>
      </c>
      <c r="AM93" s="106" t="str">
        <f>IF('IWP14'!Std5NotCalc = 0, "", 'IWP14'!Std5NotCalc)</f>
        <v/>
      </c>
      <c r="AN93" s="106" t="str">
        <f>IF('IWP14'!Std5dot1 = 0, "", 'IWP14'!Std5dot1)</f>
        <v>NA</v>
      </c>
      <c r="AO93" s="106" t="str">
        <f>IF('IWP14'!Std5dot2Mo1Ans = 0, "", 'IWP14'!Std5dot2Mo1Ans)</f>
        <v/>
      </c>
      <c r="AP93" s="107">
        <f>IF('IWP14'!Std5dot2Mo1Date=DATE(1900,1,0), DATE(1900,1,1),'IWP14'!Std5dot2Mo1Date)</f>
        <v>1</v>
      </c>
      <c r="AQ93" s="106" t="str">
        <f>IF('IWP14'!Std5dot2Mo2Ans = 0, "", 'IWP14'!Std5dot2Mo2Ans)</f>
        <v/>
      </c>
      <c r="AR93" s="107">
        <f>IF('IWP14'!Std5dot2Mo2Date=DATE(1900,1,0), DATE(1900,1,1),'IWP14'!Std5dot2Mo2Date)</f>
        <v>1</v>
      </c>
      <c r="AS93" s="106" t="str">
        <f>IF('IWP14'!Std5dot2 = 0, "", 'IWP14'!Std5dot2)</f>
        <v/>
      </c>
      <c r="AT93" s="106" t="str">
        <f>IF('IWP14'!Std5dot3Mo1Ans = 0, "", 'IWP14'!Std5dot3Mo1Ans)</f>
        <v/>
      </c>
      <c r="AU93" s="107">
        <f>IF('IWP14'!Std5dot3Mo1Date=DATE(1900,1,0), DATE(1900,1,1),'IWP14'!Std5dot3Mo1Date)</f>
        <v>1</v>
      </c>
      <c r="AV93" s="106" t="str">
        <f>IF('IWP14'!Std5dot3Mo2Ans = 0, "", 'IWP14'!Std5dot3Mo2Ans)</f>
        <v/>
      </c>
      <c r="AW93" s="107">
        <f>IF('IWP14'!Std5dot3Mo2Date=DATE(1900,1,0), DATE(1900,1,1),'IWP14'!Std5dot3Mo2Date)</f>
        <v>1</v>
      </c>
      <c r="AX93" s="106" t="str">
        <f>IF('IWP14'!Std5dot3 = 0, "", 'IWP14'!Std5dot3)</f>
        <v>NA</v>
      </c>
      <c r="AY93" s="106" t="str">
        <f>IF('IWP14'!Std5dot4Mo1Ans = 0, "", 'IWP14'!Std5dot4Mo1Ans)</f>
        <v/>
      </c>
      <c r="AZ93" s="107">
        <f>IF('IWP14'!Std5dot4Mo1Date=DATE(1900,1,0), DATE(1900,1,1),'IWP14'!Std5dot4Mo1Date)</f>
        <v>1</v>
      </c>
      <c r="BA93" s="106" t="str">
        <f>IF('IWP14'!Std5dot4Mo2Ans = 0, "", 'IWP14'!Std5dot4Mo2Ans)</f>
        <v/>
      </c>
      <c r="BB93" s="107">
        <f>IF('IWP14'!Std5dot4Mo2Date=DATE(1900,1,0), DATE(1900,1,1),'IWP14'!Std5dot4Mo2Date)</f>
        <v>1</v>
      </c>
      <c r="BC93" s="2" t="str">
        <f>IF('IWP14'!Std5dot4 = 0, "", 'IWP14'!Std5dot4)</f>
        <v>NA</v>
      </c>
      <c r="BD93" s="2" t="str">
        <f>IF('IWP14'!Std5dot5 = 0, "", 'IWP14'!Std5dot5)</f>
        <v/>
      </c>
      <c r="BE93" s="2" t="str">
        <f>IF('IWP14'!Std5dot6 = 0, "", 'IWP14'!Std5dot6)</f>
        <v/>
      </c>
      <c r="BF93" s="106" t="str">
        <f>IF('IWP14'!Std6dot1 = 0, "", 'IWP14'!Std6dot1)</f>
        <v/>
      </c>
      <c r="BG93" s="155">
        <f>IF('IWP14'!FiscalReviewFirstMonth = DATE(1900,1,0),DATE(1900,1,1), 'IWP14'!FiscalReviewFirstMonth)</f>
        <v>1</v>
      </c>
      <c r="BH93" s="155">
        <f>IF('IWP14'!FiscalReviewSecondMonth = DATE(1900,1,0),DATE(1900,1,1), 'IWP14'!FiscalReviewSecondMonth)</f>
        <v>1</v>
      </c>
      <c r="BI93" s="107">
        <f>IF('IWP14'!Std4DateOfForm3049=DATE(1900,1,0), DATE(1900,1,1),'IWP14'!Std4DateOfForm3049)</f>
        <v>1</v>
      </c>
      <c r="BJ93" s="230">
        <f>IF('IWP14'!Std4DateForm3049SubmittedDadsRegNurse=DATE(1900,1,0), DATE(1900,1,1),'IWP14'!Std4DateForm3049SubmittedDadsRegNurse)</f>
        <v>1</v>
      </c>
    </row>
    <row r="94" spans="1:62">
      <c r="A94" s="125" t="s">
        <v>488</v>
      </c>
      <c r="B94" s="107">
        <f>IF('Samples (Print)'!D19=DATE(1900,1,0), DATE(1900,1,1),'Samples (Print)'!D19)</f>
        <v>1</v>
      </c>
      <c r="C94" s="107">
        <f>IF('Samples (Print)'!E19=DATE(1900,1,0), DATE(1900,1,1),'Samples (Print)'!E19)</f>
        <v>1</v>
      </c>
      <c r="D94" s="128">
        <f>'IWP15'!SampleNumber</f>
        <v>15</v>
      </c>
      <c r="E94" s="128">
        <f>'IWP15'!ClientID</f>
        <v>0</v>
      </c>
      <c r="F94" s="129"/>
      <c r="G94" s="129"/>
      <c r="H94" s="106" t="str">
        <f ca="1">IF('IWP15'!ContractNumber = 0, "", 'IWP15'!ContractNumber)</f>
        <v/>
      </c>
      <c r="I94" s="106" t="str">
        <f>IF('IWP15'!ServiceCode = 0, "", 'IWP15'!ServiceCode)</f>
        <v/>
      </c>
      <c r="J94" s="106" t="str">
        <f>IF('IWP15'!CompletedByLastName = 0, "", 'IWP15'!CompletedByLastName)</f>
        <v/>
      </c>
      <c r="K94" s="106" t="str">
        <f>IF('IWP15'!CompletedByFirstName = 0, "", 'IWP15'!CompletedByFirstName)</f>
        <v/>
      </c>
      <c r="L94" s="107">
        <f>IF('IWP15'!DateCompleted=DATE(1900,1,0), DATE(1900,1,1),'IWP15'!DateCompleted)</f>
        <v>1</v>
      </c>
      <c r="M94" s="107">
        <f>IF('IWP15'!Std4ReferralDate=DATE(1900,1,0), DATE(1900,1,1),'IWP15'!Std4ReferralDate)</f>
        <v>1</v>
      </c>
      <c r="N94" s="107">
        <f>IF('IWP15'!Std4BeginDate=DATE(1900,1,0), DATE(1900,1,1),'IWP15'!Std4BeginDate)</f>
        <v>1</v>
      </c>
      <c r="O94" s="107">
        <f>IF('IWP15'!Std4DateOfReceipt=DATE(1900,1,0), DATE(1900,1,1),'IWP15'!Std4DateOfReceipt)</f>
        <v>1</v>
      </c>
      <c r="P94" s="107">
        <f>IF('IWP15'!Std4FirstDayOfSvc=DATE(1900,1,0), DATE(1900,1,1),'IWP15'!Std4FirstDayOfSvc)</f>
        <v>1</v>
      </c>
      <c r="Q94" s="107">
        <f>IF('IWP15'!Std4DateOfVerbalPhysOrders=DATE(1900,1,0), DATE(1900,1,1),'IWP15'!Std4DateOfVerbalPhysOrders)</f>
        <v>1</v>
      </c>
      <c r="R94" s="107">
        <f>IF('IWP15'!Std4DateOfWrittenPhysPhysOrders=DATE(1900,1,0), DATE(1900,1,1),'IWP15'!Std4DateOfWrittenPhysPhysOrders)</f>
        <v>1</v>
      </c>
      <c r="S94" s="107">
        <f>IF('IWP15'!Std4DateOfForm3050=DATE(1900,1,0), DATE(1900,1,1),'IWP15'!Std4DateOfForm3050)</f>
        <v>1</v>
      </c>
      <c r="T94" s="107">
        <f>IF('IWP15'!Std4DateForm3050SubmittedDadsRegNurse=DATE(1900,1,0), DATE(1900,1,1),'IWP15'!Std4DateForm3050SubmittedDadsRegNurse)</f>
        <v>1</v>
      </c>
      <c r="U94" s="107">
        <f>IF('IWP15'!Std4DateForm3055SubmittedDadsRegNurse=DATE(1900,1,0), DATE(1900,1,1),'IWP15'!Std4DateForm3055SubmittedDadsRegNurse)</f>
        <v>1</v>
      </c>
      <c r="V94" s="107">
        <f>IF('IWP15'!Std4DateOfXferFromAnotherDahs=DATE(1900,1,0), DATE(1900,1,1),'IWP15'!Std4DateOfXferFromAnotherDahs)</f>
        <v>1</v>
      </c>
      <c r="W94" s="106" t="str">
        <f>IF('IWP15'!Std4dot1aNotCalc = 0, "", 'IWP15'!Std4dot1aNotCalc)</f>
        <v/>
      </c>
      <c r="X94" s="106" t="str">
        <f>IF('IWP15'!Std4dot1bNotCalc = 0, "", 'IWP15'!Std4dot1bNotCalc)</f>
        <v/>
      </c>
      <c r="Y94" s="106" t="str">
        <f>IF('IWP15'!Std4dot1a = 0, "", 'IWP15'!Std4dot1a)</f>
        <v/>
      </c>
      <c r="Z94" s="106" t="str">
        <f>IF('IWP15'!Std4dot1b = 0, "", 'IWP15'!Std4dot1b)</f>
        <v/>
      </c>
      <c r="AA94" s="106" t="str">
        <f>IF('IWP15'!Std4dot1 = 0, "", 'IWP15'!Std4dot1)</f>
        <v/>
      </c>
      <c r="AB94" s="106" t="str">
        <f>IF('IWP15'!Std4dot2NotCalc = 0, "", 'IWP15'!Std4dot2NotCalc)</f>
        <v/>
      </c>
      <c r="AC94" s="106" t="str">
        <f>IF('IWP15'!Std4dot2 = 0, "", 'IWP15'!Std4dot2)</f>
        <v/>
      </c>
      <c r="AD94" s="106" t="str">
        <f>IF('IWP15'!Std4dot3NotCalc = 0, "", 'IWP15'!Std4dot3NotCalc)</f>
        <v/>
      </c>
      <c r="AE94" s="106" t="str">
        <f>IF('IWP15'!Std4dot3a = 0, "", 'IWP15'!Std4dot3a)</f>
        <v/>
      </c>
      <c r="AF94" s="106" t="str">
        <f>IF('IWP15'!Std4dot3b = 0, "", 'IWP15'!Std4dot3b)</f>
        <v/>
      </c>
      <c r="AG94" s="106" t="str">
        <f>IF('IWP15'!Std4dot3c = 0, "", 'IWP15'!Std4dot3c)</f>
        <v/>
      </c>
      <c r="AH94" s="106" t="str">
        <f>IF('IWP15'!Std4dot3d = 0, "", 'IWP15'!Std4dot3d)</f>
        <v/>
      </c>
      <c r="AI94" s="106" t="str">
        <f>IF('IWP15'!Std4dot3 = 0, "", 'IWP15'!Std4dot3)</f>
        <v/>
      </c>
      <c r="AJ94" s="106" t="str">
        <f>IF('IWP15'!Std4dot4a = 0, "", 'IWP15'!Std4dot4a)</f>
        <v/>
      </c>
      <c r="AK94" s="106" t="str">
        <f>IF('IWP15'!Std4dot4b = 0, "", 'IWP15'!Std4dot4b)</f>
        <v/>
      </c>
      <c r="AL94" s="106" t="str">
        <f>IF('IWP15'!Std4dot4 = 0, "", 'IWP15'!Std4dot4)</f>
        <v/>
      </c>
      <c r="AM94" s="106" t="str">
        <f>IF('IWP15'!Std5NotCalc = 0, "", 'IWP15'!Std5NotCalc)</f>
        <v/>
      </c>
      <c r="AN94" s="106" t="str">
        <f>IF('IWP15'!Std5dot1 = 0, "", 'IWP15'!Std5dot1)</f>
        <v>NA</v>
      </c>
      <c r="AO94" s="106" t="str">
        <f>IF('IWP15'!Std5dot2Mo1Ans = 0, "", 'IWP15'!Std5dot2Mo1Ans)</f>
        <v/>
      </c>
      <c r="AP94" s="107">
        <f>IF('IWP15'!Std5dot2Mo1Date=DATE(1900,1,0), DATE(1900,1,1),'IWP15'!Std5dot2Mo1Date)</f>
        <v>1</v>
      </c>
      <c r="AQ94" s="106" t="str">
        <f>IF('IWP15'!Std5dot2Mo2Ans = 0, "", 'IWP15'!Std5dot2Mo2Ans)</f>
        <v/>
      </c>
      <c r="AR94" s="107">
        <f>IF('IWP15'!Std5dot2Mo2Date=DATE(1900,1,0), DATE(1900,1,1),'IWP15'!Std5dot2Mo2Date)</f>
        <v>1</v>
      </c>
      <c r="AS94" s="106" t="str">
        <f>IF('IWP15'!Std5dot2 = 0, "", 'IWP15'!Std5dot2)</f>
        <v/>
      </c>
      <c r="AT94" s="106" t="str">
        <f>IF('IWP15'!Std5dot3Mo1Ans = 0, "", 'IWP15'!Std5dot3Mo1Ans)</f>
        <v/>
      </c>
      <c r="AU94" s="107">
        <f>IF('IWP15'!Std5dot3Mo1Date=DATE(1900,1,0), DATE(1900,1,1),'IWP15'!Std5dot3Mo1Date)</f>
        <v>1</v>
      </c>
      <c r="AV94" s="106" t="str">
        <f>IF('IWP15'!Std5dot3Mo2Ans = 0, "", 'IWP15'!Std5dot3Mo2Ans)</f>
        <v/>
      </c>
      <c r="AW94" s="107">
        <f>IF('IWP15'!Std5dot3Mo2Date=DATE(1900,1,0), DATE(1900,1,1),'IWP15'!Std5dot3Mo2Date)</f>
        <v>1</v>
      </c>
      <c r="AX94" s="106" t="str">
        <f>IF('IWP15'!Std5dot3 = 0, "", 'IWP15'!Std5dot3)</f>
        <v>NA</v>
      </c>
      <c r="AY94" s="106" t="str">
        <f>IF('IWP15'!Std5dot4Mo1Ans = 0, "", 'IWP15'!Std5dot4Mo1Ans)</f>
        <v/>
      </c>
      <c r="AZ94" s="107">
        <f>IF('IWP15'!Std5dot4Mo1Date=DATE(1900,1,0), DATE(1900,1,1),'IWP15'!Std5dot4Mo1Date)</f>
        <v>1</v>
      </c>
      <c r="BA94" s="106" t="str">
        <f>IF('IWP15'!Std5dot4Mo2Ans = 0, "", 'IWP15'!Std5dot4Mo2Ans)</f>
        <v/>
      </c>
      <c r="BB94" s="107">
        <f>IF('IWP15'!Std5dot4Mo2Date=DATE(1900,1,0), DATE(1900,1,1),'IWP15'!Std5dot4Mo2Date)</f>
        <v>1</v>
      </c>
      <c r="BC94" s="2" t="str">
        <f>IF('IWP15'!Std5dot4 = 0, "", 'IWP15'!Std5dot4)</f>
        <v>NA</v>
      </c>
      <c r="BD94" s="2" t="str">
        <f>IF('IWP15'!Std5dot5 = 0, "", 'IWP15'!Std5dot5)</f>
        <v/>
      </c>
      <c r="BE94" s="2" t="str">
        <f>IF('IWP15'!Std5dot6 = 0, "", 'IWP15'!Std5dot6)</f>
        <v/>
      </c>
      <c r="BF94" s="106" t="str">
        <f>IF('IWP15'!Std6dot1 = 0, "", 'IWP15'!Std6dot1)</f>
        <v/>
      </c>
      <c r="BG94" s="155">
        <f>IF('IWP15'!FiscalReviewFirstMonth = DATE(1900,1,0),DATE(1900,1,1), 'IWP15'!FiscalReviewFirstMonth)</f>
        <v>1</v>
      </c>
      <c r="BH94" s="155">
        <f>IF('IWP15'!FiscalReviewSecondMonth = DATE(1900,1,0),DATE(1900,1,1), 'IWP15'!FiscalReviewSecondMonth)</f>
        <v>1</v>
      </c>
      <c r="BI94" s="107">
        <f>IF('IWP15'!Std4DateOfForm3049=DATE(1900,1,0), DATE(1900,1,1),'IWP15'!Std4DateOfForm3049)</f>
        <v>1</v>
      </c>
      <c r="BJ94" s="230">
        <f>IF('IWP15'!Std4DateForm3049SubmittedDadsRegNurse=DATE(1900,1,0), DATE(1900,1,1),'IWP15'!Std4DateForm3049SubmittedDadsRegNurse)</f>
        <v>1</v>
      </c>
    </row>
    <row r="95" spans="1:62">
      <c r="A95" s="125" t="s">
        <v>489</v>
      </c>
      <c r="B95" s="107">
        <f>IF('Samples (Print)'!D20=DATE(1900,1,0), DATE(1900,1,1),'Samples (Print)'!D20)</f>
        <v>1</v>
      </c>
      <c r="C95" s="107">
        <f>IF('Samples (Print)'!E20=DATE(1900,1,0), DATE(1900,1,1),'Samples (Print)'!E20)</f>
        <v>1</v>
      </c>
      <c r="D95" s="128">
        <f>'IWP16'!SampleNumber</f>
        <v>16</v>
      </c>
      <c r="E95" s="128">
        <f>'IWP16'!ClientID</f>
        <v>0</v>
      </c>
      <c r="F95" s="129"/>
      <c r="G95" s="129"/>
      <c r="H95" s="106" t="str">
        <f ca="1">IF('IWP16'!ContractNumber = 0, "", 'IWP16'!ContractNumber)</f>
        <v/>
      </c>
      <c r="I95" s="106" t="str">
        <f>IF('IWP16'!ServiceCode = 0, "", 'IWP16'!ServiceCode)</f>
        <v/>
      </c>
      <c r="J95" s="106" t="str">
        <f>IF('IWP16'!CompletedByLastName = 0, "", 'IWP16'!CompletedByLastName)</f>
        <v/>
      </c>
      <c r="K95" s="106" t="str">
        <f>IF('IWP16'!CompletedByFirstName = 0, "", 'IWP16'!CompletedByFirstName)</f>
        <v/>
      </c>
      <c r="L95" s="107">
        <f>IF('IWP16'!DateCompleted=DATE(1900,1,0), DATE(1900,1,1),'IWP16'!DateCompleted)</f>
        <v>1</v>
      </c>
      <c r="M95" s="107">
        <f>IF('IWP16'!Std4ReferralDate=DATE(1900,1,0), DATE(1900,1,1),'IWP16'!Std4ReferralDate)</f>
        <v>1</v>
      </c>
      <c r="N95" s="107">
        <f>IF('IWP16'!Std4BeginDate=DATE(1900,1,0), DATE(1900,1,1),'IWP16'!Std4BeginDate)</f>
        <v>1</v>
      </c>
      <c r="O95" s="107">
        <f>IF('IWP16'!Std4DateOfReceipt=DATE(1900,1,0), DATE(1900,1,1),'IWP16'!Std4DateOfReceipt)</f>
        <v>1</v>
      </c>
      <c r="P95" s="107">
        <f>IF('IWP16'!Std4FirstDayOfSvc=DATE(1900,1,0), DATE(1900,1,1),'IWP16'!Std4FirstDayOfSvc)</f>
        <v>1</v>
      </c>
      <c r="Q95" s="107">
        <f>IF('IWP16'!Std4DateOfVerbalPhysOrders=DATE(1900,1,0), DATE(1900,1,1),'IWP16'!Std4DateOfVerbalPhysOrders)</f>
        <v>1</v>
      </c>
      <c r="R95" s="107">
        <f>IF('IWP16'!Std4DateOfWrittenPhysPhysOrders=DATE(1900,1,0), DATE(1900,1,1),'IWP16'!Std4DateOfWrittenPhysPhysOrders)</f>
        <v>1</v>
      </c>
      <c r="S95" s="107">
        <f>IF('IWP16'!Std4DateOfForm3050=DATE(1900,1,0), DATE(1900,1,1),'IWP16'!Std4DateOfForm3050)</f>
        <v>1</v>
      </c>
      <c r="T95" s="107">
        <f>IF('IWP16'!Std4DateForm3050SubmittedDadsRegNurse=DATE(1900,1,0), DATE(1900,1,1),'IWP16'!Std4DateForm3050SubmittedDadsRegNurse)</f>
        <v>1</v>
      </c>
      <c r="U95" s="107">
        <f>IF('IWP16'!Std4DateForm3055SubmittedDadsRegNurse=DATE(1900,1,0), DATE(1900,1,1),'IWP16'!Std4DateForm3055SubmittedDadsRegNurse)</f>
        <v>1</v>
      </c>
      <c r="V95" s="107">
        <f>IF('IWP16'!Std4DateOfXferFromAnotherDahs=DATE(1900,1,0), DATE(1900,1,1),'IWP16'!Std4DateOfXferFromAnotherDahs)</f>
        <v>1</v>
      </c>
      <c r="W95" s="106" t="str">
        <f>IF('IWP16'!Std4dot1aNotCalc = 0, "", 'IWP16'!Std4dot1aNotCalc)</f>
        <v/>
      </c>
      <c r="X95" s="106" t="str">
        <f>IF('IWP16'!Std4dot1bNotCalc = 0, "", 'IWP16'!Std4dot1bNotCalc)</f>
        <v/>
      </c>
      <c r="Y95" s="106" t="str">
        <f>IF('IWP16'!Std4dot1a = 0, "", 'IWP16'!Std4dot1a)</f>
        <v/>
      </c>
      <c r="Z95" s="106" t="str">
        <f>IF('IWP16'!Std4dot1b = 0, "", 'IWP16'!Std4dot1b)</f>
        <v/>
      </c>
      <c r="AA95" s="106" t="str">
        <f>IF('IWP16'!Std4dot1 = 0, "", 'IWP16'!Std4dot1)</f>
        <v/>
      </c>
      <c r="AB95" s="106" t="str">
        <f>IF('IWP16'!Std4dot2NotCalc = 0, "", 'IWP16'!Std4dot2NotCalc)</f>
        <v/>
      </c>
      <c r="AC95" s="106" t="str">
        <f>IF('IWP16'!Std4dot2 = 0, "", 'IWP16'!Std4dot2)</f>
        <v/>
      </c>
      <c r="AD95" s="106" t="str">
        <f>IF('IWP16'!Std4dot3NotCalc = 0, "", 'IWP16'!Std4dot3NotCalc)</f>
        <v/>
      </c>
      <c r="AE95" s="106" t="str">
        <f>IF('IWP16'!Std4dot3a = 0, "", 'IWP16'!Std4dot3a)</f>
        <v/>
      </c>
      <c r="AF95" s="106" t="str">
        <f>IF('IWP16'!Std4dot3b = 0, "", 'IWP16'!Std4dot3b)</f>
        <v/>
      </c>
      <c r="AG95" s="106" t="str">
        <f>IF('IWP16'!Std4dot3c = 0, "", 'IWP16'!Std4dot3c)</f>
        <v/>
      </c>
      <c r="AH95" s="106" t="str">
        <f>IF('IWP16'!Std4dot3d = 0, "", 'IWP16'!Std4dot3d)</f>
        <v/>
      </c>
      <c r="AI95" s="106" t="str">
        <f>IF('IWP16'!Std4dot3 = 0, "", 'IWP16'!Std4dot3)</f>
        <v/>
      </c>
      <c r="AJ95" s="106" t="str">
        <f>IF('IWP16'!Std4dot4a = 0, "", 'IWP16'!Std4dot4a)</f>
        <v/>
      </c>
      <c r="AK95" s="106" t="str">
        <f>IF('IWP16'!Std4dot4b = 0, "", 'IWP16'!Std4dot4b)</f>
        <v/>
      </c>
      <c r="AL95" s="106" t="str">
        <f>IF('IWP16'!Std4dot4 = 0, "", 'IWP16'!Std4dot4)</f>
        <v/>
      </c>
      <c r="AM95" s="106" t="str">
        <f>IF('IWP16'!Std5NotCalc = 0, "", 'IWP16'!Std5NotCalc)</f>
        <v/>
      </c>
      <c r="AN95" s="106" t="str">
        <f>IF('IWP16'!Std5dot1 = 0, "", 'IWP16'!Std5dot1)</f>
        <v>NA</v>
      </c>
      <c r="AO95" s="106" t="str">
        <f>IF('IWP16'!Std5dot2Mo1Ans = 0, "", 'IWP16'!Std5dot2Mo1Ans)</f>
        <v/>
      </c>
      <c r="AP95" s="107">
        <f>IF('IWP16'!Std5dot2Mo1Date=DATE(1900,1,0), DATE(1900,1,1),'IWP16'!Std5dot2Mo1Date)</f>
        <v>1</v>
      </c>
      <c r="AQ95" s="106" t="str">
        <f>IF('IWP16'!Std5dot2Mo2Ans = 0, "", 'IWP16'!Std5dot2Mo2Ans)</f>
        <v/>
      </c>
      <c r="AR95" s="107">
        <f>IF('IWP16'!Std5dot2Mo2Date=DATE(1900,1,0), DATE(1900,1,1),'IWP16'!Std5dot2Mo2Date)</f>
        <v>1</v>
      </c>
      <c r="AS95" s="106" t="str">
        <f>IF('IWP16'!Std5dot2 = 0, "", 'IWP16'!Std5dot2)</f>
        <v/>
      </c>
      <c r="AT95" s="106" t="str">
        <f>IF('IWP16'!Std5dot3Mo1Ans = 0, "", 'IWP16'!Std5dot3Mo1Ans)</f>
        <v/>
      </c>
      <c r="AU95" s="107">
        <f>IF('IWP16'!Std5dot3Mo1Date=DATE(1900,1,0), DATE(1900,1,1),'IWP16'!Std5dot3Mo1Date)</f>
        <v>1</v>
      </c>
      <c r="AV95" s="106" t="str">
        <f>IF('IWP16'!Std5dot3Mo2Ans = 0, "", 'IWP16'!Std5dot3Mo2Ans)</f>
        <v/>
      </c>
      <c r="AW95" s="107">
        <f>IF('IWP16'!Std5dot3Mo2Date=DATE(1900,1,0), DATE(1900,1,1),'IWP16'!Std5dot3Mo2Date)</f>
        <v>1</v>
      </c>
      <c r="AX95" s="106" t="str">
        <f>IF('IWP16'!Std5dot3 = 0, "", 'IWP16'!Std5dot3)</f>
        <v>NA</v>
      </c>
      <c r="AY95" s="106" t="str">
        <f>IF('IWP16'!Std5dot4Mo1Ans = 0, "", 'IWP16'!Std5dot4Mo1Ans)</f>
        <v/>
      </c>
      <c r="AZ95" s="107">
        <f>IF('IWP16'!Std5dot4Mo1Date=DATE(1900,1,0), DATE(1900,1,1),'IWP16'!Std5dot4Mo1Date)</f>
        <v>1</v>
      </c>
      <c r="BA95" s="106" t="str">
        <f>IF('IWP16'!Std5dot4Mo2Ans = 0, "", 'IWP16'!Std5dot4Mo2Ans)</f>
        <v/>
      </c>
      <c r="BB95" s="107">
        <f>IF('IWP16'!Std5dot4Mo2Date=DATE(1900,1,0), DATE(1900,1,1),'IWP16'!Std5dot4Mo2Date)</f>
        <v>1</v>
      </c>
      <c r="BC95" s="2" t="str">
        <f>IF('IWP16'!Std5dot4 = 0, "", 'IWP16'!Std5dot4)</f>
        <v>NA</v>
      </c>
      <c r="BD95" s="2" t="str">
        <f>IF('IWP16'!Std5dot5 = 0, "", 'IWP16'!Std5dot5)</f>
        <v/>
      </c>
      <c r="BE95" s="2" t="str">
        <f>IF('IWP16'!Std5dot6 = 0, "", 'IWP16'!Std5dot6)</f>
        <v/>
      </c>
      <c r="BF95" s="106" t="str">
        <f>IF('IWP16'!Std6dot1 = 0, "", 'IWP16'!Std6dot1)</f>
        <v/>
      </c>
      <c r="BG95" s="155">
        <f>IF('IWP16'!FiscalReviewFirstMonth = DATE(1900,1,0),DATE(1900,1,1), 'IWP16'!FiscalReviewFirstMonth)</f>
        <v>1</v>
      </c>
      <c r="BH95" s="155">
        <f>IF('IWP16'!FiscalReviewSecondMonth = DATE(1900,1,0),DATE(1900,1,1), 'IWP16'!FiscalReviewSecondMonth)</f>
        <v>1</v>
      </c>
      <c r="BI95" s="107">
        <f>IF('IWP16'!Std4DateOfForm3049=DATE(1900,1,0), DATE(1900,1,1),'IWP16'!Std4DateOfForm3049)</f>
        <v>1</v>
      </c>
      <c r="BJ95" s="230">
        <f>IF('IWP16'!Std4DateForm3049SubmittedDadsRegNurse=DATE(1900,1,0), DATE(1900,1,1),'IWP16'!Std4DateForm3049SubmittedDadsRegNurse)</f>
        <v>1</v>
      </c>
    </row>
    <row r="96" spans="1:62">
      <c r="A96" s="125" t="s">
        <v>490</v>
      </c>
      <c r="B96" s="107">
        <f>IF('Samples (Print)'!D21=DATE(1900,1,0), DATE(1900,1,1),'Samples (Print)'!D21)</f>
        <v>1</v>
      </c>
      <c r="C96" s="107">
        <f>IF('Samples (Print)'!E21=DATE(1900,1,0), DATE(1900,1,1),'Samples (Print)'!E21)</f>
        <v>1</v>
      </c>
      <c r="D96" s="128">
        <f>'IWP17'!SampleNumber</f>
        <v>17</v>
      </c>
      <c r="E96" s="128">
        <f>'IWP17'!ClientID</f>
        <v>0</v>
      </c>
      <c r="F96" s="129"/>
      <c r="G96" s="129"/>
      <c r="H96" s="106" t="str">
        <f ca="1">IF('IWP17'!ContractNumber = 0, "", 'IWP17'!ContractNumber)</f>
        <v/>
      </c>
      <c r="I96" s="106" t="str">
        <f>IF('IWP17'!ServiceCode = 0, "", 'IWP17'!ServiceCode)</f>
        <v/>
      </c>
      <c r="J96" s="106" t="str">
        <f>IF('IWP17'!CompletedByLastName = 0, "", 'IWP17'!CompletedByLastName)</f>
        <v/>
      </c>
      <c r="K96" s="106" t="str">
        <f>IF('IWP17'!CompletedByFirstName = 0, "", 'IWP17'!CompletedByFirstName)</f>
        <v/>
      </c>
      <c r="L96" s="107">
        <f>IF('IWP17'!DateCompleted=DATE(1900,1,0), DATE(1900,1,1),'IWP17'!DateCompleted)</f>
        <v>1</v>
      </c>
      <c r="M96" s="107">
        <f>IF('IWP17'!Std4ReferralDate=DATE(1900,1,0), DATE(1900,1,1),'IWP17'!Std4ReferralDate)</f>
        <v>1</v>
      </c>
      <c r="N96" s="107">
        <f>IF('IWP17'!Std4BeginDate=DATE(1900,1,0), DATE(1900,1,1),'IWP17'!Std4BeginDate)</f>
        <v>1</v>
      </c>
      <c r="O96" s="107">
        <f>IF('IWP17'!Std4DateOfReceipt=DATE(1900,1,0), DATE(1900,1,1),'IWP17'!Std4DateOfReceipt)</f>
        <v>1</v>
      </c>
      <c r="P96" s="107">
        <f>IF('IWP17'!Std4FirstDayOfSvc=DATE(1900,1,0), DATE(1900,1,1),'IWP17'!Std4FirstDayOfSvc)</f>
        <v>1</v>
      </c>
      <c r="Q96" s="107">
        <f>IF('IWP17'!Std4DateOfVerbalPhysOrders=DATE(1900,1,0), DATE(1900,1,1),'IWP17'!Std4DateOfVerbalPhysOrders)</f>
        <v>1</v>
      </c>
      <c r="R96" s="107">
        <f>IF('IWP17'!Std4DateOfWrittenPhysPhysOrders=DATE(1900,1,0), DATE(1900,1,1),'IWP17'!Std4DateOfWrittenPhysPhysOrders)</f>
        <v>1</v>
      </c>
      <c r="S96" s="107">
        <f>IF('IWP17'!Std4DateOfForm3050=DATE(1900,1,0), DATE(1900,1,1),'IWP17'!Std4DateOfForm3050)</f>
        <v>1</v>
      </c>
      <c r="T96" s="107">
        <f>IF('IWP17'!Std4DateForm3050SubmittedDadsRegNurse=DATE(1900,1,0), DATE(1900,1,1),'IWP17'!Std4DateForm3050SubmittedDadsRegNurse)</f>
        <v>1</v>
      </c>
      <c r="U96" s="107">
        <f>IF('IWP17'!Std4DateForm3055SubmittedDadsRegNurse=DATE(1900,1,0), DATE(1900,1,1),'IWP17'!Std4DateForm3055SubmittedDadsRegNurse)</f>
        <v>1</v>
      </c>
      <c r="V96" s="107">
        <f>IF('IWP17'!Std4DateOfXferFromAnotherDahs=DATE(1900,1,0), DATE(1900,1,1),'IWP17'!Std4DateOfXferFromAnotherDahs)</f>
        <v>1</v>
      </c>
      <c r="W96" s="106" t="str">
        <f>IF('IWP17'!Std4dot1aNotCalc = 0, "", 'IWP17'!Std4dot1aNotCalc)</f>
        <v/>
      </c>
      <c r="X96" s="106" t="str">
        <f>IF('IWP17'!Std4dot1bNotCalc = 0, "", 'IWP17'!Std4dot1bNotCalc)</f>
        <v/>
      </c>
      <c r="Y96" s="106" t="str">
        <f>IF('IWP17'!Std4dot1a = 0, "", 'IWP17'!Std4dot1a)</f>
        <v/>
      </c>
      <c r="Z96" s="106" t="str">
        <f>IF('IWP17'!Std4dot1b = 0, "", 'IWP17'!Std4dot1b)</f>
        <v/>
      </c>
      <c r="AA96" s="106" t="str">
        <f>IF('IWP17'!Std4dot1 = 0, "", 'IWP17'!Std4dot1)</f>
        <v/>
      </c>
      <c r="AB96" s="106" t="str">
        <f>IF('IWP17'!Std4dot2NotCalc = 0, "", 'IWP17'!Std4dot2NotCalc)</f>
        <v/>
      </c>
      <c r="AC96" s="106" t="str">
        <f>IF('IWP17'!Std4dot2 = 0, "", 'IWP17'!Std4dot2)</f>
        <v/>
      </c>
      <c r="AD96" s="106" t="str">
        <f>IF('IWP17'!Std4dot3NotCalc = 0, "", 'IWP17'!Std4dot3NotCalc)</f>
        <v/>
      </c>
      <c r="AE96" s="106" t="str">
        <f>IF('IWP17'!Std4dot3a = 0, "", 'IWP17'!Std4dot3a)</f>
        <v/>
      </c>
      <c r="AF96" s="106" t="str">
        <f>IF('IWP17'!Std4dot3b = 0, "", 'IWP17'!Std4dot3b)</f>
        <v/>
      </c>
      <c r="AG96" s="106" t="str">
        <f>IF('IWP17'!Std4dot3c = 0, "", 'IWP17'!Std4dot3c)</f>
        <v/>
      </c>
      <c r="AH96" s="106" t="str">
        <f>IF('IWP17'!Std4dot3d = 0, "", 'IWP17'!Std4dot3d)</f>
        <v/>
      </c>
      <c r="AI96" s="106" t="str">
        <f>IF('IWP17'!Std4dot3 = 0, "", 'IWP17'!Std4dot3)</f>
        <v/>
      </c>
      <c r="AJ96" s="106" t="str">
        <f>IF('IWP17'!Std4dot4a = 0, "", 'IWP17'!Std4dot4a)</f>
        <v/>
      </c>
      <c r="AK96" s="106" t="str">
        <f>IF('IWP17'!Std4dot4b = 0, "", 'IWP17'!Std4dot4b)</f>
        <v/>
      </c>
      <c r="AL96" s="106" t="str">
        <f>IF('IWP17'!Std4dot4 = 0, "", 'IWP17'!Std4dot4)</f>
        <v/>
      </c>
      <c r="AM96" s="106" t="str">
        <f>IF('IWP17'!Std5NotCalc = 0, "", 'IWP17'!Std5NotCalc)</f>
        <v/>
      </c>
      <c r="AN96" s="106" t="str">
        <f>IF('IWP17'!Std5dot1 = 0, "", 'IWP17'!Std5dot1)</f>
        <v>NA</v>
      </c>
      <c r="AO96" s="106" t="str">
        <f>IF('IWP17'!Std5dot2Mo1Ans = 0, "", 'IWP17'!Std5dot2Mo1Ans)</f>
        <v/>
      </c>
      <c r="AP96" s="107">
        <f>IF('IWP17'!Std5dot2Mo1Date=DATE(1900,1,0), DATE(1900,1,1),'IWP17'!Std5dot2Mo1Date)</f>
        <v>1</v>
      </c>
      <c r="AQ96" s="106" t="str">
        <f>IF('IWP17'!Std5dot2Mo2Ans = 0, "", 'IWP17'!Std5dot2Mo2Ans)</f>
        <v/>
      </c>
      <c r="AR96" s="107">
        <f>IF('IWP17'!Std5dot2Mo2Date=DATE(1900,1,0), DATE(1900,1,1),'IWP17'!Std5dot2Mo2Date)</f>
        <v>1</v>
      </c>
      <c r="AS96" s="106" t="str">
        <f>IF('IWP17'!Std5dot2 = 0, "", 'IWP17'!Std5dot2)</f>
        <v/>
      </c>
      <c r="AT96" s="106" t="str">
        <f>IF('IWP17'!Std5dot3Mo1Ans = 0, "", 'IWP17'!Std5dot3Mo1Ans)</f>
        <v/>
      </c>
      <c r="AU96" s="107">
        <f>IF('IWP17'!Std5dot3Mo1Date=DATE(1900,1,0), DATE(1900,1,1),'IWP17'!Std5dot3Mo1Date)</f>
        <v>1</v>
      </c>
      <c r="AV96" s="106" t="str">
        <f>IF('IWP17'!Std5dot3Mo2Ans = 0, "", 'IWP17'!Std5dot3Mo2Ans)</f>
        <v/>
      </c>
      <c r="AW96" s="107">
        <f>IF('IWP17'!Std5dot3Mo2Date=DATE(1900,1,0), DATE(1900,1,1),'IWP17'!Std5dot3Mo2Date)</f>
        <v>1</v>
      </c>
      <c r="AX96" s="106" t="str">
        <f>IF('IWP17'!Std5dot3 = 0, "", 'IWP17'!Std5dot3)</f>
        <v>NA</v>
      </c>
      <c r="AY96" s="106" t="str">
        <f>IF('IWP17'!Std5dot4Mo1Ans = 0, "", 'IWP17'!Std5dot4Mo1Ans)</f>
        <v/>
      </c>
      <c r="AZ96" s="107">
        <f>IF('IWP17'!Std5dot4Mo1Date=DATE(1900,1,0), DATE(1900,1,1),'IWP17'!Std5dot4Mo1Date)</f>
        <v>1</v>
      </c>
      <c r="BA96" s="106" t="str">
        <f>IF('IWP17'!Std5dot4Mo2Ans = 0, "", 'IWP17'!Std5dot4Mo2Ans)</f>
        <v/>
      </c>
      <c r="BB96" s="107">
        <f>IF('IWP17'!Std5dot4Mo2Date=DATE(1900,1,0), DATE(1900,1,1),'IWP17'!Std5dot4Mo2Date)</f>
        <v>1</v>
      </c>
      <c r="BC96" s="2" t="str">
        <f>IF('IWP17'!Std5dot4 = 0, "", 'IWP17'!Std5dot4)</f>
        <v>NA</v>
      </c>
      <c r="BD96" s="2" t="str">
        <f>IF('IWP17'!Std5dot5 = 0, "", 'IWP17'!Std5dot5)</f>
        <v/>
      </c>
      <c r="BE96" s="2" t="str">
        <f>IF('IWP17'!Std5dot6 = 0, "", 'IWP17'!Std5dot6)</f>
        <v/>
      </c>
      <c r="BF96" s="106" t="str">
        <f>IF('IWP17'!Std6dot1 = 0, "", 'IWP17'!Std6dot1)</f>
        <v/>
      </c>
      <c r="BG96" s="155">
        <f>IF('IWP17'!FiscalReviewFirstMonth = DATE(1900,1,0),DATE(1900,1,1), 'IWP17'!FiscalReviewFirstMonth)</f>
        <v>1</v>
      </c>
      <c r="BH96" s="155">
        <f>IF('IWP17'!FiscalReviewSecondMonth = DATE(1900,1,0),DATE(1900,1,1), 'IWP17'!FiscalReviewSecondMonth)</f>
        <v>1</v>
      </c>
      <c r="BI96" s="107">
        <f>IF('IWP17'!Std4DateOfForm3049=DATE(1900,1,0), DATE(1900,1,1),'IWP17'!Std4DateOfForm3049)</f>
        <v>1</v>
      </c>
      <c r="BJ96" s="230">
        <f>IF('IWP17'!Std4DateForm3049SubmittedDadsRegNurse=DATE(1900,1,0), DATE(1900,1,1),'IWP17'!Std4DateForm3049SubmittedDadsRegNurse)</f>
        <v>1</v>
      </c>
    </row>
    <row r="97" spans="1:62">
      <c r="A97" s="125" t="s">
        <v>491</v>
      </c>
      <c r="B97" s="107">
        <f>IF('Samples (Print)'!D22=DATE(1900,1,0), DATE(1900,1,1),'Samples (Print)'!D22)</f>
        <v>1</v>
      </c>
      <c r="C97" s="107">
        <f>IF('Samples (Print)'!E22=DATE(1900,1,0), DATE(1900,1,1),'Samples (Print)'!E22)</f>
        <v>1</v>
      </c>
      <c r="D97" s="128">
        <f>'IWP18'!SampleNumber</f>
        <v>18</v>
      </c>
      <c r="E97" s="128">
        <f>'IWP18'!ClientID</f>
        <v>0</v>
      </c>
      <c r="F97" s="129"/>
      <c r="G97" s="129"/>
      <c r="H97" s="106" t="str">
        <f ca="1">IF('IWP18'!ContractNumber = 0, "", 'IWP18'!ContractNumber)</f>
        <v/>
      </c>
      <c r="I97" s="106" t="str">
        <f>IF('IWP18'!ServiceCode = 0, "", 'IWP18'!ServiceCode)</f>
        <v/>
      </c>
      <c r="J97" s="106" t="str">
        <f>IF('IWP18'!CompletedByLastName = 0, "", 'IWP18'!CompletedByLastName)</f>
        <v/>
      </c>
      <c r="K97" s="106" t="str">
        <f>IF('IWP18'!CompletedByFirstName = 0, "", 'IWP18'!CompletedByFirstName)</f>
        <v/>
      </c>
      <c r="L97" s="107">
        <f>IF('IWP18'!DateCompleted=DATE(1900,1,0), DATE(1900,1,1),'IWP18'!DateCompleted)</f>
        <v>1</v>
      </c>
      <c r="M97" s="107">
        <f>IF('IWP18'!Std4ReferralDate=DATE(1900,1,0), DATE(1900,1,1),'IWP18'!Std4ReferralDate)</f>
        <v>1</v>
      </c>
      <c r="N97" s="107">
        <f>IF('IWP18'!Std4BeginDate=DATE(1900,1,0), DATE(1900,1,1),'IWP18'!Std4BeginDate)</f>
        <v>1</v>
      </c>
      <c r="O97" s="107">
        <f>IF('IWP18'!Std4DateOfReceipt=DATE(1900,1,0), DATE(1900,1,1),'IWP18'!Std4DateOfReceipt)</f>
        <v>1</v>
      </c>
      <c r="P97" s="107">
        <f>IF('IWP18'!Std4FirstDayOfSvc=DATE(1900,1,0), DATE(1900,1,1),'IWP18'!Std4FirstDayOfSvc)</f>
        <v>1</v>
      </c>
      <c r="Q97" s="107">
        <f>IF('IWP18'!Std4DateOfVerbalPhysOrders=DATE(1900,1,0), DATE(1900,1,1),'IWP18'!Std4DateOfVerbalPhysOrders)</f>
        <v>1</v>
      </c>
      <c r="R97" s="107">
        <f>IF('IWP18'!Std4DateOfWrittenPhysPhysOrders=DATE(1900,1,0), DATE(1900,1,1),'IWP18'!Std4DateOfWrittenPhysPhysOrders)</f>
        <v>1</v>
      </c>
      <c r="S97" s="107">
        <f>IF('IWP18'!Std4DateOfForm3050=DATE(1900,1,0), DATE(1900,1,1),'IWP18'!Std4DateOfForm3050)</f>
        <v>1</v>
      </c>
      <c r="T97" s="107">
        <f>IF('IWP18'!Std4DateForm3050SubmittedDadsRegNurse=DATE(1900,1,0), DATE(1900,1,1),'IWP18'!Std4DateForm3050SubmittedDadsRegNurse)</f>
        <v>1</v>
      </c>
      <c r="U97" s="107">
        <f>IF('IWP18'!Std4DateForm3055SubmittedDadsRegNurse=DATE(1900,1,0), DATE(1900,1,1),'IWP18'!Std4DateForm3055SubmittedDadsRegNurse)</f>
        <v>1</v>
      </c>
      <c r="V97" s="107">
        <f>IF('IWP18'!Std4DateOfXferFromAnotherDahs=DATE(1900,1,0), DATE(1900,1,1),'IWP18'!Std4DateOfXferFromAnotherDahs)</f>
        <v>1</v>
      </c>
      <c r="W97" s="106" t="str">
        <f>IF('IWP18'!Std4dot1aNotCalc = 0, "", 'IWP18'!Std4dot1aNotCalc)</f>
        <v/>
      </c>
      <c r="X97" s="106" t="str">
        <f>IF('IWP18'!Std4dot1bNotCalc = 0, "", 'IWP18'!Std4dot1bNotCalc)</f>
        <v/>
      </c>
      <c r="Y97" s="106" t="str">
        <f>IF('IWP18'!Std4dot1a = 0, "", 'IWP18'!Std4dot1a)</f>
        <v/>
      </c>
      <c r="Z97" s="106" t="str">
        <f>IF('IWP18'!Std4dot1b = 0, "", 'IWP18'!Std4dot1b)</f>
        <v/>
      </c>
      <c r="AA97" s="106" t="str">
        <f>IF('IWP18'!Std4dot1 = 0, "", 'IWP18'!Std4dot1)</f>
        <v/>
      </c>
      <c r="AB97" s="106" t="str">
        <f>IF('IWP18'!Std4dot2NotCalc = 0, "", 'IWP18'!Std4dot2NotCalc)</f>
        <v/>
      </c>
      <c r="AC97" s="106" t="str">
        <f>IF('IWP18'!Std4dot2 = 0, "", 'IWP18'!Std4dot2)</f>
        <v/>
      </c>
      <c r="AD97" s="106" t="str">
        <f>IF('IWP18'!Std4dot3NotCalc = 0, "", 'IWP18'!Std4dot3NotCalc)</f>
        <v/>
      </c>
      <c r="AE97" s="106" t="str">
        <f>IF('IWP18'!Std4dot3a = 0, "", 'IWP18'!Std4dot3a)</f>
        <v/>
      </c>
      <c r="AF97" s="106" t="str">
        <f>IF('IWP18'!Std4dot3b = 0, "", 'IWP18'!Std4dot3b)</f>
        <v/>
      </c>
      <c r="AG97" s="106" t="str">
        <f>IF('IWP18'!Std4dot3c = 0, "", 'IWP18'!Std4dot3c)</f>
        <v/>
      </c>
      <c r="AH97" s="106" t="str">
        <f>IF('IWP18'!Std4dot3d = 0, "", 'IWP18'!Std4dot3d)</f>
        <v/>
      </c>
      <c r="AI97" s="106" t="str">
        <f>IF('IWP18'!Std4dot3 = 0, "", 'IWP18'!Std4dot3)</f>
        <v/>
      </c>
      <c r="AJ97" s="106" t="str">
        <f>IF('IWP18'!Std4dot4a = 0, "", 'IWP18'!Std4dot4a)</f>
        <v/>
      </c>
      <c r="AK97" s="106" t="str">
        <f>IF('IWP18'!Std4dot4b = 0, "", 'IWP18'!Std4dot4b)</f>
        <v/>
      </c>
      <c r="AL97" s="106" t="str">
        <f>IF('IWP18'!Std4dot4 = 0, "", 'IWP18'!Std4dot4)</f>
        <v/>
      </c>
      <c r="AM97" s="106" t="str">
        <f>IF('IWP18'!Std5NotCalc = 0, "", 'IWP18'!Std5NotCalc)</f>
        <v/>
      </c>
      <c r="AN97" s="106" t="str">
        <f>IF('IWP18'!Std5dot1 = 0, "", 'IWP18'!Std5dot1)</f>
        <v>NA</v>
      </c>
      <c r="AO97" s="106" t="str">
        <f>IF('IWP18'!Std5dot2Mo1Ans = 0, "", 'IWP18'!Std5dot2Mo1Ans)</f>
        <v/>
      </c>
      <c r="AP97" s="107">
        <f>IF('IWP18'!Std5dot2Mo1Date=DATE(1900,1,0), DATE(1900,1,1),'IWP18'!Std5dot2Mo1Date)</f>
        <v>1</v>
      </c>
      <c r="AQ97" s="106" t="str">
        <f>IF('IWP18'!Std5dot2Mo2Ans = 0, "", 'IWP18'!Std5dot2Mo2Ans)</f>
        <v/>
      </c>
      <c r="AR97" s="107">
        <f>IF('IWP18'!Std5dot2Mo2Date=DATE(1900,1,0), DATE(1900,1,1),'IWP18'!Std5dot2Mo2Date)</f>
        <v>1</v>
      </c>
      <c r="AS97" s="106" t="str">
        <f>IF('IWP18'!Std5dot2 = 0, "", 'IWP18'!Std5dot2)</f>
        <v/>
      </c>
      <c r="AT97" s="106" t="str">
        <f>IF('IWP18'!Std5dot3Mo1Ans = 0, "", 'IWP18'!Std5dot3Mo1Ans)</f>
        <v/>
      </c>
      <c r="AU97" s="107">
        <f>IF('IWP18'!Std5dot3Mo1Date=DATE(1900,1,0), DATE(1900,1,1),'IWP18'!Std5dot3Mo1Date)</f>
        <v>1</v>
      </c>
      <c r="AV97" s="106" t="str">
        <f>IF('IWP18'!Std5dot3Mo2Ans = 0, "", 'IWP18'!Std5dot3Mo2Ans)</f>
        <v/>
      </c>
      <c r="AW97" s="107">
        <f>IF('IWP18'!Std5dot3Mo2Date=DATE(1900,1,0), DATE(1900,1,1),'IWP18'!Std5dot3Mo2Date)</f>
        <v>1</v>
      </c>
      <c r="AX97" s="106" t="str">
        <f>IF('IWP18'!Std5dot3 = 0, "", 'IWP18'!Std5dot3)</f>
        <v>NA</v>
      </c>
      <c r="AY97" s="106" t="str">
        <f>IF('IWP18'!Std5dot4Mo1Ans = 0, "", 'IWP18'!Std5dot4Mo1Ans)</f>
        <v/>
      </c>
      <c r="AZ97" s="107">
        <f>IF('IWP18'!Std5dot4Mo1Date=DATE(1900,1,0), DATE(1900,1,1),'IWP18'!Std5dot4Mo1Date)</f>
        <v>1</v>
      </c>
      <c r="BA97" s="106" t="str">
        <f>IF('IWP18'!Std5dot4Mo2Ans = 0, "", 'IWP18'!Std5dot4Mo2Ans)</f>
        <v/>
      </c>
      <c r="BB97" s="107">
        <f>IF('IWP18'!Std5dot4Mo2Date=DATE(1900,1,0), DATE(1900,1,1),'IWP18'!Std5dot4Mo2Date)</f>
        <v>1</v>
      </c>
      <c r="BC97" s="2" t="str">
        <f>IF('IWP18'!Std5dot4 = 0, "", 'IWP18'!Std5dot4)</f>
        <v>NA</v>
      </c>
      <c r="BD97" s="2" t="str">
        <f>IF('IWP18'!Std5dot5 = 0, "", 'IWP18'!Std5dot5)</f>
        <v/>
      </c>
      <c r="BE97" s="2" t="str">
        <f>IF('IWP18'!Std5dot6 = 0, "", 'IWP18'!Std5dot6)</f>
        <v/>
      </c>
      <c r="BF97" s="106" t="str">
        <f>IF('IWP18'!Std6dot1 = 0, "", 'IWP18'!Std6dot1)</f>
        <v/>
      </c>
      <c r="BG97" s="155">
        <f>IF('IWP18'!FiscalReviewFirstMonth = DATE(1900,1,0),DATE(1900,1,1), 'IWP18'!FiscalReviewFirstMonth)</f>
        <v>1</v>
      </c>
      <c r="BH97" s="155">
        <f>IF('IWP18'!FiscalReviewSecondMonth = DATE(1900,1,0),DATE(1900,1,1), 'IWP18'!FiscalReviewSecondMonth)</f>
        <v>1</v>
      </c>
      <c r="BI97" s="107">
        <f>IF('IWP18'!Std4DateOfForm3049=DATE(1900,1,0), DATE(1900,1,1),'IWP18'!Std4DateOfForm3049)</f>
        <v>1</v>
      </c>
      <c r="BJ97" s="230">
        <f>IF('IWP18'!Std4DateForm3049SubmittedDadsRegNurse=DATE(1900,1,0), DATE(1900,1,1),'IWP18'!Std4DateForm3049SubmittedDadsRegNurse)</f>
        <v>1</v>
      </c>
    </row>
    <row r="98" spans="1:62">
      <c r="A98" s="125" t="s">
        <v>492</v>
      </c>
      <c r="B98" s="107">
        <f>IF('Samples (Print)'!D23=DATE(1900,1,0), DATE(1900,1,1),'Samples (Print)'!D23)</f>
        <v>1</v>
      </c>
      <c r="C98" s="107">
        <f>IF('Samples (Print)'!E23=DATE(1900,1,0), DATE(1900,1,1),'Samples (Print)'!E23)</f>
        <v>1</v>
      </c>
      <c r="D98" s="128">
        <f>'IWP19'!SampleNumber</f>
        <v>19</v>
      </c>
      <c r="E98" s="128">
        <f>'IWP19'!ClientID</f>
        <v>0</v>
      </c>
      <c r="F98" s="129"/>
      <c r="G98" s="129"/>
      <c r="H98" s="106" t="str">
        <f ca="1">IF('IWP19'!ContractNumber = 0, "", 'IWP19'!ContractNumber)</f>
        <v/>
      </c>
      <c r="I98" s="106" t="str">
        <f>IF('IWP19'!ServiceCode = 0, "", 'IWP19'!ServiceCode)</f>
        <v/>
      </c>
      <c r="J98" s="106" t="str">
        <f>IF('IWP19'!CompletedByLastName = 0, "", 'IWP19'!CompletedByLastName)</f>
        <v/>
      </c>
      <c r="K98" s="106" t="str">
        <f>IF('IWP19'!CompletedByFirstName = 0, "", 'IWP19'!CompletedByFirstName)</f>
        <v/>
      </c>
      <c r="L98" s="107">
        <f>IF('IWP19'!DateCompleted=DATE(1900,1,0), DATE(1900,1,1),'IWP19'!DateCompleted)</f>
        <v>1</v>
      </c>
      <c r="M98" s="107">
        <f>IF('IWP19'!Std4ReferralDate=DATE(1900,1,0), DATE(1900,1,1),'IWP19'!Std4ReferralDate)</f>
        <v>1</v>
      </c>
      <c r="N98" s="107">
        <f>IF('IWP19'!Std4BeginDate=DATE(1900,1,0), DATE(1900,1,1),'IWP19'!Std4BeginDate)</f>
        <v>1</v>
      </c>
      <c r="O98" s="107">
        <f>IF('IWP19'!Std4DateOfReceipt=DATE(1900,1,0), DATE(1900,1,1),'IWP19'!Std4DateOfReceipt)</f>
        <v>1</v>
      </c>
      <c r="P98" s="107">
        <f>IF('IWP19'!Std4FirstDayOfSvc=DATE(1900,1,0), DATE(1900,1,1),'IWP19'!Std4FirstDayOfSvc)</f>
        <v>1</v>
      </c>
      <c r="Q98" s="107">
        <f>IF('IWP19'!Std4DateOfVerbalPhysOrders=DATE(1900,1,0), DATE(1900,1,1),'IWP19'!Std4DateOfVerbalPhysOrders)</f>
        <v>1</v>
      </c>
      <c r="R98" s="107">
        <f>IF('IWP19'!Std4DateOfWrittenPhysPhysOrders=DATE(1900,1,0), DATE(1900,1,1),'IWP19'!Std4DateOfWrittenPhysPhysOrders)</f>
        <v>1</v>
      </c>
      <c r="S98" s="107">
        <f>IF('IWP19'!Std4DateOfForm3050=DATE(1900,1,0), DATE(1900,1,1),'IWP19'!Std4DateOfForm3050)</f>
        <v>1</v>
      </c>
      <c r="T98" s="107">
        <f>IF('IWP19'!Std4DateForm3050SubmittedDadsRegNurse=DATE(1900,1,0), DATE(1900,1,1),'IWP19'!Std4DateForm3050SubmittedDadsRegNurse)</f>
        <v>1</v>
      </c>
      <c r="U98" s="107">
        <f>IF('IWP19'!Std4DateForm3055SubmittedDadsRegNurse=DATE(1900,1,0), DATE(1900,1,1),'IWP19'!Std4DateForm3055SubmittedDadsRegNurse)</f>
        <v>1</v>
      </c>
      <c r="V98" s="107">
        <f>IF('IWP19'!Std4DateOfXferFromAnotherDahs=DATE(1900,1,0), DATE(1900,1,1),'IWP19'!Std4DateOfXferFromAnotherDahs)</f>
        <v>1</v>
      </c>
      <c r="W98" s="106" t="str">
        <f>IF('IWP19'!Std4dot1aNotCalc = 0, "", 'IWP19'!Std4dot1aNotCalc)</f>
        <v/>
      </c>
      <c r="X98" s="106" t="str">
        <f>IF('IWP19'!Std4dot1bNotCalc = 0, "", 'IWP19'!Std4dot1bNotCalc)</f>
        <v/>
      </c>
      <c r="Y98" s="106" t="str">
        <f>IF('IWP19'!Std4dot1a = 0, "", 'IWP19'!Std4dot1a)</f>
        <v/>
      </c>
      <c r="Z98" s="106" t="str">
        <f>IF('IWP19'!Std4dot1b = 0, "", 'IWP19'!Std4dot1b)</f>
        <v/>
      </c>
      <c r="AA98" s="106" t="str">
        <f>IF('IWP19'!Std4dot1 = 0, "", 'IWP19'!Std4dot1)</f>
        <v/>
      </c>
      <c r="AB98" s="106" t="str">
        <f>IF('IWP19'!Std4dot2NotCalc = 0, "", 'IWP19'!Std4dot2NotCalc)</f>
        <v/>
      </c>
      <c r="AC98" s="106" t="str">
        <f>IF('IWP19'!Std4dot2 = 0, "", 'IWP19'!Std4dot2)</f>
        <v/>
      </c>
      <c r="AD98" s="106" t="str">
        <f>IF('IWP19'!Std4dot3NotCalc = 0, "", 'IWP19'!Std4dot3NotCalc)</f>
        <v/>
      </c>
      <c r="AE98" s="106" t="str">
        <f>IF('IWP19'!Std4dot3a = 0, "", 'IWP19'!Std4dot3a)</f>
        <v/>
      </c>
      <c r="AF98" s="106" t="str">
        <f>IF('IWP19'!Std4dot3b = 0, "", 'IWP19'!Std4dot3b)</f>
        <v/>
      </c>
      <c r="AG98" s="106" t="str">
        <f>IF('IWP19'!Std4dot3c = 0, "", 'IWP19'!Std4dot3c)</f>
        <v/>
      </c>
      <c r="AH98" s="106" t="str">
        <f>IF('IWP19'!Std4dot3d = 0, "", 'IWP19'!Std4dot3d)</f>
        <v/>
      </c>
      <c r="AI98" s="106" t="str">
        <f>IF('IWP19'!Std4dot3 = 0, "", 'IWP19'!Std4dot3)</f>
        <v/>
      </c>
      <c r="AJ98" s="106" t="str">
        <f>IF('IWP19'!Std4dot4a = 0, "", 'IWP19'!Std4dot4a)</f>
        <v/>
      </c>
      <c r="AK98" s="106" t="str">
        <f>IF('IWP19'!Std4dot4b = 0, "", 'IWP19'!Std4dot4b)</f>
        <v/>
      </c>
      <c r="AL98" s="106" t="str">
        <f>IF('IWP19'!Std4dot4 = 0, "", 'IWP19'!Std4dot4)</f>
        <v/>
      </c>
      <c r="AM98" s="106" t="str">
        <f>IF('IWP19'!Std5NotCalc = 0, "", 'IWP19'!Std5NotCalc)</f>
        <v/>
      </c>
      <c r="AN98" s="106" t="str">
        <f>IF('IWP19'!Std5dot1 = 0, "", 'IWP19'!Std5dot1)</f>
        <v>NA</v>
      </c>
      <c r="AO98" s="106" t="str">
        <f>IF('IWP19'!Std5dot2Mo1Ans = 0, "", 'IWP19'!Std5dot2Mo1Ans)</f>
        <v/>
      </c>
      <c r="AP98" s="107">
        <f>IF('IWP19'!Std5dot2Mo1Date=DATE(1900,1,0), DATE(1900,1,1),'IWP19'!Std5dot2Mo1Date)</f>
        <v>1</v>
      </c>
      <c r="AQ98" s="106" t="str">
        <f>IF('IWP19'!Std5dot2Mo2Ans = 0, "", 'IWP19'!Std5dot2Mo2Ans)</f>
        <v/>
      </c>
      <c r="AR98" s="107">
        <f>IF('IWP19'!Std5dot2Mo2Date=DATE(1900,1,0), DATE(1900,1,1),'IWP19'!Std5dot2Mo2Date)</f>
        <v>1</v>
      </c>
      <c r="AS98" s="106" t="str">
        <f>IF('IWP19'!Std5dot2 = 0, "", 'IWP19'!Std5dot2)</f>
        <v/>
      </c>
      <c r="AT98" s="106" t="str">
        <f>IF('IWP19'!Std5dot3Mo1Ans = 0, "", 'IWP19'!Std5dot3Mo1Ans)</f>
        <v/>
      </c>
      <c r="AU98" s="107">
        <f>IF('IWP19'!Std5dot3Mo1Date=DATE(1900,1,0), DATE(1900,1,1),'IWP19'!Std5dot3Mo1Date)</f>
        <v>1</v>
      </c>
      <c r="AV98" s="106" t="str">
        <f>IF('IWP19'!Std5dot3Mo2Ans = 0, "", 'IWP19'!Std5dot3Mo2Ans)</f>
        <v/>
      </c>
      <c r="AW98" s="107">
        <f>IF('IWP19'!Std5dot3Mo2Date=DATE(1900,1,0), DATE(1900,1,1),'IWP19'!Std5dot3Mo2Date)</f>
        <v>1</v>
      </c>
      <c r="AX98" s="106" t="str">
        <f>IF('IWP19'!Std5dot3 = 0, "", 'IWP19'!Std5dot3)</f>
        <v>NA</v>
      </c>
      <c r="AY98" s="106" t="str">
        <f>IF('IWP19'!Std5dot4Mo1Ans = 0, "", 'IWP19'!Std5dot4Mo1Ans)</f>
        <v/>
      </c>
      <c r="AZ98" s="107">
        <f>IF('IWP19'!Std5dot4Mo1Date=DATE(1900,1,0), DATE(1900,1,1),'IWP19'!Std5dot4Mo1Date)</f>
        <v>1</v>
      </c>
      <c r="BA98" s="106" t="str">
        <f>IF('IWP19'!Std5dot4Mo2Ans = 0, "", 'IWP19'!Std5dot4Mo2Ans)</f>
        <v/>
      </c>
      <c r="BB98" s="107">
        <f>IF('IWP19'!Std5dot4Mo2Date=DATE(1900,1,0), DATE(1900,1,1),'IWP19'!Std5dot4Mo2Date)</f>
        <v>1</v>
      </c>
      <c r="BC98" s="2" t="str">
        <f>IF('IWP19'!Std5dot4 = 0, "", 'IWP19'!Std5dot4)</f>
        <v>NA</v>
      </c>
      <c r="BD98" s="2" t="str">
        <f>IF('IWP19'!Std5dot5 = 0, "", 'IWP19'!Std5dot5)</f>
        <v/>
      </c>
      <c r="BE98" s="2" t="str">
        <f>IF('IWP19'!Std5dot6 = 0, "", 'IWP19'!Std5dot6)</f>
        <v/>
      </c>
      <c r="BF98" s="106" t="str">
        <f>IF('IWP19'!Std6dot1 = 0, "", 'IWP19'!Std6dot1)</f>
        <v/>
      </c>
      <c r="BG98" s="155">
        <f>IF('IWP19'!FiscalReviewFirstMonth = DATE(1900,1,0),DATE(1900,1,1), 'IWP19'!FiscalReviewFirstMonth)</f>
        <v>1</v>
      </c>
      <c r="BH98" s="155">
        <f>IF('IWP19'!FiscalReviewSecondMonth = DATE(1900,1,0),DATE(1900,1,1), 'IWP19'!FiscalReviewSecondMonth)</f>
        <v>1</v>
      </c>
      <c r="BI98" s="107">
        <f>IF('IWP19'!Std4DateOfForm3049=DATE(1900,1,0), DATE(1900,1,1),'IWP19'!Std4DateOfForm3049)</f>
        <v>1</v>
      </c>
      <c r="BJ98" s="230">
        <f>IF('IWP19'!Std4DateForm3049SubmittedDadsRegNurse=DATE(1900,1,0), DATE(1900,1,1),'IWP19'!Std4DateForm3049SubmittedDadsRegNurse)</f>
        <v>1</v>
      </c>
    </row>
    <row r="99" spans="1:62">
      <c r="A99" s="125" t="s">
        <v>493</v>
      </c>
      <c r="B99" s="107">
        <f>IF('Samples (Print)'!D24=DATE(1900,1,0), DATE(1900,1,1),'Samples (Print)'!D24)</f>
        <v>1</v>
      </c>
      <c r="C99" s="107">
        <f>IF('Samples (Print)'!E24=DATE(1900,1,0), DATE(1900,1,1),'Samples (Print)'!E24)</f>
        <v>1</v>
      </c>
      <c r="D99" s="128">
        <f>'IWP20'!SampleNumber</f>
        <v>20</v>
      </c>
      <c r="E99" s="128">
        <f>'IWP20'!ClientID</f>
        <v>0</v>
      </c>
      <c r="F99" s="129"/>
      <c r="G99" s="129"/>
      <c r="H99" s="106" t="str">
        <f ca="1">IF('IWP20'!ContractNumber = 0, "", 'IWP20'!ContractNumber)</f>
        <v/>
      </c>
      <c r="I99" s="106" t="str">
        <f>IF('IWP20'!ServiceCode = 0, "", 'IWP20'!ServiceCode)</f>
        <v/>
      </c>
      <c r="J99" s="106" t="str">
        <f>IF('IWP20'!CompletedByLastName = 0, "", 'IWP20'!CompletedByLastName)</f>
        <v/>
      </c>
      <c r="K99" s="106" t="str">
        <f>IF('IWP20'!CompletedByFirstName = 0, "", 'IWP20'!CompletedByFirstName)</f>
        <v/>
      </c>
      <c r="L99" s="107">
        <f>IF('IWP20'!DateCompleted=DATE(1900,1,0), DATE(1900,1,1),'IWP20'!DateCompleted)</f>
        <v>1</v>
      </c>
      <c r="M99" s="107">
        <f>IF('IWP20'!Std4ReferralDate=DATE(1900,1,0), DATE(1900,1,1),'IWP20'!Std4ReferralDate)</f>
        <v>1</v>
      </c>
      <c r="N99" s="107">
        <f>IF('IWP20'!Std4BeginDate=DATE(1900,1,0), DATE(1900,1,1),'IWP20'!Std4BeginDate)</f>
        <v>1</v>
      </c>
      <c r="O99" s="107">
        <f>IF('IWP20'!Std4DateOfReceipt=DATE(1900,1,0), DATE(1900,1,1),'IWP20'!Std4DateOfReceipt)</f>
        <v>1</v>
      </c>
      <c r="P99" s="107">
        <f>IF('IWP20'!Std4FirstDayOfSvc=DATE(1900,1,0), DATE(1900,1,1),'IWP20'!Std4FirstDayOfSvc)</f>
        <v>1</v>
      </c>
      <c r="Q99" s="107">
        <f>IF('IWP20'!Std4DateOfVerbalPhysOrders=DATE(1900,1,0), DATE(1900,1,1),'IWP20'!Std4DateOfVerbalPhysOrders)</f>
        <v>1</v>
      </c>
      <c r="R99" s="107">
        <f>IF('IWP20'!Std4DateOfWrittenPhysPhysOrders=DATE(1900,1,0), DATE(1900,1,1),'IWP20'!Std4DateOfWrittenPhysPhysOrders)</f>
        <v>1</v>
      </c>
      <c r="S99" s="107">
        <f>IF('IWP20'!Std4DateOfForm3050=DATE(1900,1,0), DATE(1900,1,1),'IWP20'!Std4DateOfForm3050)</f>
        <v>1</v>
      </c>
      <c r="T99" s="107">
        <f>IF('IWP20'!Std4DateForm3050SubmittedDadsRegNurse=DATE(1900,1,0), DATE(1900,1,1),'IWP20'!Std4DateForm3050SubmittedDadsRegNurse)</f>
        <v>1</v>
      </c>
      <c r="U99" s="107">
        <f>IF('IWP20'!Std4DateForm3055SubmittedDadsRegNurse=DATE(1900,1,0), DATE(1900,1,1),'IWP20'!Std4DateForm3055SubmittedDadsRegNurse)</f>
        <v>1</v>
      </c>
      <c r="V99" s="107">
        <f>IF('IWP20'!Std4DateOfXferFromAnotherDahs=DATE(1900,1,0), DATE(1900,1,1),'IWP20'!Std4DateOfXferFromAnotherDahs)</f>
        <v>1</v>
      </c>
      <c r="W99" s="106" t="str">
        <f>IF('IWP20'!Std4dot1aNotCalc = 0, "", 'IWP20'!Std4dot1aNotCalc)</f>
        <v/>
      </c>
      <c r="X99" s="106" t="str">
        <f>IF('IWP20'!Std4dot1bNotCalc = 0, "", 'IWP20'!Std4dot1bNotCalc)</f>
        <v/>
      </c>
      <c r="Y99" s="106" t="str">
        <f>IF('IWP20'!Std4dot1a = 0, "", 'IWP20'!Std4dot1a)</f>
        <v/>
      </c>
      <c r="Z99" s="106" t="str">
        <f>IF('IWP20'!Std4dot1b = 0, "", 'IWP20'!Std4dot1b)</f>
        <v/>
      </c>
      <c r="AA99" s="106" t="str">
        <f>IF('IWP20'!Std4dot1 = 0, "", 'IWP20'!Std4dot1)</f>
        <v/>
      </c>
      <c r="AB99" s="106" t="str">
        <f>IF('IWP20'!Std4dot2NotCalc = 0, "", 'IWP20'!Std4dot2NotCalc)</f>
        <v/>
      </c>
      <c r="AC99" s="106" t="str">
        <f>IF('IWP20'!Std4dot2 = 0, "", 'IWP20'!Std4dot2)</f>
        <v/>
      </c>
      <c r="AD99" s="106" t="str">
        <f>IF('IWP20'!Std4dot3NotCalc = 0, "", 'IWP20'!Std4dot3NotCalc)</f>
        <v/>
      </c>
      <c r="AE99" s="106" t="str">
        <f>IF('IWP20'!Std4dot3a = 0, "", 'IWP20'!Std4dot3a)</f>
        <v/>
      </c>
      <c r="AF99" s="106" t="str">
        <f>IF('IWP20'!Std4dot3b = 0, "", 'IWP20'!Std4dot3b)</f>
        <v/>
      </c>
      <c r="AG99" s="106" t="str">
        <f>IF('IWP20'!Std4dot3c = 0, "", 'IWP20'!Std4dot3c)</f>
        <v/>
      </c>
      <c r="AH99" s="106" t="str">
        <f>IF('IWP20'!Std4dot3d = 0, "", 'IWP20'!Std4dot3d)</f>
        <v/>
      </c>
      <c r="AI99" s="106" t="str">
        <f>IF('IWP20'!Std4dot3 = 0, "", 'IWP20'!Std4dot3)</f>
        <v/>
      </c>
      <c r="AJ99" s="106" t="str">
        <f>IF('IWP20'!Std4dot4a = 0, "", 'IWP20'!Std4dot4a)</f>
        <v/>
      </c>
      <c r="AK99" s="106" t="str">
        <f>IF('IWP20'!Std4dot4b = 0, "", 'IWP20'!Std4dot4b)</f>
        <v/>
      </c>
      <c r="AL99" s="106" t="str">
        <f>IF('IWP20'!Std4dot4 = 0, "", 'IWP20'!Std4dot4)</f>
        <v/>
      </c>
      <c r="AM99" s="106" t="str">
        <f>IF('IWP20'!Std5NotCalc = 0, "", 'IWP20'!Std5NotCalc)</f>
        <v/>
      </c>
      <c r="AN99" s="106" t="str">
        <f>IF('IWP20'!Std5dot1 = 0, "", 'IWP20'!Std5dot1)</f>
        <v>NA</v>
      </c>
      <c r="AO99" s="106" t="str">
        <f>IF('IWP20'!Std5dot2Mo1Ans = 0, "", 'IWP20'!Std5dot2Mo1Ans)</f>
        <v/>
      </c>
      <c r="AP99" s="107">
        <f>IF('IWP20'!Std5dot2Mo1Date=DATE(1900,1,0), DATE(1900,1,1),'IWP20'!Std5dot2Mo1Date)</f>
        <v>1</v>
      </c>
      <c r="AQ99" s="106" t="str">
        <f>IF('IWP20'!Std5dot2Mo2Ans = 0, "", 'IWP20'!Std5dot2Mo2Ans)</f>
        <v/>
      </c>
      <c r="AR99" s="107">
        <f>IF('IWP20'!Std5dot2Mo2Date=DATE(1900,1,0), DATE(1900,1,1),'IWP20'!Std5dot2Mo2Date)</f>
        <v>1</v>
      </c>
      <c r="AS99" s="106" t="str">
        <f>IF('IWP20'!Std5dot2 = 0, "", 'IWP20'!Std5dot2)</f>
        <v/>
      </c>
      <c r="AT99" s="106" t="str">
        <f>IF('IWP20'!Std5dot3Mo1Ans = 0, "", 'IWP20'!Std5dot3Mo1Ans)</f>
        <v/>
      </c>
      <c r="AU99" s="107">
        <f>IF('IWP20'!Std5dot3Mo1Date=DATE(1900,1,0), DATE(1900,1,1),'IWP20'!Std5dot3Mo1Date)</f>
        <v>1</v>
      </c>
      <c r="AV99" s="106" t="str">
        <f>IF('IWP20'!Std5dot3Mo2Ans = 0, "", 'IWP20'!Std5dot3Mo2Ans)</f>
        <v/>
      </c>
      <c r="AW99" s="107">
        <f>IF('IWP20'!Std5dot3Mo2Date=DATE(1900,1,0), DATE(1900,1,1),'IWP20'!Std5dot3Mo2Date)</f>
        <v>1</v>
      </c>
      <c r="AX99" s="106" t="str">
        <f>IF('IWP20'!Std5dot3 = 0, "", 'IWP20'!Std5dot3)</f>
        <v>NA</v>
      </c>
      <c r="AY99" s="106" t="str">
        <f>IF('IWP20'!Std5dot4Mo1Ans = 0, "", 'IWP20'!Std5dot4Mo1Ans)</f>
        <v/>
      </c>
      <c r="AZ99" s="107">
        <f>IF('IWP20'!Std5dot4Mo1Date=DATE(1900,1,0), DATE(1900,1,1),'IWP20'!Std5dot4Mo1Date)</f>
        <v>1</v>
      </c>
      <c r="BA99" s="106" t="str">
        <f>IF('IWP20'!Std5dot4Mo2Ans = 0, "", 'IWP20'!Std5dot4Mo2Ans)</f>
        <v/>
      </c>
      <c r="BB99" s="107">
        <f>IF('IWP20'!Std5dot4Mo2Date=DATE(1900,1,0), DATE(1900,1,1),'IWP20'!Std5dot4Mo2Date)</f>
        <v>1</v>
      </c>
      <c r="BC99" s="2" t="str">
        <f>IF('IWP20'!Std5dot4 = 0, "", 'IWP20'!Std5dot4)</f>
        <v>NA</v>
      </c>
      <c r="BD99" s="2" t="str">
        <f>IF('IWP20'!Std5dot5 = 0, "", 'IWP20'!Std5dot5)</f>
        <v/>
      </c>
      <c r="BE99" s="2" t="str">
        <f>IF('IWP20'!Std5dot6 = 0, "", 'IWP20'!Std5dot6)</f>
        <v/>
      </c>
      <c r="BF99" s="106" t="str">
        <f>IF('IWP20'!Std6dot1 = 0, "", 'IWP20'!Std6dot1)</f>
        <v/>
      </c>
      <c r="BG99" s="155">
        <f>IF('IWP20'!FiscalReviewFirstMonth = DATE(1900,1,0),DATE(1900,1,1), 'IWP20'!FiscalReviewFirstMonth)</f>
        <v>1</v>
      </c>
      <c r="BH99" s="155">
        <f>IF('IWP20'!FiscalReviewSecondMonth = DATE(1900,1,0),DATE(1900,1,1), 'IWP20'!FiscalReviewSecondMonth)</f>
        <v>1</v>
      </c>
      <c r="BI99" s="107">
        <f>IF('IWP20'!Std4DateOfForm3049=DATE(1900,1,0), DATE(1900,1,1),'IWP20'!Std4DateOfForm3049)</f>
        <v>1</v>
      </c>
      <c r="BJ99" s="230">
        <f>IF('IWP20'!Std4DateForm3049SubmittedDadsRegNurse=DATE(1900,1,0), DATE(1900,1,1),'IWP20'!Std4DateForm3049SubmittedDadsRegNurse)</f>
        <v>1</v>
      </c>
    </row>
    <row r="100" spans="1:62">
      <c r="A100" s="125" t="s">
        <v>494</v>
      </c>
      <c r="B100" s="107">
        <f>IF('Samples (Print)'!D25=DATE(1900,1,0), DATE(1900,1,1),'Samples (Print)'!D25)</f>
        <v>1</v>
      </c>
      <c r="C100" s="107">
        <f>IF('Samples (Print)'!E25=DATE(1900,1,0), DATE(1900,1,1),'Samples (Print)'!E25)</f>
        <v>1</v>
      </c>
      <c r="D100" s="128">
        <f>'IWP21'!SampleNumber</f>
        <v>21</v>
      </c>
      <c r="E100" s="128">
        <f>'IWP21'!ClientID</f>
        <v>0</v>
      </c>
      <c r="F100" s="129"/>
      <c r="G100" s="129"/>
      <c r="H100" s="106" t="str">
        <f ca="1">IF('IWP21'!ContractNumber = 0, "", 'IWP21'!ContractNumber)</f>
        <v/>
      </c>
      <c r="I100" s="106" t="str">
        <f>IF('IWP21'!ServiceCode = 0, "", 'IWP21'!ServiceCode)</f>
        <v/>
      </c>
      <c r="J100" s="106" t="str">
        <f>IF('IWP21'!CompletedByLastName = 0, "", 'IWP21'!CompletedByLastName)</f>
        <v/>
      </c>
      <c r="K100" s="106" t="str">
        <f>IF('IWP21'!CompletedByFirstName = 0, "", 'IWP21'!CompletedByFirstName)</f>
        <v/>
      </c>
      <c r="L100" s="107">
        <f>IF('IWP21'!DateCompleted=DATE(1900,1,0), DATE(1900,1,1),'IWP21'!DateCompleted)</f>
        <v>1</v>
      </c>
      <c r="M100" s="107">
        <f>IF('IWP21'!Std4ReferralDate=DATE(1900,1,0), DATE(1900,1,1),'IWP21'!Std4ReferralDate)</f>
        <v>1</v>
      </c>
      <c r="N100" s="107">
        <f>IF('IWP21'!Std4BeginDate=DATE(1900,1,0), DATE(1900,1,1),'IWP21'!Std4BeginDate)</f>
        <v>1</v>
      </c>
      <c r="O100" s="107">
        <f>IF('IWP21'!Std4DateOfReceipt=DATE(1900,1,0), DATE(1900,1,1),'IWP21'!Std4DateOfReceipt)</f>
        <v>1</v>
      </c>
      <c r="P100" s="107">
        <f>IF('IWP21'!Std4FirstDayOfSvc=DATE(1900,1,0), DATE(1900,1,1),'IWP21'!Std4FirstDayOfSvc)</f>
        <v>1</v>
      </c>
      <c r="Q100" s="107">
        <f>IF('IWP21'!Std4DateOfVerbalPhysOrders=DATE(1900,1,0), DATE(1900,1,1),'IWP21'!Std4DateOfVerbalPhysOrders)</f>
        <v>1</v>
      </c>
      <c r="R100" s="107">
        <f>IF('IWP21'!Std4DateOfWrittenPhysPhysOrders=DATE(1900,1,0), DATE(1900,1,1),'IWP21'!Std4DateOfWrittenPhysPhysOrders)</f>
        <v>1</v>
      </c>
      <c r="S100" s="107">
        <f>IF('IWP21'!Std4DateOfForm3050=DATE(1900,1,0), DATE(1900,1,1),'IWP21'!Std4DateOfForm3050)</f>
        <v>1</v>
      </c>
      <c r="T100" s="107">
        <f>IF('IWP21'!Std4DateForm3050SubmittedDadsRegNurse=DATE(1900,1,0), DATE(1900,1,1),'IWP21'!Std4DateForm3050SubmittedDadsRegNurse)</f>
        <v>1</v>
      </c>
      <c r="U100" s="107">
        <f>IF('IWP21'!Std4DateForm3055SubmittedDadsRegNurse=DATE(1900,1,0), DATE(1900,1,1),'IWP21'!Std4DateForm3055SubmittedDadsRegNurse)</f>
        <v>1</v>
      </c>
      <c r="V100" s="107">
        <f>IF('IWP21'!Std4DateOfXferFromAnotherDahs=DATE(1900,1,0), DATE(1900,1,1),'IWP21'!Std4DateOfXferFromAnotherDahs)</f>
        <v>1</v>
      </c>
      <c r="W100" s="106" t="str">
        <f>IF('IWP21'!Std4dot1aNotCalc = 0, "", 'IWP21'!Std4dot1aNotCalc)</f>
        <v/>
      </c>
      <c r="X100" s="106" t="str">
        <f>IF('IWP21'!Std4dot1bNotCalc = 0, "", 'IWP21'!Std4dot1bNotCalc)</f>
        <v/>
      </c>
      <c r="Y100" s="106" t="str">
        <f>IF('IWP21'!Std4dot1a = 0, "", 'IWP21'!Std4dot1a)</f>
        <v/>
      </c>
      <c r="Z100" s="106" t="str">
        <f>IF('IWP21'!Std4dot1b = 0, "", 'IWP21'!Std4dot1b)</f>
        <v/>
      </c>
      <c r="AA100" s="106" t="str">
        <f>IF('IWP21'!Std4dot1 = 0, "", 'IWP21'!Std4dot1)</f>
        <v/>
      </c>
      <c r="AB100" s="106" t="str">
        <f>IF('IWP21'!Std4dot2NotCalc = 0, "", 'IWP21'!Std4dot2NotCalc)</f>
        <v/>
      </c>
      <c r="AC100" s="106" t="str">
        <f>IF('IWP21'!Std4dot2 = 0, "", 'IWP21'!Std4dot2)</f>
        <v/>
      </c>
      <c r="AD100" s="106" t="str">
        <f>IF('IWP21'!Std4dot3NotCalc = 0, "", 'IWP21'!Std4dot3NotCalc)</f>
        <v/>
      </c>
      <c r="AE100" s="106" t="str">
        <f>IF('IWP21'!Std4dot3a = 0, "", 'IWP21'!Std4dot3a)</f>
        <v/>
      </c>
      <c r="AF100" s="106" t="str">
        <f>IF('IWP21'!Std4dot3b = 0, "", 'IWP21'!Std4dot3b)</f>
        <v/>
      </c>
      <c r="AG100" s="106" t="str">
        <f>IF('IWP21'!Std4dot3c = 0, "", 'IWP21'!Std4dot3c)</f>
        <v/>
      </c>
      <c r="AH100" s="106" t="str">
        <f>IF('IWP21'!Std4dot3d = 0, "", 'IWP21'!Std4dot3d)</f>
        <v/>
      </c>
      <c r="AI100" s="106" t="str">
        <f>IF('IWP21'!Std4dot3 = 0, "", 'IWP21'!Std4dot3)</f>
        <v/>
      </c>
      <c r="AJ100" s="106" t="str">
        <f>IF('IWP21'!Std4dot4a = 0, "", 'IWP21'!Std4dot4a)</f>
        <v/>
      </c>
      <c r="AK100" s="106" t="str">
        <f>IF('IWP21'!Std4dot4b = 0, "", 'IWP21'!Std4dot4b)</f>
        <v/>
      </c>
      <c r="AL100" s="106" t="str">
        <f>IF('IWP21'!Std4dot4 = 0, "", 'IWP21'!Std4dot4)</f>
        <v/>
      </c>
      <c r="AM100" s="106" t="str">
        <f>IF('IWP21'!Std5NotCalc = 0, "", 'IWP21'!Std5NotCalc)</f>
        <v/>
      </c>
      <c r="AN100" s="106" t="str">
        <f>IF('IWP21'!Std5dot1 = 0, "", 'IWP21'!Std5dot1)</f>
        <v>NA</v>
      </c>
      <c r="AO100" s="106" t="str">
        <f>IF('IWP21'!Std5dot2Mo1Ans = 0, "", 'IWP21'!Std5dot2Mo1Ans)</f>
        <v/>
      </c>
      <c r="AP100" s="107">
        <f>IF('IWP21'!Std5dot2Mo1Date=DATE(1900,1,0), DATE(1900,1,1),'IWP21'!Std5dot2Mo1Date)</f>
        <v>1</v>
      </c>
      <c r="AQ100" s="106" t="str">
        <f>IF('IWP21'!Std5dot2Mo2Ans = 0, "", 'IWP21'!Std5dot2Mo2Ans)</f>
        <v/>
      </c>
      <c r="AR100" s="107">
        <f>IF('IWP21'!Std5dot2Mo2Date=DATE(1900,1,0), DATE(1900,1,1),'IWP21'!Std5dot2Mo2Date)</f>
        <v>1</v>
      </c>
      <c r="AS100" s="106" t="str">
        <f>IF('IWP21'!Std5dot2 = 0, "", 'IWP21'!Std5dot2)</f>
        <v/>
      </c>
      <c r="AT100" s="106" t="str">
        <f>IF('IWP21'!Std5dot3Mo1Ans = 0, "", 'IWP21'!Std5dot3Mo1Ans)</f>
        <v/>
      </c>
      <c r="AU100" s="107">
        <f>IF('IWP21'!Std5dot3Mo1Date=DATE(1900,1,0), DATE(1900,1,1),'IWP21'!Std5dot3Mo1Date)</f>
        <v>1</v>
      </c>
      <c r="AV100" s="106" t="str">
        <f>IF('IWP21'!Std5dot3Mo2Ans = 0, "", 'IWP21'!Std5dot3Mo2Ans)</f>
        <v/>
      </c>
      <c r="AW100" s="107">
        <f>IF('IWP21'!Std5dot3Mo2Date=DATE(1900,1,0), DATE(1900,1,1),'IWP21'!Std5dot3Mo2Date)</f>
        <v>1</v>
      </c>
      <c r="AX100" s="106" t="str">
        <f>IF('IWP21'!Std5dot3 = 0, "", 'IWP21'!Std5dot3)</f>
        <v>NA</v>
      </c>
      <c r="AY100" s="106" t="str">
        <f>IF('IWP21'!Std5dot4Mo1Ans = 0, "", 'IWP21'!Std5dot4Mo1Ans)</f>
        <v/>
      </c>
      <c r="AZ100" s="107">
        <f>IF('IWP21'!Std5dot4Mo1Date=DATE(1900,1,0), DATE(1900,1,1),'IWP21'!Std5dot4Mo1Date)</f>
        <v>1</v>
      </c>
      <c r="BA100" s="106" t="str">
        <f>IF('IWP21'!Std5dot4Mo2Ans = 0, "", 'IWP21'!Std5dot4Mo2Ans)</f>
        <v/>
      </c>
      <c r="BB100" s="107">
        <f>IF('IWP21'!Std5dot4Mo2Date=DATE(1900,1,0), DATE(1900,1,1),'IWP21'!Std5dot4Mo2Date)</f>
        <v>1</v>
      </c>
      <c r="BC100" s="2" t="str">
        <f>IF('IWP21'!Std5dot4 = 0, "", 'IWP21'!Std5dot4)</f>
        <v>NA</v>
      </c>
      <c r="BD100" s="2" t="str">
        <f>IF('IWP21'!Std5dot5 = 0, "", 'IWP21'!Std5dot5)</f>
        <v/>
      </c>
      <c r="BE100" s="2" t="str">
        <f>IF('IWP21'!Std5dot6 = 0, "", 'IWP21'!Std5dot6)</f>
        <v/>
      </c>
      <c r="BF100" s="106" t="str">
        <f>IF('IWP21'!Std6dot1 = 0, "", 'IWP21'!Std6dot1)</f>
        <v/>
      </c>
      <c r="BG100" s="155">
        <f>IF('IWP21'!FiscalReviewFirstMonth = DATE(1900,1,0),DATE(1900,1,1), 'IWP21'!FiscalReviewFirstMonth)</f>
        <v>1</v>
      </c>
      <c r="BH100" s="155">
        <f>IF('IWP21'!FiscalReviewSecondMonth = DATE(1900,1,0),DATE(1900,1,1), 'IWP21'!FiscalReviewSecondMonth)</f>
        <v>1</v>
      </c>
      <c r="BI100" s="107">
        <f>IF('IWP21'!Std4DateOfForm3049=DATE(1900,1,0), DATE(1900,1,1),'IWP21'!Std4DateOfForm3049)</f>
        <v>1</v>
      </c>
      <c r="BJ100" s="230">
        <f>IF('IWP21'!Std4DateForm3049SubmittedDadsRegNurse=DATE(1900,1,0), DATE(1900,1,1),'IWP21'!Std4DateForm3049SubmittedDadsRegNurse)</f>
        <v>1</v>
      </c>
    </row>
    <row r="101" spans="1:62">
      <c r="A101" s="125" t="s">
        <v>495</v>
      </c>
      <c r="B101" s="107">
        <f>IF('Samples (Print)'!D26=DATE(1900,1,0), DATE(1900,1,1),'Samples (Print)'!D26)</f>
        <v>1</v>
      </c>
      <c r="C101" s="107">
        <f>IF('Samples (Print)'!E26=DATE(1900,1,0), DATE(1900,1,1),'Samples (Print)'!E26)</f>
        <v>1</v>
      </c>
      <c r="D101" s="128">
        <f>'IWP22'!SampleNumber</f>
        <v>22</v>
      </c>
      <c r="E101" s="128">
        <f>'IWP22'!ClientID</f>
        <v>0</v>
      </c>
      <c r="F101" s="129"/>
      <c r="G101" s="129"/>
      <c r="H101" s="106" t="str">
        <f ca="1">IF('IWP22'!ContractNumber = 0, "", 'IWP22'!ContractNumber)</f>
        <v/>
      </c>
      <c r="I101" s="106" t="str">
        <f>IF('IWP22'!ServiceCode = 0, "", 'IWP22'!ServiceCode)</f>
        <v/>
      </c>
      <c r="J101" s="106" t="str">
        <f>IF('IWP22'!CompletedByLastName = 0, "", 'IWP22'!CompletedByLastName)</f>
        <v/>
      </c>
      <c r="K101" s="106" t="str">
        <f>IF('IWP22'!CompletedByFirstName = 0, "", 'IWP22'!CompletedByFirstName)</f>
        <v/>
      </c>
      <c r="L101" s="107">
        <f>IF('IWP22'!DateCompleted=DATE(1900,1,0), DATE(1900,1,1),'IWP22'!DateCompleted)</f>
        <v>1</v>
      </c>
      <c r="M101" s="107">
        <f>IF('IWP22'!Std4ReferralDate=DATE(1900,1,0), DATE(1900,1,1),'IWP22'!Std4ReferralDate)</f>
        <v>1</v>
      </c>
      <c r="N101" s="107">
        <f>IF('IWP22'!Std4BeginDate=DATE(1900,1,0), DATE(1900,1,1),'IWP22'!Std4BeginDate)</f>
        <v>1</v>
      </c>
      <c r="O101" s="107">
        <f>IF('IWP22'!Std4DateOfReceipt=DATE(1900,1,0), DATE(1900,1,1),'IWP22'!Std4DateOfReceipt)</f>
        <v>1</v>
      </c>
      <c r="P101" s="107">
        <f>IF('IWP22'!Std4FirstDayOfSvc=DATE(1900,1,0), DATE(1900,1,1),'IWP22'!Std4FirstDayOfSvc)</f>
        <v>1</v>
      </c>
      <c r="Q101" s="107">
        <f>IF('IWP22'!Std4DateOfVerbalPhysOrders=DATE(1900,1,0), DATE(1900,1,1),'IWP22'!Std4DateOfVerbalPhysOrders)</f>
        <v>1</v>
      </c>
      <c r="R101" s="107">
        <f>IF('IWP22'!Std4DateOfWrittenPhysPhysOrders=DATE(1900,1,0), DATE(1900,1,1),'IWP22'!Std4DateOfWrittenPhysPhysOrders)</f>
        <v>1</v>
      </c>
      <c r="S101" s="107">
        <f>IF('IWP22'!Std4DateOfForm3050=DATE(1900,1,0), DATE(1900,1,1),'IWP22'!Std4DateOfForm3050)</f>
        <v>1</v>
      </c>
      <c r="T101" s="107">
        <f>IF('IWP22'!Std4DateForm3050SubmittedDadsRegNurse=DATE(1900,1,0), DATE(1900,1,1),'IWP22'!Std4DateForm3050SubmittedDadsRegNurse)</f>
        <v>1</v>
      </c>
      <c r="U101" s="107">
        <f>IF('IWP22'!Std4DateForm3055SubmittedDadsRegNurse=DATE(1900,1,0), DATE(1900,1,1),'IWP22'!Std4DateForm3055SubmittedDadsRegNurse)</f>
        <v>1</v>
      </c>
      <c r="V101" s="107">
        <f>IF('IWP22'!Std4DateOfXferFromAnotherDahs=DATE(1900,1,0), DATE(1900,1,1),'IWP22'!Std4DateOfXferFromAnotherDahs)</f>
        <v>1</v>
      </c>
      <c r="W101" s="106" t="str">
        <f>IF('IWP22'!Std4dot1aNotCalc = 0, "", 'IWP22'!Std4dot1aNotCalc)</f>
        <v/>
      </c>
      <c r="X101" s="106" t="str">
        <f>IF('IWP22'!Std4dot1bNotCalc = 0, "", 'IWP22'!Std4dot1bNotCalc)</f>
        <v/>
      </c>
      <c r="Y101" s="106" t="str">
        <f>IF('IWP22'!Std4dot1a = 0, "", 'IWP22'!Std4dot1a)</f>
        <v/>
      </c>
      <c r="Z101" s="106" t="str">
        <f>IF('IWP22'!Std4dot1b = 0, "", 'IWP22'!Std4dot1b)</f>
        <v/>
      </c>
      <c r="AA101" s="106" t="str">
        <f>IF('IWP22'!Std4dot1 = 0, "", 'IWP22'!Std4dot1)</f>
        <v/>
      </c>
      <c r="AB101" s="106" t="str">
        <f>IF('IWP22'!Std4dot2NotCalc = 0, "", 'IWP22'!Std4dot2NotCalc)</f>
        <v/>
      </c>
      <c r="AC101" s="106" t="str">
        <f>IF('IWP22'!Std4dot2 = 0, "", 'IWP22'!Std4dot2)</f>
        <v/>
      </c>
      <c r="AD101" s="106" t="str">
        <f>IF('IWP22'!Std4dot3NotCalc = 0, "", 'IWP22'!Std4dot3NotCalc)</f>
        <v/>
      </c>
      <c r="AE101" s="106" t="str">
        <f>IF('IWP22'!Std4dot3a = 0, "", 'IWP22'!Std4dot3a)</f>
        <v/>
      </c>
      <c r="AF101" s="106" t="str">
        <f>IF('IWP22'!Std4dot3b = 0, "", 'IWP22'!Std4dot3b)</f>
        <v/>
      </c>
      <c r="AG101" s="106" t="str">
        <f>IF('IWP22'!Std4dot3c = 0, "", 'IWP22'!Std4dot3c)</f>
        <v/>
      </c>
      <c r="AH101" s="106" t="str">
        <f>IF('IWP22'!Std4dot3d = 0, "", 'IWP22'!Std4dot3d)</f>
        <v/>
      </c>
      <c r="AI101" s="106" t="str">
        <f>IF('IWP22'!Std4dot3 = 0, "", 'IWP22'!Std4dot3)</f>
        <v/>
      </c>
      <c r="AJ101" s="106" t="str">
        <f>IF('IWP22'!Std4dot4a = 0, "", 'IWP22'!Std4dot4a)</f>
        <v/>
      </c>
      <c r="AK101" s="106" t="str">
        <f>IF('IWP22'!Std4dot4b = 0, "", 'IWP22'!Std4dot4b)</f>
        <v/>
      </c>
      <c r="AL101" s="106" t="str">
        <f>IF('IWP22'!Std4dot4 = 0, "", 'IWP22'!Std4dot4)</f>
        <v/>
      </c>
      <c r="AM101" s="106" t="str">
        <f>IF('IWP22'!Std5NotCalc = 0, "", 'IWP22'!Std5NotCalc)</f>
        <v/>
      </c>
      <c r="AN101" s="106" t="str">
        <f>IF('IWP22'!Std5dot1 = 0, "", 'IWP22'!Std5dot1)</f>
        <v>NA</v>
      </c>
      <c r="AO101" s="106" t="str">
        <f>IF('IWP22'!Std5dot2Mo1Ans = 0, "", 'IWP22'!Std5dot2Mo1Ans)</f>
        <v/>
      </c>
      <c r="AP101" s="107">
        <f>IF('IWP22'!Std5dot2Mo1Date=DATE(1900,1,0), DATE(1900,1,1),'IWP22'!Std5dot2Mo1Date)</f>
        <v>1</v>
      </c>
      <c r="AQ101" s="106" t="str">
        <f>IF('IWP22'!Std5dot2Mo2Ans = 0, "", 'IWP22'!Std5dot2Mo2Ans)</f>
        <v/>
      </c>
      <c r="AR101" s="107">
        <f>IF('IWP22'!Std5dot2Mo2Date=DATE(1900,1,0), DATE(1900,1,1),'IWP22'!Std5dot2Mo2Date)</f>
        <v>1</v>
      </c>
      <c r="AS101" s="106" t="str">
        <f>IF('IWP22'!Std5dot2 = 0, "", 'IWP22'!Std5dot2)</f>
        <v/>
      </c>
      <c r="AT101" s="106" t="str">
        <f>IF('IWP22'!Std5dot3Mo1Ans = 0, "", 'IWP22'!Std5dot3Mo1Ans)</f>
        <v/>
      </c>
      <c r="AU101" s="107">
        <f>IF('IWP22'!Std5dot3Mo1Date=DATE(1900,1,0), DATE(1900,1,1),'IWP22'!Std5dot3Mo1Date)</f>
        <v>1</v>
      </c>
      <c r="AV101" s="106" t="str">
        <f>IF('IWP22'!Std5dot3Mo2Ans = 0, "", 'IWP22'!Std5dot3Mo2Ans)</f>
        <v/>
      </c>
      <c r="AW101" s="107">
        <f>IF('IWP22'!Std5dot3Mo2Date=DATE(1900,1,0), DATE(1900,1,1),'IWP22'!Std5dot3Mo2Date)</f>
        <v>1</v>
      </c>
      <c r="AX101" s="106" t="str">
        <f>IF('IWP22'!Std5dot3 = 0, "", 'IWP22'!Std5dot3)</f>
        <v>NA</v>
      </c>
      <c r="AY101" s="106" t="str">
        <f>IF('IWP22'!Std5dot4Mo1Ans = 0, "", 'IWP22'!Std5dot4Mo1Ans)</f>
        <v/>
      </c>
      <c r="AZ101" s="107">
        <f>IF('IWP22'!Std5dot4Mo1Date=DATE(1900,1,0), DATE(1900,1,1),'IWP22'!Std5dot4Mo1Date)</f>
        <v>1</v>
      </c>
      <c r="BA101" s="106" t="str">
        <f>IF('IWP22'!Std5dot4Mo2Ans = 0, "", 'IWP22'!Std5dot4Mo2Ans)</f>
        <v/>
      </c>
      <c r="BB101" s="107">
        <f>IF('IWP22'!Std5dot4Mo2Date=DATE(1900,1,0), DATE(1900,1,1),'IWP22'!Std5dot4Mo2Date)</f>
        <v>1</v>
      </c>
      <c r="BC101" s="2" t="str">
        <f>IF('IWP22'!Std5dot4 = 0, "", 'IWP22'!Std5dot4)</f>
        <v>NA</v>
      </c>
      <c r="BD101" s="2" t="str">
        <f>IF('IWP22'!Std5dot5 = 0, "", 'IWP22'!Std5dot5)</f>
        <v/>
      </c>
      <c r="BE101" s="2" t="str">
        <f>IF('IWP22'!Std5dot6 = 0, "", 'IWP22'!Std5dot6)</f>
        <v/>
      </c>
      <c r="BF101" s="106" t="str">
        <f>IF('IWP22'!Std6dot1 = 0, "", 'IWP22'!Std6dot1)</f>
        <v/>
      </c>
      <c r="BG101" s="155">
        <f>IF('IWP22'!FiscalReviewFirstMonth = DATE(1900,1,0),DATE(1900,1,1), 'IWP22'!FiscalReviewFirstMonth)</f>
        <v>1</v>
      </c>
      <c r="BH101" s="155">
        <f>IF('IWP22'!FiscalReviewSecondMonth = DATE(1900,1,0),DATE(1900,1,1), 'IWP22'!FiscalReviewSecondMonth)</f>
        <v>1</v>
      </c>
      <c r="BI101" s="107">
        <f>IF('IWP22'!Std4DateOfForm3049=DATE(1900,1,0), DATE(1900,1,1),'IWP22'!Std4DateOfForm3049)</f>
        <v>1</v>
      </c>
      <c r="BJ101" s="230">
        <f>IF('IWP22'!Std4DateForm3049SubmittedDadsRegNurse=DATE(1900,1,0), DATE(1900,1,1),'IWP22'!Std4DateForm3049SubmittedDadsRegNurse)</f>
        <v>1</v>
      </c>
    </row>
    <row r="102" spans="1:62">
      <c r="A102" s="125" t="s">
        <v>496</v>
      </c>
      <c r="B102" s="107">
        <f>IF('Samples (Print)'!D27=DATE(1900,1,0), DATE(1900,1,1),'Samples (Print)'!D27)</f>
        <v>1</v>
      </c>
      <c r="C102" s="107">
        <f>IF('Samples (Print)'!E27=DATE(1900,1,0), DATE(1900,1,1),'Samples (Print)'!E27)</f>
        <v>1</v>
      </c>
      <c r="D102" s="128">
        <f>'IWP23'!SampleNumber</f>
        <v>23</v>
      </c>
      <c r="E102" s="128">
        <f>'IWP23'!ClientID</f>
        <v>0</v>
      </c>
      <c r="F102" s="129"/>
      <c r="G102" s="129"/>
      <c r="H102" s="106" t="str">
        <f ca="1">IF('IWP23'!ContractNumber = 0, "", 'IWP23'!ContractNumber)</f>
        <v/>
      </c>
      <c r="I102" s="106" t="str">
        <f>IF('IWP23'!ServiceCode = 0, "", 'IWP23'!ServiceCode)</f>
        <v/>
      </c>
      <c r="J102" s="106" t="str">
        <f>IF('IWP23'!CompletedByLastName = 0, "", 'IWP23'!CompletedByLastName)</f>
        <v/>
      </c>
      <c r="K102" s="106" t="str">
        <f>IF('IWP23'!CompletedByFirstName = 0, "", 'IWP23'!CompletedByFirstName)</f>
        <v/>
      </c>
      <c r="L102" s="107">
        <f>IF('IWP23'!DateCompleted=DATE(1900,1,0), DATE(1900,1,1),'IWP23'!DateCompleted)</f>
        <v>1</v>
      </c>
      <c r="M102" s="107">
        <f>IF('IWP23'!Std4ReferralDate=DATE(1900,1,0), DATE(1900,1,1),'IWP23'!Std4ReferralDate)</f>
        <v>1</v>
      </c>
      <c r="N102" s="107">
        <f>IF('IWP23'!Std4BeginDate=DATE(1900,1,0), DATE(1900,1,1),'IWP23'!Std4BeginDate)</f>
        <v>1</v>
      </c>
      <c r="O102" s="107">
        <f>IF('IWP23'!Std4DateOfReceipt=DATE(1900,1,0), DATE(1900,1,1),'IWP23'!Std4DateOfReceipt)</f>
        <v>1</v>
      </c>
      <c r="P102" s="107">
        <f>IF('IWP23'!Std4FirstDayOfSvc=DATE(1900,1,0), DATE(1900,1,1),'IWP23'!Std4FirstDayOfSvc)</f>
        <v>1</v>
      </c>
      <c r="Q102" s="107">
        <f>IF('IWP23'!Std4DateOfVerbalPhysOrders=DATE(1900,1,0), DATE(1900,1,1),'IWP23'!Std4DateOfVerbalPhysOrders)</f>
        <v>1</v>
      </c>
      <c r="R102" s="107">
        <f>IF('IWP23'!Std4DateOfWrittenPhysPhysOrders=DATE(1900,1,0), DATE(1900,1,1),'IWP23'!Std4DateOfWrittenPhysPhysOrders)</f>
        <v>1</v>
      </c>
      <c r="S102" s="107">
        <f>IF('IWP23'!Std4DateOfForm3050=DATE(1900,1,0), DATE(1900,1,1),'IWP23'!Std4DateOfForm3050)</f>
        <v>1</v>
      </c>
      <c r="T102" s="107">
        <f>IF('IWP23'!Std4DateForm3050SubmittedDadsRegNurse=DATE(1900,1,0), DATE(1900,1,1),'IWP23'!Std4DateForm3050SubmittedDadsRegNurse)</f>
        <v>1</v>
      </c>
      <c r="U102" s="107">
        <f>IF('IWP23'!Std4DateForm3055SubmittedDadsRegNurse=DATE(1900,1,0), DATE(1900,1,1),'IWP23'!Std4DateForm3055SubmittedDadsRegNurse)</f>
        <v>1</v>
      </c>
      <c r="V102" s="107">
        <f>IF('IWP23'!Std4DateOfXferFromAnotherDahs=DATE(1900,1,0), DATE(1900,1,1),'IWP23'!Std4DateOfXferFromAnotherDahs)</f>
        <v>1</v>
      </c>
      <c r="W102" s="106" t="str">
        <f>IF('IWP23'!Std4dot1aNotCalc = 0, "", 'IWP23'!Std4dot1aNotCalc)</f>
        <v/>
      </c>
      <c r="X102" s="106" t="str">
        <f>IF('IWP23'!Std4dot1bNotCalc = 0, "", 'IWP23'!Std4dot1bNotCalc)</f>
        <v/>
      </c>
      <c r="Y102" s="106" t="str">
        <f>IF('IWP23'!Std4dot1a = 0, "", 'IWP23'!Std4dot1a)</f>
        <v/>
      </c>
      <c r="Z102" s="106" t="str">
        <f>IF('IWP23'!Std4dot1b = 0, "", 'IWP23'!Std4dot1b)</f>
        <v/>
      </c>
      <c r="AA102" s="106" t="str">
        <f>IF('IWP23'!Std4dot1 = 0, "", 'IWP23'!Std4dot1)</f>
        <v/>
      </c>
      <c r="AB102" s="106" t="str">
        <f>IF('IWP23'!Std4dot2NotCalc = 0, "", 'IWP23'!Std4dot2NotCalc)</f>
        <v/>
      </c>
      <c r="AC102" s="106" t="str">
        <f>IF('IWP23'!Std4dot2 = 0, "", 'IWP23'!Std4dot2)</f>
        <v/>
      </c>
      <c r="AD102" s="106" t="str">
        <f>IF('IWP23'!Std4dot3NotCalc = 0, "", 'IWP23'!Std4dot3NotCalc)</f>
        <v/>
      </c>
      <c r="AE102" s="106" t="str">
        <f>IF('IWP23'!Std4dot3a = 0, "", 'IWP23'!Std4dot3a)</f>
        <v/>
      </c>
      <c r="AF102" s="106" t="str">
        <f>IF('IWP23'!Std4dot3b = 0, "", 'IWP23'!Std4dot3b)</f>
        <v/>
      </c>
      <c r="AG102" s="106" t="str">
        <f>IF('IWP23'!Std4dot3c = 0, "", 'IWP23'!Std4dot3c)</f>
        <v/>
      </c>
      <c r="AH102" s="106" t="str">
        <f>IF('IWP23'!Std4dot3d = 0, "", 'IWP23'!Std4dot3d)</f>
        <v/>
      </c>
      <c r="AI102" s="106" t="str">
        <f>IF('IWP23'!Std4dot3 = 0, "", 'IWP23'!Std4dot3)</f>
        <v/>
      </c>
      <c r="AJ102" s="106" t="str">
        <f>IF('IWP23'!Std4dot4a = 0, "", 'IWP23'!Std4dot4a)</f>
        <v/>
      </c>
      <c r="AK102" s="106" t="str">
        <f>IF('IWP23'!Std4dot4b = 0, "", 'IWP23'!Std4dot4b)</f>
        <v/>
      </c>
      <c r="AL102" s="106" t="str">
        <f>IF('IWP23'!Std4dot4 = 0, "", 'IWP23'!Std4dot4)</f>
        <v/>
      </c>
      <c r="AM102" s="106" t="str">
        <f>IF('IWP23'!Std5NotCalc = 0, "", 'IWP23'!Std5NotCalc)</f>
        <v/>
      </c>
      <c r="AN102" s="106" t="str">
        <f>IF('IWP23'!Std5dot1 = 0, "", 'IWP23'!Std5dot1)</f>
        <v>NA</v>
      </c>
      <c r="AO102" s="106" t="str">
        <f>IF('IWP23'!Std5dot2Mo1Ans = 0, "", 'IWP23'!Std5dot2Mo1Ans)</f>
        <v/>
      </c>
      <c r="AP102" s="107">
        <f>IF('IWP23'!Std5dot2Mo1Date=DATE(1900,1,0), DATE(1900,1,1),'IWP23'!Std5dot2Mo1Date)</f>
        <v>1</v>
      </c>
      <c r="AQ102" s="106" t="str">
        <f>IF('IWP23'!Std5dot2Mo2Ans = 0, "", 'IWP23'!Std5dot2Mo2Ans)</f>
        <v/>
      </c>
      <c r="AR102" s="107">
        <f>IF('IWP23'!Std5dot2Mo2Date=DATE(1900,1,0), DATE(1900,1,1),'IWP23'!Std5dot2Mo2Date)</f>
        <v>1</v>
      </c>
      <c r="AS102" s="106" t="str">
        <f>IF('IWP23'!Std5dot2 = 0, "", 'IWP23'!Std5dot2)</f>
        <v/>
      </c>
      <c r="AT102" s="106" t="str">
        <f>IF('IWP23'!Std5dot3Mo1Ans = 0, "", 'IWP23'!Std5dot3Mo1Ans)</f>
        <v/>
      </c>
      <c r="AU102" s="107">
        <f>IF('IWP23'!Std5dot3Mo1Date=DATE(1900,1,0), DATE(1900,1,1),'IWP23'!Std5dot3Mo1Date)</f>
        <v>1</v>
      </c>
      <c r="AV102" s="106" t="str">
        <f>IF('IWP23'!Std5dot3Mo2Ans = 0, "", 'IWP23'!Std5dot3Mo2Ans)</f>
        <v/>
      </c>
      <c r="AW102" s="107">
        <f>IF('IWP23'!Std5dot3Mo2Date=DATE(1900,1,0), DATE(1900,1,1),'IWP23'!Std5dot3Mo2Date)</f>
        <v>1</v>
      </c>
      <c r="AX102" s="106" t="str">
        <f>IF('IWP23'!Std5dot3 = 0, "", 'IWP23'!Std5dot3)</f>
        <v>NA</v>
      </c>
      <c r="AY102" s="106" t="str">
        <f>IF('IWP23'!Std5dot4Mo1Ans = 0, "", 'IWP23'!Std5dot4Mo1Ans)</f>
        <v/>
      </c>
      <c r="AZ102" s="107">
        <f>IF('IWP23'!Std5dot4Mo1Date=DATE(1900,1,0), DATE(1900,1,1),'IWP23'!Std5dot4Mo1Date)</f>
        <v>1</v>
      </c>
      <c r="BA102" s="106" t="str">
        <f>IF('IWP23'!Std5dot4Mo2Ans = 0, "", 'IWP23'!Std5dot4Mo2Ans)</f>
        <v/>
      </c>
      <c r="BB102" s="107">
        <f>IF('IWP23'!Std5dot4Mo2Date=DATE(1900,1,0), DATE(1900,1,1),'IWP23'!Std5dot4Mo2Date)</f>
        <v>1</v>
      </c>
      <c r="BC102" s="2" t="str">
        <f>IF('IWP23'!Std5dot4 = 0, "", 'IWP23'!Std5dot4)</f>
        <v>NA</v>
      </c>
      <c r="BD102" s="2" t="str">
        <f>IF('IWP23'!Std5dot5 = 0, "", 'IWP23'!Std5dot5)</f>
        <v/>
      </c>
      <c r="BE102" s="2" t="str">
        <f>IF('IWP23'!Std5dot6 = 0, "", 'IWP23'!Std5dot6)</f>
        <v/>
      </c>
      <c r="BF102" s="106" t="str">
        <f>IF('IWP23'!Std6dot1 = 0, "", 'IWP23'!Std6dot1)</f>
        <v/>
      </c>
      <c r="BG102" s="155">
        <f>IF('IWP23'!FiscalReviewFirstMonth = DATE(1900,1,0),DATE(1900,1,1), 'IWP23'!FiscalReviewFirstMonth)</f>
        <v>1</v>
      </c>
      <c r="BH102" s="155">
        <f>IF('IWP23'!FiscalReviewSecondMonth = DATE(1900,1,0),DATE(1900,1,1), 'IWP23'!FiscalReviewSecondMonth)</f>
        <v>1</v>
      </c>
      <c r="BI102" s="107">
        <f>IF('IWP23'!Std4DateOfForm3049=DATE(1900,1,0), DATE(1900,1,1),'IWP23'!Std4DateOfForm3049)</f>
        <v>1</v>
      </c>
      <c r="BJ102" s="230">
        <f>IF('IWP23'!Std4DateForm3049SubmittedDadsRegNurse=DATE(1900,1,0), DATE(1900,1,1),'IWP23'!Std4DateForm3049SubmittedDadsRegNurse)</f>
        <v>1</v>
      </c>
    </row>
    <row r="103" spans="1:62">
      <c r="A103" s="125" t="s">
        <v>497</v>
      </c>
      <c r="B103" s="107">
        <f>IF('Samples (Print)'!D28=DATE(1900,1,0), DATE(1900,1,1),'Samples (Print)'!D28)</f>
        <v>1</v>
      </c>
      <c r="C103" s="107">
        <f>IF('Samples (Print)'!E28=DATE(1900,1,0), DATE(1900,1,1),'Samples (Print)'!E28)</f>
        <v>1</v>
      </c>
      <c r="D103" s="128">
        <f>'IWP24'!SampleNumber</f>
        <v>24</v>
      </c>
      <c r="E103" s="128">
        <f>'IWP24'!ClientID</f>
        <v>0</v>
      </c>
      <c r="F103" s="129"/>
      <c r="G103" s="129"/>
      <c r="H103" s="106" t="str">
        <f ca="1">IF('IWP24'!ContractNumber = 0, "", 'IWP24'!ContractNumber)</f>
        <v/>
      </c>
      <c r="I103" s="106" t="str">
        <f>IF('IWP24'!ServiceCode = 0, "", 'IWP24'!ServiceCode)</f>
        <v/>
      </c>
      <c r="J103" s="106" t="str">
        <f>IF('IWP24'!CompletedByLastName = 0, "", 'IWP24'!CompletedByLastName)</f>
        <v/>
      </c>
      <c r="K103" s="106" t="str">
        <f>IF('IWP24'!CompletedByFirstName = 0, "", 'IWP24'!CompletedByFirstName)</f>
        <v/>
      </c>
      <c r="L103" s="107">
        <f>IF('IWP24'!DateCompleted=DATE(1900,1,0), DATE(1900,1,1),'IWP24'!DateCompleted)</f>
        <v>1</v>
      </c>
      <c r="M103" s="107">
        <f>IF('IWP24'!Std4ReferralDate=DATE(1900,1,0), DATE(1900,1,1),'IWP24'!Std4ReferralDate)</f>
        <v>1</v>
      </c>
      <c r="N103" s="107">
        <f>IF('IWP24'!Std4BeginDate=DATE(1900,1,0), DATE(1900,1,1),'IWP24'!Std4BeginDate)</f>
        <v>1</v>
      </c>
      <c r="O103" s="107">
        <f>IF('IWP24'!Std4DateOfReceipt=DATE(1900,1,0), DATE(1900,1,1),'IWP24'!Std4DateOfReceipt)</f>
        <v>1</v>
      </c>
      <c r="P103" s="107">
        <f>IF('IWP24'!Std4FirstDayOfSvc=DATE(1900,1,0), DATE(1900,1,1),'IWP24'!Std4FirstDayOfSvc)</f>
        <v>1</v>
      </c>
      <c r="Q103" s="107">
        <f>IF('IWP24'!Std4DateOfVerbalPhysOrders=DATE(1900,1,0), DATE(1900,1,1),'IWP24'!Std4DateOfVerbalPhysOrders)</f>
        <v>1</v>
      </c>
      <c r="R103" s="107">
        <f>IF('IWP24'!Std4DateOfWrittenPhysPhysOrders=DATE(1900,1,0), DATE(1900,1,1),'IWP24'!Std4DateOfWrittenPhysPhysOrders)</f>
        <v>1</v>
      </c>
      <c r="S103" s="107">
        <f>IF('IWP24'!Std4DateOfForm3050=DATE(1900,1,0), DATE(1900,1,1),'IWP24'!Std4DateOfForm3050)</f>
        <v>1</v>
      </c>
      <c r="T103" s="107">
        <f>IF('IWP24'!Std4DateForm3050SubmittedDadsRegNurse=DATE(1900,1,0), DATE(1900,1,1),'IWP24'!Std4DateForm3050SubmittedDadsRegNurse)</f>
        <v>1</v>
      </c>
      <c r="U103" s="107">
        <f>IF('IWP24'!Std4DateForm3055SubmittedDadsRegNurse=DATE(1900,1,0), DATE(1900,1,1),'IWP24'!Std4DateForm3055SubmittedDadsRegNurse)</f>
        <v>1</v>
      </c>
      <c r="V103" s="107">
        <f>IF('IWP24'!Std4DateOfXferFromAnotherDahs=DATE(1900,1,0), DATE(1900,1,1),'IWP24'!Std4DateOfXferFromAnotherDahs)</f>
        <v>1</v>
      </c>
      <c r="W103" s="106" t="str">
        <f>IF('IWP24'!Std4dot1aNotCalc = 0, "", 'IWP24'!Std4dot1aNotCalc)</f>
        <v/>
      </c>
      <c r="X103" s="106" t="str">
        <f>IF('IWP24'!Std4dot1bNotCalc = 0, "", 'IWP24'!Std4dot1bNotCalc)</f>
        <v/>
      </c>
      <c r="Y103" s="106" t="str">
        <f>IF('IWP24'!Std4dot1a = 0, "", 'IWP24'!Std4dot1a)</f>
        <v/>
      </c>
      <c r="Z103" s="106" t="str">
        <f>IF('IWP24'!Std4dot1b = 0, "", 'IWP24'!Std4dot1b)</f>
        <v/>
      </c>
      <c r="AA103" s="106" t="str">
        <f>IF('IWP24'!Std4dot1 = 0, "", 'IWP24'!Std4dot1)</f>
        <v/>
      </c>
      <c r="AB103" s="106" t="str">
        <f>IF('IWP24'!Std4dot2NotCalc = 0, "", 'IWP24'!Std4dot2NotCalc)</f>
        <v/>
      </c>
      <c r="AC103" s="106" t="str">
        <f>IF('IWP24'!Std4dot2 = 0, "", 'IWP24'!Std4dot2)</f>
        <v/>
      </c>
      <c r="AD103" s="106" t="str">
        <f>IF('IWP24'!Std4dot3NotCalc = 0, "", 'IWP24'!Std4dot3NotCalc)</f>
        <v/>
      </c>
      <c r="AE103" s="106" t="str">
        <f>IF('IWP24'!Std4dot3a = 0, "", 'IWP24'!Std4dot3a)</f>
        <v/>
      </c>
      <c r="AF103" s="106" t="str">
        <f>IF('IWP24'!Std4dot3b = 0, "", 'IWP24'!Std4dot3b)</f>
        <v/>
      </c>
      <c r="AG103" s="106" t="str">
        <f>IF('IWP24'!Std4dot3c = 0, "", 'IWP24'!Std4dot3c)</f>
        <v/>
      </c>
      <c r="AH103" s="106" t="str">
        <f>IF('IWP24'!Std4dot3d = 0, "", 'IWP24'!Std4dot3d)</f>
        <v/>
      </c>
      <c r="AI103" s="106" t="str">
        <f>IF('IWP24'!Std4dot3 = 0, "", 'IWP24'!Std4dot3)</f>
        <v/>
      </c>
      <c r="AJ103" s="106" t="str">
        <f>IF('IWP24'!Std4dot4a = 0, "", 'IWP24'!Std4dot4a)</f>
        <v/>
      </c>
      <c r="AK103" s="106" t="str">
        <f>IF('IWP24'!Std4dot4b = 0, "", 'IWP24'!Std4dot4b)</f>
        <v/>
      </c>
      <c r="AL103" s="106" t="str">
        <f>IF('IWP24'!Std4dot4 = 0, "", 'IWP24'!Std4dot4)</f>
        <v/>
      </c>
      <c r="AM103" s="106" t="str">
        <f>IF('IWP24'!Std5NotCalc = 0, "", 'IWP24'!Std5NotCalc)</f>
        <v/>
      </c>
      <c r="AN103" s="106" t="str">
        <f>IF('IWP24'!Std5dot1 = 0, "", 'IWP24'!Std5dot1)</f>
        <v>NA</v>
      </c>
      <c r="AO103" s="106" t="str">
        <f>IF('IWP24'!Std5dot2Mo1Ans = 0, "", 'IWP24'!Std5dot2Mo1Ans)</f>
        <v/>
      </c>
      <c r="AP103" s="107">
        <f>IF('IWP24'!Std5dot2Mo1Date=DATE(1900,1,0), DATE(1900,1,1),'IWP24'!Std5dot2Mo1Date)</f>
        <v>1</v>
      </c>
      <c r="AQ103" s="106" t="str">
        <f>IF('IWP24'!Std5dot2Mo2Ans = 0, "", 'IWP24'!Std5dot2Mo2Ans)</f>
        <v/>
      </c>
      <c r="AR103" s="107">
        <f>IF('IWP24'!Std5dot2Mo2Date=DATE(1900,1,0), DATE(1900,1,1),'IWP24'!Std5dot2Mo2Date)</f>
        <v>1</v>
      </c>
      <c r="AS103" s="106" t="str">
        <f>IF('IWP24'!Std5dot2 = 0, "", 'IWP24'!Std5dot2)</f>
        <v/>
      </c>
      <c r="AT103" s="106" t="str">
        <f>IF('IWP24'!Std5dot3Mo1Ans = 0, "", 'IWP24'!Std5dot3Mo1Ans)</f>
        <v/>
      </c>
      <c r="AU103" s="107">
        <f>IF('IWP24'!Std5dot3Mo1Date=DATE(1900,1,0), DATE(1900,1,1),'IWP24'!Std5dot3Mo1Date)</f>
        <v>1</v>
      </c>
      <c r="AV103" s="106" t="str">
        <f>IF('IWP24'!Std5dot3Mo2Ans = 0, "", 'IWP24'!Std5dot3Mo2Ans)</f>
        <v/>
      </c>
      <c r="AW103" s="107">
        <f>IF('IWP24'!Std5dot3Mo2Date=DATE(1900,1,0), DATE(1900,1,1),'IWP24'!Std5dot3Mo2Date)</f>
        <v>1</v>
      </c>
      <c r="AX103" s="106" t="str">
        <f>IF('IWP24'!Std5dot3 = 0, "", 'IWP24'!Std5dot3)</f>
        <v>NA</v>
      </c>
      <c r="AY103" s="106" t="str">
        <f>IF('IWP24'!Std5dot4Mo1Ans = 0, "", 'IWP24'!Std5dot4Mo1Ans)</f>
        <v/>
      </c>
      <c r="AZ103" s="107">
        <f>IF('IWP24'!Std5dot4Mo1Date=DATE(1900,1,0), DATE(1900,1,1),'IWP24'!Std5dot4Mo1Date)</f>
        <v>1</v>
      </c>
      <c r="BA103" s="106" t="str">
        <f>IF('IWP24'!Std5dot4Mo2Ans = 0, "", 'IWP24'!Std5dot4Mo2Ans)</f>
        <v/>
      </c>
      <c r="BB103" s="107">
        <f>IF('IWP24'!Std5dot4Mo2Date=DATE(1900,1,0), DATE(1900,1,1),'IWP24'!Std5dot4Mo2Date)</f>
        <v>1</v>
      </c>
      <c r="BC103" s="2" t="str">
        <f>IF('IWP24'!Std5dot4 = 0, "", 'IWP24'!Std5dot4)</f>
        <v>NA</v>
      </c>
      <c r="BD103" s="2" t="str">
        <f>IF('IWP24'!Std5dot5 = 0, "", 'IWP24'!Std5dot5)</f>
        <v/>
      </c>
      <c r="BE103" s="2" t="str">
        <f>IF('IWP24'!Std5dot6 = 0, "", 'IWP24'!Std5dot6)</f>
        <v/>
      </c>
      <c r="BF103" s="106" t="str">
        <f>IF('IWP24'!Std6dot1 = 0, "", 'IWP24'!Std6dot1)</f>
        <v/>
      </c>
      <c r="BG103" s="155">
        <f>IF('IWP24'!FiscalReviewFirstMonth = DATE(1900,1,0),DATE(1900,1,1), 'IWP24'!FiscalReviewFirstMonth)</f>
        <v>1</v>
      </c>
      <c r="BH103" s="155">
        <f>IF('IWP24'!FiscalReviewSecondMonth = DATE(1900,1,0),DATE(1900,1,1), 'IWP24'!FiscalReviewSecondMonth)</f>
        <v>1</v>
      </c>
      <c r="BI103" s="107">
        <f>IF('IWP24'!Std4DateOfForm3049=DATE(1900,1,0), DATE(1900,1,1),'IWP24'!Std4DateOfForm3049)</f>
        <v>1</v>
      </c>
      <c r="BJ103" s="230">
        <f>IF('IWP24'!Std4DateForm3049SubmittedDadsRegNurse=DATE(1900,1,0), DATE(1900,1,1),'IWP24'!Std4DateForm3049SubmittedDadsRegNurse)</f>
        <v>1</v>
      </c>
    </row>
    <row r="104" spans="1:62">
      <c r="A104" s="125" t="s">
        <v>498</v>
      </c>
      <c r="B104" s="107">
        <f>IF('Samples (Print)'!D29=DATE(1900,1,0), DATE(1900,1,1),'Samples (Print)'!D29)</f>
        <v>1</v>
      </c>
      <c r="C104" s="107">
        <f>IF('Samples (Print)'!E29=DATE(1900,1,0), DATE(1900,1,1),'Samples (Print)'!E29)</f>
        <v>1</v>
      </c>
      <c r="D104" s="128">
        <f>'IWP25'!SampleNumber</f>
        <v>25</v>
      </c>
      <c r="E104" s="128">
        <f>'IWP25'!ClientID</f>
        <v>0</v>
      </c>
      <c r="F104" s="129"/>
      <c r="G104" s="129"/>
      <c r="H104" s="106" t="str">
        <f ca="1">IF('IWP25'!ContractNumber = 0, "", 'IWP25'!ContractNumber)</f>
        <v/>
      </c>
      <c r="I104" s="106" t="str">
        <f>IF('IWP25'!ServiceCode = 0, "", 'IWP25'!ServiceCode)</f>
        <v/>
      </c>
      <c r="J104" s="106" t="str">
        <f>IF('IWP25'!CompletedByLastName = 0, "", 'IWP25'!CompletedByLastName)</f>
        <v/>
      </c>
      <c r="K104" s="106" t="str">
        <f>IF('IWP25'!CompletedByFirstName = 0, "", 'IWP25'!CompletedByFirstName)</f>
        <v/>
      </c>
      <c r="L104" s="107">
        <f>IF('IWP25'!DateCompleted=DATE(1900,1,0), DATE(1900,1,1),'IWP25'!DateCompleted)</f>
        <v>1</v>
      </c>
      <c r="M104" s="107">
        <f>IF('IWP25'!Std4ReferralDate=DATE(1900,1,0), DATE(1900,1,1),'IWP25'!Std4ReferralDate)</f>
        <v>1</v>
      </c>
      <c r="N104" s="107">
        <f>IF('IWP25'!Std4BeginDate=DATE(1900,1,0), DATE(1900,1,1),'IWP25'!Std4BeginDate)</f>
        <v>1</v>
      </c>
      <c r="O104" s="107">
        <f>IF('IWP25'!Std4DateOfReceipt=DATE(1900,1,0), DATE(1900,1,1),'IWP25'!Std4DateOfReceipt)</f>
        <v>1</v>
      </c>
      <c r="P104" s="107">
        <f>IF('IWP25'!Std4FirstDayOfSvc=DATE(1900,1,0), DATE(1900,1,1),'IWP25'!Std4FirstDayOfSvc)</f>
        <v>1</v>
      </c>
      <c r="Q104" s="107">
        <f>IF('IWP25'!Std4DateOfVerbalPhysOrders=DATE(1900,1,0), DATE(1900,1,1),'IWP25'!Std4DateOfVerbalPhysOrders)</f>
        <v>1</v>
      </c>
      <c r="R104" s="107">
        <f>IF('IWP25'!Std4DateOfWrittenPhysPhysOrders=DATE(1900,1,0), DATE(1900,1,1),'IWP25'!Std4DateOfWrittenPhysPhysOrders)</f>
        <v>1</v>
      </c>
      <c r="S104" s="107">
        <f>IF('IWP25'!Std4DateOfForm3050=DATE(1900,1,0), DATE(1900,1,1),'IWP25'!Std4DateOfForm3050)</f>
        <v>1</v>
      </c>
      <c r="T104" s="107">
        <f>IF('IWP25'!Std4DateForm3050SubmittedDadsRegNurse=DATE(1900,1,0), DATE(1900,1,1),'IWP25'!Std4DateForm3050SubmittedDadsRegNurse)</f>
        <v>1</v>
      </c>
      <c r="U104" s="107">
        <f>IF('IWP25'!Std4DateForm3055SubmittedDadsRegNurse=DATE(1900,1,0), DATE(1900,1,1),'IWP25'!Std4DateForm3055SubmittedDadsRegNurse)</f>
        <v>1</v>
      </c>
      <c r="V104" s="107">
        <f>IF('IWP25'!Std4DateOfXferFromAnotherDahs=DATE(1900,1,0), DATE(1900,1,1),'IWP25'!Std4DateOfXferFromAnotherDahs)</f>
        <v>1</v>
      </c>
      <c r="W104" s="106" t="str">
        <f>IF('IWP25'!Std4dot1aNotCalc = 0, "", 'IWP25'!Std4dot1aNotCalc)</f>
        <v/>
      </c>
      <c r="X104" s="106" t="str">
        <f>IF('IWP25'!Std4dot1bNotCalc = 0, "", 'IWP25'!Std4dot1bNotCalc)</f>
        <v/>
      </c>
      <c r="Y104" s="106" t="str">
        <f>IF('IWP25'!Std4dot1a = 0, "", 'IWP25'!Std4dot1a)</f>
        <v/>
      </c>
      <c r="Z104" s="106" t="str">
        <f>IF('IWP25'!Std4dot1b = 0, "", 'IWP25'!Std4dot1b)</f>
        <v/>
      </c>
      <c r="AA104" s="106" t="str">
        <f>IF('IWP25'!Std4dot1 = 0, "", 'IWP25'!Std4dot1)</f>
        <v/>
      </c>
      <c r="AB104" s="106" t="str">
        <f>IF('IWP25'!Std4dot2NotCalc = 0, "", 'IWP25'!Std4dot2NotCalc)</f>
        <v/>
      </c>
      <c r="AC104" s="106" t="str">
        <f>IF('IWP25'!Std4dot2 = 0, "", 'IWP25'!Std4dot2)</f>
        <v/>
      </c>
      <c r="AD104" s="106" t="str">
        <f>IF('IWP25'!Std4dot3NotCalc = 0, "", 'IWP25'!Std4dot3NotCalc)</f>
        <v/>
      </c>
      <c r="AE104" s="106" t="str">
        <f>IF('IWP25'!Std4dot3a = 0, "", 'IWP25'!Std4dot3a)</f>
        <v/>
      </c>
      <c r="AF104" s="106" t="str">
        <f>IF('IWP25'!Std4dot3b = 0, "", 'IWP25'!Std4dot3b)</f>
        <v/>
      </c>
      <c r="AG104" s="106" t="str">
        <f>IF('IWP25'!Std4dot3c = 0, "", 'IWP25'!Std4dot3c)</f>
        <v/>
      </c>
      <c r="AH104" s="106" t="str">
        <f>IF('IWP25'!Std4dot3d = 0, "", 'IWP25'!Std4dot3d)</f>
        <v/>
      </c>
      <c r="AI104" s="106" t="str">
        <f>IF('IWP25'!Std4dot3 = 0, "", 'IWP25'!Std4dot3)</f>
        <v/>
      </c>
      <c r="AJ104" s="106" t="str">
        <f>IF('IWP25'!Std4dot4a = 0, "", 'IWP25'!Std4dot4a)</f>
        <v/>
      </c>
      <c r="AK104" s="106" t="str">
        <f>IF('IWP25'!Std4dot4b = 0, "", 'IWP25'!Std4dot4b)</f>
        <v/>
      </c>
      <c r="AL104" s="106" t="str">
        <f>IF('IWP25'!Std4dot4 = 0, "", 'IWP25'!Std4dot4)</f>
        <v/>
      </c>
      <c r="AM104" s="106" t="str">
        <f>IF('IWP25'!Std5NotCalc = 0, "", 'IWP25'!Std5NotCalc)</f>
        <v/>
      </c>
      <c r="AN104" s="106" t="str">
        <f>IF('IWP25'!Std5dot1 = 0, "", 'IWP25'!Std5dot1)</f>
        <v>NA</v>
      </c>
      <c r="AO104" s="106" t="str">
        <f>IF('IWP25'!Std5dot2Mo1Ans = 0, "", 'IWP25'!Std5dot2Mo1Ans)</f>
        <v/>
      </c>
      <c r="AP104" s="107">
        <f>IF('IWP25'!Std5dot2Mo1Date=DATE(1900,1,0), DATE(1900,1,1),'IWP25'!Std5dot2Mo1Date)</f>
        <v>1</v>
      </c>
      <c r="AQ104" s="106" t="str">
        <f>IF('IWP25'!Std5dot2Mo2Ans = 0, "", 'IWP25'!Std5dot2Mo2Ans)</f>
        <v/>
      </c>
      <c r="AR104" s="107">
        <f>IF('IWP25'!Std5dot2Mo2Date=DATE(1900,1,0), DATE(1900,1,1),'IWP25'!Std5dot2Mo2Date)</f>
        <v>1</v>
      </c>
      <c r="AS104" s="106" t="str">
        <f>IF('IWP25'!Std5dot2 = 0, "", 'IWP25'!Std5dot2)</f>
        <v/>
      </c>
      <c r="AT104" s="106" t="str">
        <f>IF('IWP25'!Std5dot3Mo1Ans = 0, "", 'IWP25'!Std5dot3Mo1Ans)</f>
        <v/>
      </c>
      <c r="AU104" s="107">
        <f>IF('IWP25'!Std5dot3Mo1Date=DATE(1900,1,0), DATE(1900,1,1),'IWP25'!Std5dot3Mo1Date)</f>
        <v>1</v>
      </c>
      <c r="AV104" s="106" t="str">
        <f>IF('IWP25'!Std5dot3Mo2Ans = 0, "", 'IWP25'!Std5dot3Mo2Ans)</f>
        <v/>
      </c>
      <c r="AW104" s="107">
        <f>IF('IWP25'!Std5dot3Mo2Date=DATE(1900,1,0), DATE(1900,1,1),'IWP25'!Std5dot3Mo2Date)</f>
        <v>1</v>
      </c>
      <c r="AX104" s="106" t="str">
        <f>IF('IWP25'!Std5dot3 = 0, "", 'IWP25'!Std5dot3)</f>
        <v>NA</v>
      </c>
      <c r="AY104" s="106" t="str">
        <f>IF('IWP25'!Std5dot4Mo1Ans = 0, "", 'IWP25'!Std5dot4Mo1Ans)</f>
        <v/>
      </c>
      <c r="AZ104" s="107">
        <f>IF('IWP25'!Std5dot4Mo1Date=DATE(1900,1,0), DATE(1900,1,1),'IWP25'!Std5dot4Mo1Date)</f>
        <v>1</v>
      </c>
      <c r="BA104" s="106" t="str">
        <f>IF('IWP25'!Std5dot4Mo2Ans = 0, "", 'IWP25'!Std5dot4Mo2Ans)</f>
        <v/>
      </c>
      <c r="BB104" s="107">
        <f>IF('IWP25'!Std5dot4Mo2Date=DATE(1900,1,0), DATE(1900,1,1),'IWP25'!Std5dot4Mo2Date)</f>
        <v>1</v>
      </c>
      <c r="BC104" s="2" t="str">
        <f>IF('IWP25'!Std5dot4 = 0, "", 'IWP25'!Std5dot4)</f>
        <v>NA</v>
      </c>
      <c r="BD104" s="2" t="str">
        <f>IF('IWP25'!Std5dot5 = 0, "", 'IWP25'!Std5dot5)</f>
        <v/>
      </c>
      <c r="BE104" s="2" t="str">
        <f>IF('IWP25'!Std5dot6 = 0, "", 'IWP25'!Std5dot6)</f>
        <v/>
      </c>
      <c r="BF104" s="106" t="str">
        <f>IF('IWP25'!Std6dot1 = 0, "", 'IWP25'!Std6dot1)</f>
        <v/>
      </c>
      <c r="BG104" s="155">
        <f>IF('IWP25'!FiscalReviewFirstMonth = DATE(1900,1,0),DATE(1900,1,1), 'IWP25'!FiscalReviewFirstMonth)</f>
        <v>1</v>
      </c>
      <c r="BH104" s="155">
        <f>IF('IWP25'!FiscalReviewSecondMonth = DATE(1900,1,0),DATE(1900,1,1), 'IWP25'!FiscalReviewSecondMonth)</f>
        <v>1</v>
      </c>
      <c r="BI104" s="107">
        <f>IF('IWP25'!Std4DateOfForm3049=DATE(1900,1,0), DATE(1900,1,1),'IWP25'!Std4DateOfForm3049)</f>
        <v>1</v>
      </c>
      <c r="BJ104" s="230">
        <f>IF('IWP25'!Std4DateForm3049SubmittedDadsRegNurse=DATE(1900,1,0), DATE(1900,1,1),'IWP25'!Std4DateForm3049SubmittedDadsRegNurse)</f>
        <v>1</v>
      </c>
    </row>
    <row r="105" spans="1:62">
      <c r="A105" s="125" t="s">
        <v>499</v>
      </c>
      <c r="B105" s="107">
        <f>IF('Samples (Print)'!D30=DATE(1900,1,0), DATE(1900,1,1),'Samples (Print)'!D30)</f>
        <v>1</v>
      </c>
      <c r="C105" s="107">
        <f>IF('Samples (Print)'!E30=DATE(1900,1,0), DATE(1900,1,1),'Samples (Print)'!E30)</f>
        <v>1</v>
      </c>
      <c r="D105" s="128">
        <f>'IWP26'!SampleNumber</f>
        <v>26</v>
      </c>
      <c r="E105" s="128">
        <f>'IWP26'!ClientID</f>
        <v>0</v>
      </c>
      <c r="F105" s="129"/>
      <c r="G105" s="129"/>
      <c r="H105" s="106" t="str">
        <f ca="1">IF('IWP26'!ContractNumber = 0, "", 'IWP26'!ContractNumber)</f>
        <v/>
      </c>
      <c r="I105" s="106" t="str">
        <f>IF('IWP26'!ServiceCode = 0, "", 'IWP26'!ServiceCode)</f>
        <v/>
      </c>
      <c r="J105" s="106" t="str">
        <f>IF('IWP26'!CompletedByLastName = 0, "", 'IWP26'!CompletedByLastName)</f>
        <v/>
      </c>
      <c r="K105" s="106" t="str">
        <f>IF('IWP26'!CompletedByFirstName = 0, "", 'IWP26'!CompletedByFirstName)</f>
        <v/>
      </c>
      <c r="L105" s="107">
        <f>IF('IWP26'!DateCompleted=DATE(1900,1,0), DATE(1900,1,1),'IWP26'!DateCompleted)</f>
        <v>1</v>
      </c>
      <c r="M105" s="107">
        <f>IF('IWP26'!Std4ReferralDate=DATE(1900,1,0), DATE(1900,1,1),'IWP26'!Std4ReferralDate)</f>
        <v>1</v>
      </c>
      <c r="N105" s="107">
        <f>IF('IWP26'!Std4BeginDate=DATE(1900,1,0), DATE(1900,1,1),'IWP26'!Std4BeginDate)</f>
        <v>1</v>
      </c>
      <c r="O105" s="107">
        <f>IF('IWP26'!Std4DateOfReceipt=DATE(1900,1,0), DATE(1900,1,1),'IWP26'!Std4DateOfReceipt)</f>
        <v>1</v>
      </c>
      <c r="P105" s="107">
        <f>IF('IWP26'!Std4FirstDayOfSvc=DATE(1900,1,0), DATE(1900,1,1),'IWP26'!Std4FirstDayOfSvc)</f>
        <v>1</v>
      </c>
      <c r="Q105" s="107">
        <f>IF('IWP26'!Std4DateOfVerbalPhysOrders=DATE(1900,1,0), DATE(1900,1,1),'IWP26'!Std4DateOfVerbalPhysOrders)</f>
        <v>1</v>
      </c>
      <c r="R105" s="107">
        <f>IF('IWP26'!Std4DateOfWrittenPhysPhysOrders=DATE(1900,1,0), DATE(1900,1,1),'IWP26'!Std4DateOfWrittenPhysPhysOrders)</f>
        <v>1</v>
      </c>
      <c r="S105" s="107">
        <f>IF('IWP26'!Std4DateOfForm3050=DATE(1900,1,0), DATE(1900,1,1),'IWP26'!Std4DateOfForm3050)</f>
        <v>1</v>
      </c>
      <c r="T105" s="107">
        <f>IF('IWP26'!Std4DateForm3050SubmittedDadsRegNurse=DATE(1900,1,0), DATE(1900,1,1),'IWP26'!Std4DateForm3050SubmittedDadsRegNurse)</f>
        <v>1</v>
      </c>
      <c r="U105" s="107">
        <f>IF('IWP26'!Std4DateForm3055SubmittedDadsRegNurse=DATE(1900,1,0), DATE(1900,1,1),'IWP26'!Std4DateForm3055SubmittedDadsRegNurse)</f>
        <v>1</v>
      </c>
      <c r="V105" s="107">
        <f>IF('IWP26'!Std4DateOfXferFromAnotherDahs=DATE(1900,1,0), DATE(1900,1,1),'IWP26'!Std4DateOfXferFromAnotherDahs)</f>
        <v>1</v>
      </c>
      <c r="W105" s="106" t="str">
        <f>IF('IWP26'!Std4dot1aNotCalc = 0, "", 'IWP26'!Std4dot1aNotCalc)</f>
        <v/>
      </c>
      <c r="X105" s="106" t="str">
        <f>IF('IWP26'!Std4dot1bNotCalc = 0, "", 'IWP26'!Std4dot1bNotCalc)</f>
        <v/>
      </c>
      <c r="Y105" s="106" t="str">
        <f>IF('IWP26'!Std4dot1a = 0, "", 'IWP26'!Std4dot1a)</f>
        <v/>
      </c>
      <c r="Z105" s="106" t="str">
        <f>IF('IWP26'!Std4dot1b = 0, "", 'IWP26'!Std4dot1b)</f>
        <v/>
      </c>
      <c r="AA105" s="106" t="str">
        <f>IF('IWP26'!Std4dot1 = 0, "", 'IWP26'!Std4dot1)</f>
        <v/>
      </c>
      <c r="AB105" s="106" t="str">
        <f>IF('IWP26'!Std4dot2NotCalc = 0, "", 'IWP26'!Std4dot2NotCalc)</f>
        <v/>
      </c>
      <c r="AC105" s="106" t="str">
        <f>IF('IWP26'!Std4dot2 = 0, "", 'IWP26'!Std4dot2)</f>
        <v/>
      </c>
      <c r="AD105" s="106" t="str">
        <f>IF('IWP26'!Std4dot3NotCalc = 0, "", 'IWP26'!Std4dot3NotCalc)</f>
        <v/>
      </c>
      <c r="AE105" s="106" t="str">
        <f>IF('IWP26'!Std4dot3a = 0, "", 'IWP26'!Std4dot3a)</f>
        <v/>
      </c>
      <c r="AF105" s="106" t="str">
        <f>IF('IWP26'!Std4dot3b = 0, "", 'IWP26'!Std4dot3b)</f>
        <v/>
      </c>
      <c r="AG105" s="106" t="str">
        <f>IF('IWP26'!Std4dot3c = 0, "", 'IWP26'!Std4dot3c)</f>
        <v/>
      </c>
      <c r="AH105" s="106" t="str">
        <f>IF('IWP26'!Std4dot3d = 0, "", 'IWP26'!Std4dot3d)</f>
        <v/>
      </c>
      <c r="AI105" s="106" t="str">
        <f>IF('IWP26'!Std4dot3 = 0, "", 'IWP26'!Std4dot3)</f>
        <v/>
      </c>
      <c r="AJ105" s="106" t="str">
        <f>IF('IWP26'!Std4dot4a = 0, "", 'IWP26'!Std4dot4a)</f>
        <v/>
      </c>
      <c r="AK105" s="106" t="str">
        <f>IF('IWP26'!Std4dot4b = 0, "", 'IWP26'!Std4dot4b)</f>
        <v/>
      </c>
      <c r="AL105" s="106" t="str">
        <f>IF('IWP26'!Std4dot4 = 0, "", 'IWP26'!Std4dot4)</f>
        <v/>
      </c>
      <c r="AM105" s="106" t="str">
        <f>IF('IWP26'!Std5NotCalc = 0, "", 'IWP26'!Std5NotCalc)</f>
        <v/>
      </c>
      <c r="AN105" s="106" t="str">
        <f>IF('IWP26'!Std5dot1 = 0, "", 'IWP26'!Std5dot1)</f>
        <v>NA</v>
      </c>
      <c r="AO105" s="106" t="str">
        <f>IF('IWP26'!Std5dot2Mo1Ans = 0, "", 'IWP26'!Std5dot2Mo1Ans)</f>
        <v/>
      </c>
      <c r="AP105" s="107">
        <f>IF('IWP26'!Std5dot2Mo1Date=DATE(1900,1,0), DATE(1900,1,1),'IWP26'!Std5dot2Mo1Date)</f>
        <v>1</v>
      </c>
      <c r="AQ105" s="106" t="str">
        <f>IF('IWP26'!Std5dot2Mo2Ans = 0, "", 'IWP26'!Std5dot2Mo2Ans)</f>
        <v/>
      </c>
      <c r="AR105" s="107">
        <f>IF('IWP26'!Std5dot2Mo2Date=DATE(1900,1,0), DATE(1900,1,1),'IWP26'!Std5dot2Mo2Date)</f>
        <v>1</v>
      </c>
      <c r="AS105" s="106" t="str">
        <f>IF('IWP26'!Std5dot2 = 0, "", 'IWP26'!Std5dot2)</f>
        <v/>
      </c>
      <c r="AT105" s="106" t="str">
        <f>IF('IWP26'!Std5dot3Mo1Ans = 0, "", 'IWP26'!Std5dot3Mo1Ans)</f>
        <v/>
      </c>
      <c r="AU105" s="107">
        <f>IF('IWP26'!Std5dot3Mo1Date=DATE(1900,1,0), DATE(1900,1,1),'IWP26'!Std5dot3Mo1Date)</f>
        <v>1</v>
      </c>
      <c r="AV105" s="106" t="str">
        <f>IF('IWP26'!Std5dot3Mo2Ans = 0, "", 'IWP26'!Std5dot3Mo2Ans)</f>
        <v/>
      </c>
      <c r="AW105" s="107">
        <f>IF('IWP26'!Std5dot3Mo2Date=DATE(1900,1,0), DATE(1900,1,1),'IWP26'!Std5dot3Mo2Date)</f>
        <v>1</v>
      </c>
      <c r="AX105" s="106" t="str">
        <f>IF('IWP26'!Std5dot3 = 0, "", 'IWP26'!Std5dot3)</f>
        <v>NA</v>
      </c>
      <c r="AY105" s="106" t="str">
        <f>IF('IWP26'!Std5dot4Mo1Ans = 0, "", 'IWP26'!Std5dot4Mo1Ans)</f>
        <v/>
      </c>
      <c r="AZ105" s="107">
        <f>IF('IWP26'!Std5dot4Mo1Date=DATE(1900,1,0), DATE(1900,1,1),'IWP26'!Std5dot4Mo1Date)</f>
        <v>1</v>
      </c>
      <c r="BA105" s="106" t="str">
        <f>IF('IWP26'!Std5dot4Mo2Ans = 0, "", 'IWP26'!Std5dot4Mo2Ans)</f>
        <v/>
      </c>
      <c r="BB105" s="107">
        <f>IF('IWP26'!Std5dot4Mo2Date=DATE(1900,1,0), DATE(1900,1,1),'IWP26'!Std5dot4Mo2Date)</f>
        <v>1</v>
      </c>
      <c r="BC105" s="2" t="str">
        <f>IF('IWP26'!Std5dot4 = 0, "", 'IWP26'!Std5dot4)</f>
        <v>NA</v>
      </c>
      <c r="BD105" s="2" t="str">
        <f>IF('IWP26'!Std5dot5 = 0, "", 'IWP26'!Std5dot5)</f>
        <v/>
      </c>
      <c r="BE105" s="2" t="str">
        <f>IF('IWP26'!Std5dot6 = 0, "", 'IWP26'!Std5dot6)</f>
        <v/>
      </c>
      <c r="BF105" s="106" t="str">
        <f>IF('IWP26'!Std6dot1 = 0, "", 'IWP26'!Std6dot1)</f>
        <v/>
      </c>
      <c r="BG105" s="155">
        <f>IF('IWP26'!FiscalReviewFirstMonth = DATE(1900,1,0),DATE(1900,1,1), 'IWP26'!FiscalReviewFirstMonth)</f>
        <v>1</v>
      </c>
      <c r="BH105" s="155">
        <f>IF('IWP26'!FiscalReviewSecondMonth = DATE(1900,1,0),DATE(1900,1,1), 'IWP26'!FiscalReviewSecondMonth)</f>
        <v>1</v>
      </c>
      <c r="BI105" s="107">
        <f>IF('IWP26'!Std4DateOfForm3049=DATE(1900,1,0), DATE(1900,1,1),'IWP26'!Std4DateOfForm3049)</f>
        <v>1</v>
      </c>
      <c r="BJ105" s="230">
        <f>IF('IWP26'!Std4DateForm3049SubmittedDadsRegNurse=DATE(1900,1,0), DATE(1900,1,1),'IWP26'!Std4DateForm3049SubmittedDadsRegNurse)</f>
        <v>1</v>
      </c>
    </row>
    <row r="106" spans="1:62">
      <c r="A106" s="125" t="s">
        <v>500</v>
      </c>
      <c r="B106" s="107">
        <f>IF('Samples (Print)'!D31=DATE(1900,1,0), DATE(1900,1,1),'Samples (Print)'!D31)</f>
        <v>1</v>
      </c>
      <c r="C106" s="107">
        <f>IF('Samples (Print)'!E31=DATE(1900,1,0), DATE(1900,1,1),'Samples (Print)'!E31)</f>
        <v>1</v>
      </c>
      <c r="D106" s="128">
        <f>'IWP27'!SampleNumber</f>
        <v>27</v>
      </c>
      <c r="E106" s="128">
        <f>'IWP27'!ClientID</f>
        <v>0</v>
      </c>
      <c r="F106" s="129"/>
      <c r="G106" s="129"/>
      <c r="H106" s="106" t="str">
        <f ca="1">IF('IWP27'!ContractNumber = 0, "", 'IWP27'!ContractNumber)</f>
        <v/>
      </c>
      <c r="I106" s="106" t="str">
        <f>IF('IWP27'!ServiceCode = 0, "", 'IWP27'!ServiceCode)</f>
        <v/>
      </c>
      <c r="J106" s="106" t="str">
        <f>IF('IWP27'!CompletedByLastName = 0, "", 'IWP27'!CompletedByLastName)</f>
        <v/>
      </c>
      <c r="K106" s="106" t="str">
        <f>IF('IWP27'!CompletedByFirstName = 0, "", 'IWP27'!CompletedByFirstName)</f>
        <v/>
      </c>
      <c r="L106" s="107">
        <f>IF('IWP27'!DateCompleted=DATE(1900,1,0), DATE(1900,1,1),'IWP27'!DateCompleted)</f>
        <v>1</v>
      </c>
      <c r="M106" s="107">
        <f>IF('IWP27'!Std4ReferralDate=DATE(1900,1,0), DATE(1900,1,1),'IWP27'!Std4ReferralDate)</f>
        <v>1</v>
      </c>
      <c r="N106" s="107">
        <f>IF('IWP27'!Std4BeginDate=DATE(1900,1,0), DATE(1900,1,1),'IWP27'!Std4BeginDate)</f>
        <v>1</v>
      </c>
      <c r="O106" s="107">
        <f>IF('IWP27'!Std4DateOfReceipt=DATE(1900,1,0), DATE(1900,1,1),'IWP27'!Std4DateOfReceipt)</f>
        <v>1</v>
      </c>
      <c r="P106" s="107">
        <f>IF('IWP27'!Std4FirstDayOfSvc=DATE(1900,1,0), DATE(1900,1,1),'IWP27'!Std4FirstDayOfSvc)</f>
        <v>1</v>
      </c>
      <c r="Q106" s="107">
        <f>IF('IWP27'!Std4DateOfVerbalPhysOrders=DATE(1900,1,0), DATE(1900,1,1),'IWP27'!Std4DateOfVerbalPhysOrders)</f>
        <v>1</v>
      </c>
      <c r="R106" s="107">
        <f>IF('IWP27'!Std4DateOfWrittenPhysPhysOrders=DATE(1900,1,0), DATE(1900,1,1),'IWP27'!Std4DateOfWrittenPhysPhysOrders)</f>
        <v>1</v>
      </c>
      <c r="S106" s="107">
        <f>IF('IWP27'!Std4DateOfForm3050=DATE(1900,1,0), DATE(1900,1,1),'IWP27'!Std4DateOfForm3050)</f>
        <v>1</v>
      </c>
      <c r="T106" s="107">
        <f>IF('IWP27'!Std4DateForm3050SubmittedDadsRegNurse=DATE(1900,1,0), DATE(1900,1,1),'IWP27'!Std4DateForm3050SubmittedDadsRegNurse)</f>
        <v>1</v>
      </c>
      <c r="U106" s="107">
        <f>IF('IWP27'!Std4DateForm3055SubmittedDadsRegNurse=DATE(1900,1,0), DATE(1900,1,1),'IWP27'!Std4DateForm3055SubmittedDadsRegNurse)</f>
        <v>1</v>
      </c>
      <c r="V106" s="107">
        <f>IF('IWP27'!Std4DateOfXferFromAnotherDahs=DATE(1900,1,0), DATE(1900,1,1),'IWP27'!Std4DateOfXferFromAnotherDahs)</f>
        <v>1</v>
      </c>
      <c r="W106" s="106" t="str">
        <f>IF('IWP27'!Std4dot1aNotCalc = 0, "", 'IWP27'!Std4dot1aNotCalc)</f>
        <v/>
      </c>
      <c r="X106" s="106" t="str">
        <f>IF('IWP27'!Std4dot1bNotCalc = 0, "", 'IWP27'!Std4dot1bNotCalc)</f>
        <v/>
      </c>
      <c r="Y106" s="106" t="str">
        <f>IF('IWP27'!Std4dot1a = 0, "", 'IWP27'!Std4dot1a)</f>
        <v/>
      </c>
      <c r="Z106" s="106" t="str">
        <f>IF('IWP27'!Std4dot1b = 0, "", 'IWP27'!Std4dot1b)</f>
        <v/>
      </c>
      <c r="AA106" s="106" t="str">
        <f>IF('IWP27'!Std4dot1 = 0, "", 'IWP27'!Std4dot1)</f>
        <v/>
      </c>
      <c r="AB106" s="106" t="str">
        <f>IF('IWP27'!Std4dot2NotCalc = 0, "", 'IWP27'!Std4dot2NotCalc)</f>
        <v/>
      </c>
      <c r="AC106" s="106" t="str">
        <f>IF('IWP27'!Std4dot2 = 0, "", 'IWP27'!Std4dot2)</f>
        <v/>
      </c>
      <c r="AD106" s="106" t="str">
        <f>IF('IWP27'!Std4dot3NotCalc = 0, "", 'IWP27'!Std4dot3NotCalc)</f>
        <v/>
      </c>
      <c r="AE106" s="106" t="str">
        <f>IF('IWP27'!Std4dot3a = 0, "", 'IWP27'!Std4dot3a)</f>
        <v/>
      </c>
      <c r="AF106" s="106" t="str">
        <f>IF('IWP27'!Std4dot3b = 0, "", 'IWP27'!Std4dot3b)</f>
        <v/>
      </c>
      <c r="AG106" s="106" t="str">
        <f>IF('IWP27'!Std4dot3c = 0, "", 'IWP27'!Std4dot3c)</f>
        <v/>
      </c>
      <c r="AH106" s="106" t="str">
        <f>IF('IWP27'!Std4dot3d = 0, "", 'IWP27'!Std4dot3d)</f>
        <v/>
      </c>
      <c r="AI106" s="106" t="str">
        <f>IF('IWP27'!Std4dot3 = 0, "", 'IWP27'!Std4dot3)</f>
        <v/>
      </c>
      <c r="AJ106" s="106" t="str">
        <f>IF('IWP27'!Std4dot4a = 0, "", 'IWP27'!Std4dot4a)</f>
        <v/>
      </c>
      <c r="AK106" s="106" t="str">
        <f>IF('IWP27'!Std4dot4b = 0, "", 'IWP27'!Std4dot4b)</f>
        <v/>
      </c>
      <c r="AL106" s="106" t="str">
        <f>IF('IWP27'!Std4dot4 = 0, "", 'IWP27'!Std4dot4)</f>
        <v/>
      </c>
      <c r="AM106" s="106" t="str">
        <f>IF('IWP27'!Std5NotCalc = 0, "", 'IWP27'!Std5NotCalc)</f>
        <v/>
      </c>
      <c r="AN106" s="106" t="str">
        <f>IF('IWP27'!Std5dot1 = 0, "", 'IWP27'!Std5dot1)</f>
        <v>NA</v>
      </c>
      <c r="AO106" s="106" t="str">
        <f>IF('IWP27'!Std5dot2Mo1Ans = 0, "", 'IWP27'!Std5dot2Mo1Ans)</f>
        <v/>
      </c>
      <c r="AP106" s="107">
        <f>IF('IWP27'!Std5dot2Mo1Date=DATE(1900,1,0), DATE(1900,1,1),'IWP27'!Std5dot2Mo1Date)</f>
        <v>1</v>
      </c>
      <c r="AQ106" s="106" t="str">
        <f>IF('IWP27'!Std5dot2Mo2Ans = 0, "", 'IWP27'!Std5dot2Mo2Ans)</f>
        <v/>
      </c>
      <c r="AR106" s="107">
        <f>IF('IWP27'!Std5dot2Mo2Date=DATE(1900,1,0), DATE(1900,1,1),'IWP27'!Std5dot2Mo2Date)</f>
        <v>1</v>
      </c>
      <c r="AS106" s="106" t="str">
        <f>IF('IWP27'!Std5dot2 = 0, "", 'IWP27'!Std5dot2)</f>
        <v/>
      </c>
      <c r="AT106" s="106" t="str">
        <f>IF('IWP27'!Std5dot3Mo1Ans = 0, "", 'IWP27'!Std5dot3Mo1Ans)</f>
        <v/>
      </c>
      <c r="AU106" s="107">
        <f>IF('IWP27'!Std5dot3Mo1Date=DATE(1900,1,0), DATE(1900,1,1),'IWP27'!Std5dot3Mo1Date)</f>
        <v>1</v>
      </c>
      <c r="AV106" s="106" t="str">
        <f>IF('IWP27'!Std5dot3Mo2Ans = 0, "", 'IWP27'!Std5dot3Mo2Ans)</f>
        <v/>
      </c>
      <c r="AW106" s="107">
        <f>IF('IWP27'!Std5dot3Mo2Date=DATE(1900,1,0), DATE(1900,1,1),'IWP27'!Std5dot3Mo2Date)</f>
        <v>1</v>
      </c>
      <c r="AX106" s="106" t="str">
        <f>IF('IWP27'!Std5dot3 = 0, "", 'IWP27'!Std5dot3)</f>
        <v>NA</v>
      </c>
      <c r="AY106" s="106" t="str">
        <f>IF('IWP27'!Std5dot4Mo1Ans = 0, "", 'IWP27'!Std5dot4Mo1Ans)</f>
        <v/>
      </c>
      <c r="AZ106" s="107">
        <f>IF('IWP27'!Std5dot4Mo1Date=DATE(1900,1,0), DATE(1900,1,1),'IWP27'!Std5dot4Mo1Date)</f>
        <v>1</v>
      </c>
      <c r="BA106" s="106" t="str">
        <f>IF('IWP27'!Std5dot4Mo2Ans = 0, "", 'IWP27'!Std5dot4Mo2Ans)</f>
        <v/>
      </c>
      <c r="BB106" s="107">
        <f>IF('IWP27'!Std5dot4Mo2Date=DATE(1900,1,0), DATE(1900,1,1),'IWP27'!Std5dot4Mo2Date)</f>
        <v>1</v>
      </c>
      <c r="BC106" s="2" t="str">
        <f>IF('IWP27'!Std5dot4 = 0, "", 'IWP27'!Std5dot4)</f>
        <v>NA</v>
      </c>
      <c r="BD106" s="2" t="str">
        <f>IF('IWP27'!Std5dot5 = 0, "", 'IWP27'!Std5dot5)</f>
        <v/>
      </c>
      <c r="BE106" s="2" t="str">
        <f>IF('IWP27'!Std5dot6 = 0, "", 'IWP27'!Std5dot6)</f>
        <v/>
      </c>
      <c r="BF106" s="106" t="str">
        <f>IF('IWP27'!Std6dot1 = 0, "", 'IWP27'!Std6dot1)</f>
        <v/>
      </c>
      <c r="BG106" s="155">
        <f>IF('IWP27'!FiscalReviewFirstMonth = DATE(1900,1,0),DATE(1900,1,1), 'IWP27'!FiscalReviewFirstMonth)</f>
        <v>1</v>
      </c>
      <c r="BH106" s="155">
        <f>IF('IWP27'!FiscalReviewSecondMonth = DATE(1900,1,0),DATE(1900,1,1), 'IWP27'!FiscalReviewSecondMonth)</f>
        <v>1</v>
      </c>
      <c r="BI106" s="107">
        <f>IF('IWP27'!Std4DateOfForm3049=DATE(1900,1,0), DATE(1900,1,1),'IWP27'!Std4DateOfForm3049)</f>
        <v>1</v>
      </c>
      <c r="BJ106" s="230">
        <f>IF('IWP27'!Std4DateForm3049SubmittedDadsRegNurse=DATE(1900,1,0), DATE(1900,1,1),'IWP27'!Std4DateForm3049SubmittedDadsRegNurse)</f>
        <v>1</v>
      </c>
    </row>
    <row r="107" spans="1:62">
      <c r="A107" s="125" t="s">
        <v>501</v>
      </c>
      <c r="B107" s="107">
        <f>IF('Samples (Print)'!D32=DATE(1900,1,0), DATE(1900,1,1),'Samples (Print)'!D32)</f>
        <v>1</v>
      </c>
      <c r="C107" s="107">
        <f>IF('Samples (Print)'!E32=DATE(1900,1,0), DATE(1900,1,1),'Samples (Print)'!E32)</f>
        <v>1</v>
      </c>
      <c r="D107" s="128">
        <f>'IWP28'!SampleNumber</f>
        <v>28</v>
      </c>
      <c r="E107" s="128">
        <f>'IWP28'!ClientID</f>
        <v>0</v>
      </c>
      <c r="F107" s="129"/>
      <c r="G107" s="129"/>
      <c r="H107" s="106" t="str">
        <f ca="1">IF('IWP28'!ContractNumber = 0, "", 'IWP28'!ContractNumber)</f>
        <v/>
      </c>
      <c r="I107" s="106" t="str">
        <f>IF('IWP28'!ServiceCode = 0, "", 'IWP28'!ServiceCode)</f>
        <v/>
      </c>
      <c r="J107" s="106" t="str">
        <f>IF('IWP28'!CompletedByLastName = 0, "", 'IWP28'!CompletedByLastName)</f>
        <v/>
      </c>
      <c r="K107" s="106" t="str">
        <f>IF('IWP28'!CompletedByFirstName = 0, "", 'IWP28'!CompletedByFirstName)</f>
        <v/>
      </c>
      <c r="L107" s="107">
        <f>IF('IWP28'!DateCompleted=DATE(1900,1,0), DATE(1900,1,1),'IWP28'!DateCompleted)</f>
        <v>1</v>
      </c>
      <c r="M107" s="107">
        <f>IF('IWP28'!Std4ReferralDate=DATE(1900,1,0), DATE(1900,1,1),'IWP28'!Std4ReferralDate)</f>
        <v>1</v>
      </c>
      <c r="N107" s="107">
        <f>IF('IWP28'!Std4BeginDate=DATE(1900,1,0), DATE(1900,1,1),'IWP28'!Std4BeginDate)</f>
        <v>1</v>
      </c>
      <c r="O107" s="107">
        <f>IF('IWP28'!Std4DateOfReceipt=DATE(1900,1,0), DATE(1900,1,1),'IWP28'!Std4DateOfReceipt)</f>
        <v>1</v>
      </c>
      <c r="P107" s="107">
        <f>IF('IWP28'!Std4FirstDayOfSvc=DATE(1900,1,0), DATE(1900,1,1),'IWP28'!Std4FirstDayOfSvc)</f>
        <v>1</v>
      </c>
      <c r="Q107" s="107">
        <f>IF('IWP28'!Std4DateOfVerbalPhysOrders=DATE(1900,1,0), DATE(1900,1,1),'IWP28'!Std4DateOfVerbalPhysOrders)</f>
        <v>1</v>
      </c>
      <c r="R107" s="107">
        <f>IF('IWP28'!Std4DateOfWrittenPhysPhysOrders=DATE(1900,1,0), DATE(1900,1,1),'IWP28'!Std4DateOfWrittenPhysPhysOrders)</f>
        <v>1</v>
      </c>
      <c r="S107" s="107">
        <f>IF('IWP28'!Std4DateOfForm3050=DATE(1900,1,0), DATE(1900,1,1),'IWP28'!Std4DateOfForm3050)</f>
        <v>1</v>
      </c>
      <c r="T107" s="107">
        <f>IF('IWP28'!Std4DateForm3050SubmittedDadsRegNurse=DATE(1900,1,0), DATE(1900,1,1),'IWP28'!Std4DateForm3050SubmittedDadsRegNurse)</f>
        <v>1</v>
      </c>
      <c r="U107" s="107">
        <f>IF('IWP28'!Std4DateForm3055SubmittedDadsRegNurse=DATE(1900,1,0), DATE(1900,1,1),'IWP28'!Std4DateForm3055SubmittedDadsRegNurse)</f>
        <v>1</v>
      </c>
      <c r="V107" s="107">
        <f>IF('IWP28'!Std4DateOfXferFromAnotherDahs=DATE(1900,1,0), DATE(1900,1,1),'IWP28'!Std4DateOfXferFromAnotherDahs)</f>
        <v>1</v>
      </c>
      <c r="W107" s="106" t="str">
        <f>IF('IWP28'!Std4dot1aNotCalc = 0, "", 'IWP28'!Std4dot1aNotCalc)</f>
        <v/>
      </c>
      <c r="X107" s="106" t="str">
        <f>IF('IWP28'!Std4dot1bNotCalc = 0, "", 'IWP28'!Std4dot1bNotCalc)</f>
        <v/>
      </c>
      <c r="Y107" s="106" t="str">
        <f>IF('IWP28'!Std4dot1a = 0, "", 'IWP28'!Std4dot1a)</f>
        <v/>
      </c>
      <c r="Z107" s="106" t="str">
        <f>IF('IWP28'!Std4dot1b = 0, "", 'IWP28'!Std4dot1b)</f>
        <v/>
      </c>
      <c r="AA107" s="106" t="str">
        <f>IF('IWP28'!Std4dot1 = 0, "", 'IWP28'!Std4dot1)</f>
        <v/>
      </c>
      <c r="AB107" s="106" t="str">
        <f>IF('IWP28'!Std4dot2NotCalc = 0, "", 'IWP28'!Std4dot2NotCalc)</f>
        <v/>
      </c>
      <c r="AC107" s="106" t="str">
        <f>IF('IWP28'!Std4dot2 = 0, "", 'IWP28'!Std4dot2)</f>
        <v/>
      </c>
      <c r="AD107" s="106" t="str">
        <f>IF('IWP28'!Std4dot3NotCalc = 0, "", 'IWP28'!Std4dot3NotCalc)</f>
        <v/>
      </c>
      <c r="AE107" s="106" t="str">
        <f>IF('IWP28'!Std4dot3a = 0, "", 'IWP28'!Std4dot3a)</f>
        <v/>
      </c>
      <c r="AF107" s="106" t="str">
        <f>IF('IWP28'!Std4dot3b = 0, "", 'IWP28'!Std4dot3b)</f>
        <v/>
      </c>
      <c r="AG107" s="106" t="str">
        <f>IF('IWP28'!Std4dot3c = 0, "", 'IWP28'!Std4dot3c)</f>
        <v/>
      </c>
      <c r="AH107" s="106" t="str">
        <f>IF('IWP28'!Std4dot3d = 0, "", 'IWP28'!Std4dot3d)</f>
        <v/>
      </c>
      <c r="AI107" s="106" t="str">
        <f>IF('IWP28'!Std4dot3 = 0, "", 'IWP28'!Std4dot3)</f>
        <v/>
      </c>
      <c r="AJ107" s="106" t="str">
        <f>IF('IWP28'!Std4dot4a = 0, "", 'IWP28'!Std4dot4a)</f>
        <v/>
      </c>
      <c r="AK107" s="106" t="str">
        <f>IF('IWP28'!Std4dot4b = 0, "", 'IWP28'!Std4dot4b)</f>
        <v/>
      </c>
      <c r="AL107" s="106" t="str">
        <f>IF('IWP28'!Std4dot4 = 0, "", 'IWP28'!Std4dot4)</f>
        <v/>
      </c>
      <c r="AM107" s="106" t="str">
        <f>IF('IWP28'!Std5NotCalc = 0, "", 'IWP28'!Std5NotCalc)</f>
        <v/>
      </c>
      <c r="AN107" s="106" t="str">
        <f>IF('IWP28'!Std5dot1 = 0, "", 'IWP28'!Std5dot1)</f>
        <v>NA</v>
      </c>
      <c r="AO107" s="106" t="str">
        <f>IF('IWP28'!Std5dot2Mo1Ans = 0, "", 'IWP28'!Std5dot2Mo1Ans)</f>
        <v/>
      </c>
      <c r="AP107" s="107">
        <f>IF('IWP28'!Std5dot2Mo1Date=DATE(1900,1,0), DATE(1900,1,1),'IWP28'!Std5dot2Mo1Date)</f>
        <v>1</v>
      </c>
      <c r="AQ107" s="106" t="str">
        <f>IF('IWP28'!Std5dot2Mo2Ans = 0, "", 'IWP28'!Std5dot2Mo2Ans)</f>
        <v/>
      </c>
      <c r="AR107" s="107">
        <f>IF('IWP28'!Std5dot2Mo2Date=DATE(1900,1,0), DATE(1900,1,1),'IWP28'!Std5dot2Mo2Date)</f>
        <v>1</v>
      </c>
      <c r="AS107" s="106" t="str">
        <f>IF('IWP28'!Std5dot2 = 0, "", 'IWP28'!Std5dot2)</f>
        <v/>
      </c>
      <c r="AT107" s="106" t="str">
        <f>IF('IWP28'!Std5dot3Mo1Ans = 0, "", 'IWP28'!Std5dot3Mo1Ans)</f>
        <v/>
      </c>
      <c r="AU107" s="107">
        <f>IF('IWP28'!Std5dot3Mo1Date=DATE(1900,1,0), DATE(1900,1,1),'IWP28'!Std5dot3Mo1Date)</f>
        <v>1</v>
      </c>
      <c r="AV107" s="106" t="str">
        <f>IF('IWP28'!Std5dot3Mo2Ans = 0, "", 'IWP28'!Std5dot3Mo2Ans)</f>
        <v/>
      </c>
      <c r="AW107" s="107">
        <f>IF('IWP28'!Std5dot3Mo2Date=DATE(1900,1,0), DATE(1900,1,1),'IWP28'!Std5dot3Mo2Date)</f>
        <v>1</v>
      </c>
      <c r="AX107" s="106" t="str">
        <f>IF('IWP28'!Std5dot3 = 0, "", 'IWP28'!Std5dot3)</f>
        <v>NA</v>
      </c>
      <c r="AY107" s="106" t="str">
        <f>IF('IWP28'!Std5dot4Mo1Ans = 0, "", 'IWP28'!Std5dot4Mo1Ans)</f>
        <v/>
      </c>
      <c r="AZ107" s="107">
        <f>IF('IWP28'!Std5dot4Mo1Date=DATE(1900,1,0), DATE(1900,1,1),'IWP28'!Std5dot4Mo1Date)</f>
        <v>1</v>
      </c>
      <c r="BA107" s="106" t="str">
        <f>IF('IWP28'!Std5dot4Mo2Ans = 0, "", 'IWP28'!Std5dot4Mo2Ans)</f>
        <v/>
      </c>
      <c r="BB107" s="107">
        <f>IF('IWP28'!Std5dot4Mo2Date=DATE(1900,1,0), DATE(1900,1,1),'IWP28'!Std5dot4Mo2Date)</f>
        <v>1</v>
      </c>
      <c r="BC107" s="2" t="str">
        <f>IF('IWP28'!Std5dot4 = 0, "", 'IWP28'!Std5dot4)</f>
        <v>NA</v>
      </c>
      <c r="BD107" s="2" t="str">
        <f>IF('IWP28'!Std5dot5 = 0, "", 'IWP28'!Std5dot5)</f>
        <v/>
      </c>
      <c r="BE107" s="2" t="str">
        <f>IF('IWP28'!Std5dot6 = 0, "", 'IWP28'!Std5dot6)</f>
        <v/>
      </c>
      <c r="BF107" s="106" t="str">
        <f>IF('IWP28'!Std6dot1 = 0, "", 'IWP28'!Std6dot1)</f>
        <v/>
      </c>
      <c r="BG107" s="155">
        <f>IF('IWP28'!FiscalReviewFirstMonth = DATE(1900,1,0),DATE(1900,1,1), 'IWP28'!FiscalReviewFirstMonth)</f>
        <v>1</v>
      </c>
      <c r="BH107" s="155">
        <f>IF('IWP28'!FiscalReviewSecondMonth = DATE(1900,1,0),DATE(1900,1,1), 'IWP28'!FiscalReviewSecondMonth)</f>
        <v>1</v>
      </c>
      <c r="BI107" s="107">
        <f>IF('IWP28'!Std4DateOfForm3049=DATE(1900,1,0), DATE(1900,1,1),'IWP28'!Std4DateOfForm3049)</f>
        <v>1</v>
      </c>
      <c r="BJ107" s="230">
        <f>IF('IWP28'!Std4DateForm3049SubmittedDadsRegNurse=DATE(1900,1,0), DATE(1900,1,1),'IWP28'!Std4DateForm3049SubmittedDadsRegNurse)</f>
        <v>1</v>
      </c>
    </row>
    <row r="108" spans="1:62">
      <c r="A108" s="125" t="s">
        <v>502</v>
      </c>
      <c r="B108" s="107">
        <f>IF('Samples (Print)'!D33=DATE(1900,1,0), DATE(1900,1,1),'Samples (Print)'!D33)</f>
        <v>1</v>
      </c>
      <c r="C108" s="107">
        <f>IF('Samples (Print)'!E33=DATE(1900,1,0), DATE(1900,1,1),'Samples (Print)'!E33)</f>
        <v>1</v>
      </c>
      <c r="D108" s="128">
        <f>'IWP29'!SampleNumber</f>
        <v>29</v>
      </c>
      <c r="E108" s="128">
        <f>'IWP29'!ClientID</f>
        <v>0</v>
      </c>
      <c r="F108" s="129"/>
      <c r="G108" s="129"/>
      <c r="H108" s="106" t="str">
        <f ca="1">IF('IWP29'!ContractNumber = 0, "", 'IWP29'!ContractNumber)</f>
        <v/>
      </c>
      <c r="I108" s="106" t="str">
        <f>IF('IWP29'!ServiceCode = 0, "", 'IWP29'!ServiceCode)</f>
        <v/>
      </c>
      <c r="J108" s="106" t="str">
        <f>IF('IWP29'!CompletedByLastName = 0, "", 'IWP29'!CompletedByLastName)</f>
        <v/>
      </c>
      <c r="K108" s="106" t="str">
        <f>IF('IWP29'!CompletedByFirstName = 0, "", 'IWP29'!CompletedByFirstName)</f>
        <v/>
      </c>
      <c r="L108" s="107">
        <f>IF('IWP29'!DateCompleted=DATE(1900,1,0), DATE(1900,1,1),'IWP29'!DateCompleted)</f>
        <v>1</v>
      </c>
      <c r="M108" s="107">
        <f>IF('IWP29'!Std4ReferralDate=DATE(1900,1,0), DATE(1900,1,1),'IWP29'!Std4ReferralDate)</f>
        <v>1</v>
      </c>
      <c r="N108" s="107">
        <f>IF('IWP29'!Std4BeginDate=DATE(1900,1,0), DATE(1900,1,1),'IWP29'!Std4BeginDate)</f>
        <v>1</v>
      </c>
      <c r="O108" s="107">
        <f>IF('IWP29'!Std4DateOfReceipt=DATE(1900,1,0), DATE(1900,1,1),'IWP29'!Std4DateOfReceipt)</f>
        <v>1</v>
      </c>
      <c r="P108" s="107">
        <f>IF('IWP29'!Std4FirstDayOfSvc=DATE(1900,1,0), DATE(1900,1,1),'IWP29'!Std4FirstDayOfSvc)</f>
        <v>1</v>
      </c>
      <c r="Q108" s="107">
        <f>IF('IWP29'!Std4DateOfVerbalPhysOrders=DATE(1900,1,0), DATE(1900,1,1),'IWP29'!Std4DateOfVerbalPhysOrders)</f>
        <v>1</v>
      </c>
      <c r="R108" s="107">
        <f>IF('IWP29'!Std4DateOfWrittenPhysPhysOrders=DATE(1900,1,0), DATE(1900,1,1),'IWP29'!Std4DateOfWrittenPhysPhysOrders)</f>
        <v>1</v>
      </c>
      <c r="S108" s="107">
        <f>IF('IWP29'!Std4DateOfForm3050=DATE(1900,1,0), DATE(1900,1,1),'IWP29'!Std4DateOfForm3050)</f>
        <v>1</v>
      </c>
      <c r="T108" s="107">
        <f>IF('IWP29'!Std4DateForm3050SubmittedDadsRegNurse=DATE(1900,1,0), DATE(1900,1,1),'IWP29'!Std4DateForm3050SubmittedDadsRegNurse)</f>
        <v>1</v>
      </c>
      <c r="U108" s="107">
        <f>IF('IWP29'!Std4DateForm3055SubmittedDadsRegNurse=DATE(1900,1,0), DATE(1900,1,1),'IWP29'!Std4DateForm3055SubmittedDadsRegNurse)</f>
        <v>1</v>
      </c>
      <c r="V108" s="107">
        <f>IF('IWP29'!Std4DateOfXferFromAnotherDahs=DATE(1900,1,0), DATE(1900,1,1),'IWP29'!Std4DateOfXferFromAnotherDahs)</f>
        <v>1</v>
      </c>
      <c r="W108" s="106" t="str">
        <f>IF('IWP29'!Std4dot1aNotCalc = 0, "", 'IWP29'!Std4dot1aNotCalc)</f>
        <v/>
      </c>
      <c r="X108" s="106" t="str">
        <f>IF('IWP29'!Std4dot1bNotCalc = 0, "", 'IWP29'!Std4dot1bNotCalc)</f>
        <v/>
      </c>
      <c r="Y108" s="106" t="str">
        <f>IF('IWP29'!Std4dot1a = 0, "", 'IWP29'!Std4dot1a)</f>
        <v/>
      </c>
      <c r="Z108" s="106" t="str">
        <f>IF('IWP29'!Std4dot1b = 0, "", 'IWP29'!Std4dot1b)</f>
        <v/>
      </c>
      <c r="AA108" s="106" t="str">
        <f>IF('IWP29'!Std4dot1 = 0, "", 'IWP29'!Std4dot1)</f>
        <v/>
      </c>
      <c r="AB108" s="106" t="str">
        <f>IF('IWP29'!Std4dot2NotCalc = 0, "", 'IWP29'!Std4dot2NotCalc)</f>
        <v/>
      </c>
      <c r="AC108" s="106" t="str">
        <f>IF('IWP29'!Std4dot2 = 0, "", 'IWP29'!Std4dot2)</f>
        <v/>
      </c>
      <c r="AD108" s="106" t="str">
        <f>IF('IWP29'!Std4dot3NotCalc = 0, "", 'IWP29'!Std4dot3NotCalc)</f>
        <v/>
      </c>
      <c r="AE108" s="106" t="str">
        <f>IF('IWP29'!Std4dot3a = 0, "", 'IWP29'!Std4dot3a)</f>
        <v/>
      </c>
      <c r="AF108" s="106" t="str">
        <f>IF('IWP29'!Std4dot3b = 0, "", 'IWP29'!Std4dot3b)</f>
        <v/>
      </c>
      <c r="AG108" s="106" t="str">
        <f>IF('IWP29'!Std4dot3c = 0, "", 'IWP29'!Std4dot3c)</f>
        <v/>
      </c>
      <c r="AH108" s="106" t="str">
        <f>IF('IWP29'!Std4dot3d = 0, "", 'IWP29'!Std4dot3d)</f>
        <v/>
      </c>
      <c r="AI108" s="106" t="str">
        <f>IF('IWP29'!Std4dot3 = 0, "", 'IWP29'!Std4dot3)</f>
        <v/>
      </c>
      <c r="AJ108" s="106" t="str">
        <f>IF('IWP29'!Std4dot4a = 0, "", 'IWP29'!Std4dot4a)</f>
        <v/>
      </c>
      <c r="AK108" s="106" t="str">
        <f>IF('IWP29'!Std4dot4b = 0, "", 'IWP29'!Std4dot4b)</f>
        <v/>
      </c>
      <c r="AL108" s="106" t="str">
        <f>IF('IWP29'!Std4dot4 = 0, "", 'IWP29'!Std4dot4)</f>
        <v/>
      </c>
      <c r="AM108" s="106" t="str">
        <f>IF('IWP29'!Std5NotCalc = 0, "", 'IWP29'!Std5NotCalc)</f>
        <v/>
      </c>
      <c r="AN108" s="106" t="str">
        <f>IF('IWP29'!Std5dot1 = 0, "", 'IWP29'!Std5dot1)</f>
        <v>NA</v>
      </c>
      <c r="AO108" s="106" t="str">
        <f>IF('IWP29'!Std5dot2Mo1Ans = 0, "", 'IWP29'!Std5dot2Mo1Ans)</f>
        <v/>
      </c>
      <c r="AP108" s="107">
        <f>IF('IWP29'!Std5dot2Mo1Date=DATE(1900,1,0), DATE(1900,1,1),'IWP29'!Std5dot2Mo1Date)</f>
        <v>1</v>
      </c>
      <c r="AQ108" s="106" t="str">
        <f>IF('IWP29'!Std5dot2Mo2Ans = 0, "", 'IWP29'!Std5dot2Mo2Ans)</f>
        <v/>
      </c>
      <c r="AR108" s="107">
        <f>IF('IWP29'!Std5dot2Mo2Date=DATE(1900,1,0), DATE(1900,1,1),'IWP29'!Std5dot2Mo2Date)</f>
        <v>1</v>
      </c>
      <c r="AS108" s="106" t="str">
        <f>IF('IWP29'!Std5dot2 = 0, "", 'IWP29'!Std5dot2)</f>
        <v/>
      </c>
      <c r="AT108" s="106" t="str">
        <f>IF('IWP29'!Std5dot3Mo1Ans = 0, "", 'IWP29'!Std5dot3Mo1Ans)</f>
        <v/>
      </c>
      <c r="AU108" s="107">
        <f>IF('IWP29'!Std5dot3Mo1Date=DATE(1900,1,0), DATE(1900,1,1),'IWP29'!Std5dot3Mo1Date)</f>
        <v>1</v>
      </c>
      <c r="AV108" s="106" t="str">
        <f>IF('IWP29'!Std5dot3Mo2Ans = 0, "", 'IWP29'!Std5dot3Mo2Ans)</f>
        <v/>
      </c>
      <c r="AW108" s="107">
        <f>IF('IWP29'!Std5dot3Mo2Date=DATE(1900,1,0), DATE(1900,1,1),'IWP29'!Std5dot3Mo2Date)</f>
        <v>1</v>
      </c>
      <c r="AX108" s="106" t="str">
        <f>IF('IWP29'!Std5dot3 = 0, "", 'IWP29'!Std5dot3)</f>
        <v>NA</v>
      </c>
      <c r="AY108" s="106" t="str">
        <f>IF('IWP29'!Std5dot4Mo1Ans = 0, "", 'IWP29'!Std5dot4Mo1Ans)</f>
        <v/>
      </c>
      <c r="AZ108" s="107">
        <f>IF('IWP29'!Std5dot4Mo1Date=DATE(1900,1,0), DATE(1900,1,1),'IWP29'!Std5dot4Mo1Date)</f>
        <v>1</v>
      </c>
      <c r="BA108" s="106" t="str">
        <f>IF('IWP29'!Std5dot4Mo2Ans = 0, "", 'IWP29'!Std5dot4Mo2Ans)</f>
        <v/>
      </c>
      <c r="BB108" s="107">
        <f>IF('IWP29'!Std5dot4Mo2Date=DATE(1900,1,0), DATE(1900,1,1),'IWP29'!Std5dot4Mo2Date)</f>
        <v>1</v>
      </c>
      <c r="BC108" s="2" t="str">
        <f>IF('IWP29'!Std5dot4 = 0, "", 'IWP29'!Std5dot4)</f>
        <v>NA</v>
      </c>
      <c r="BD108" s="2" t="str">
        <f>IF('IWP29'!Std5dot5 = 0, "", 'IWP29'!Std5dot5)</f>
        <v/>
      </c>
      <c r="BE108" s="2" t="str">
        <f>IF('IWP29'!Std5dot6 = 0, "", 'IWP29'!Std5dot6)</f>
        <v/>
      </c>
      <c r="BF108" s="106" t="str">
        <f>IF('IWP29'!Std6dot1 = 0, "", 'IWP29'!Std6dot1)</f>
        <v/>
      </c>
      <c r="BG108" s="155">
        <f>IF('IWP29'!FiscalReviewFirstMonth = DATE(1900,1,0),DATE(1900,1,1), 'IWP29'!FiscalReviewFirstMonth)</f>
        <v>1</v>
      </c>
      <c r="BH108" s="155">
        <f>IF('IWP29'!FiscalReviewSecondMonth = DATE(1900,1,0),DATE(1900,1,1), 'IWP29'!FiscalReviewSecondMonth)</f>
        <v>1</v>
      </c>
      <c r="BI108" s="107">
        <f>IF('IWP29'!Std4DateOfForm3049=DATE(1900,1,0), DATE(1900,1,1),'IWP29'!Std4DateOfForm3049)</f>
        <v>1</v>
      </c>
      <c r="BJ108" s="230">
        <f>IF('IWP29'!Std4DateForm3049SubmittedDadsRegNurse=DATE(1900,1,0), DATE(1900,1,1),'IWP29'!Std4DateForm3049SubmittedDadsRegNurse)</f>
        <v>1</v>
      </c>
    </row>
    <row r="109" spans="1:62" ht="13" thickBot="1">
      <c r="A109" s="103" t="s">
        <v>503</v>
      </c>
      <c r="B109" s="126">
        <f>IF('Samples (Print)'!D34=DATE(1900,1,0), DATE(1900,1,1),'Samples (Print)'!D34)</f>
        <v>1</v>
      </c>
      <c r="C109" s="126">
        <f>IF('Samples (Print)'!E34=DATE(1900,1,0), DATE(1900,1,1),'Samples (Print)'!E34)</f>
        <v>1</v>
      </c>
      <c r="D109" s="118">
        <f>'IWP30'!SampleNumber</f>
        <v>30</v>
      </c>
      <c r="E109" s="118">
        <f>'IWP30'!ClientID</f>
        <v>0</v>
      </c>
      <c r="F109" s="130"/>
      <c r="G109" s="130"/>
      <c r="H109" s="104" t="str">
        <f ca="1">IF('IWP30'!ContractNumber = 0, "", 'IWP30'!ContractNumber)</f>
        <v/>
      </c>
      <c r="I109" s="104" t="str">
        <f>IF('IWP30'!ServiceCode = 0, "", 'IWP30'!ServiceCode)</f>
        <v/>
      </c>
      <c r="J109" s="104" t="str">
        <f>IF('IWP30'!CompletedByLastName = 0, "", 'IWP30'!CompletedByLastName)</f>
        <v/>
      </c>
      <c r="K109" s="104" t="str">
        <f>IF('IWP30'!CompletedByFirstName = 0, "", 'IWP30'!CompletedByFirstName)</f>
        <v/>
      </c>
      <c r="L109" s="126">
        <f>IF('IWP30'!DateCompleted=DATE(1900,1,0), DATE(1900,1,1),'IWP30'!DateCompleted)</f>
        <v>1</v>
      </c>
      <c r="M109" s="126">
        <f>IF('IWP30'!Std4ReferralDate=DATE(1900,1,0), DATE(1900,1,1),'IWP30'!Std4ReferralDate)</f>
        <v>1</v>
      </c>
      <c r="N109" s="126">
        <f>IF('IWP30'!Std4BeginDate=DATE(1900,1,0), DATE(1900,1,1),'IWP30'!Std4BeginDate)</f>
        <v>1</v>
      </c>
      <c r="O109" s="126">
        <f>IF('IWP30'!Std4DateOfReceipt=DATE(1900,1,0), DATE(1900,1,1),'IWP30'!Std4DateOfReceipt)</f>
        <v>1</v>
      </c>
      <c r="P109" s="126">
        <f>IF('IWP30'!Std4FirstDayOfSvc=DATE(1900,1,0), DATE(1900,1,1),'IWP30'!Std4FirstDayOfSvc)</f>
        <v>1</v>
      </c>
      <c r="Q109" s="126">
        <f>IF('IWP30'!Std4DateOfVerbalPhysOrders=DATE(1900,1,0), DATE(1900,1,1),'IWP30'!Std4DateOfVerbalPhysOrders)</f>
        <v>1</v>
      </c>
      <c r="R109" s="126">
        <f>IF('IWP30'!Std4DateOfWrittenPhysPhysOrders=DATE(1900,1,0), DATE(1900,1,1),'IWP30'!Std4DateOfWrittenPhysPhysOrders)</f>
        <v>1</v>
      </c>
      <c r="S109" s="126">
        <f>IF('IWP30'!Std4DateOfForm3050=DATE(1900,1,0), DATE(1900,1,1),'IWP30'!Std4DateOfForm3050)</f>
        <v>1</v>
      </c>
      <c r="T109" s="126">
        <f>IF('IWP30'!Std4DateForm3050SubmittedDadsRegNurse=DATE(1900,1,0), DATE(1900,1,1),'IWP30'!Std4DateForm3050SubmittedDadsRegNurse)</f>
        <v>1</v>
      </c>
      <c r="U109" s="126">
        <f>IF('IWP30'!Std4DateForm3055SubmittedDadsRegNurse=DATE(1900,1,0), DATE(1900,1,1),'IWP30'!Std4DateForm3055SubmittedDadsRegNurse)</f>
        <v>1</v>
      </c>
      <c r="V109" s="126">
        <f>IF('IWP30'!Std4DateOfXferFromAnotherDahs=DATE(1900,1,0), DATE(1900,1,1),'IWP30'!Std4DateOfXferFromAnotherDahs)</f>
        <v>1</v>
      </c>
      <c r="W109" s="104" t="str">
        <f>IF('IWP30'!Std4dot1aNotCalc = 0, "", 'IWP30'!Std4dot1aNotCalc)</f>
        <v/>
      </c>
      <c r="X109" s="104" t="str">
        <f>IF('IWP30'!Std4dot1bNotCalc = 0, "", 'IWP30'!Std4dot1bNotCalc)</f>
        <v/>
      </c>
      <c r="Y109" s="104" t="str">
        <f>IF('IWP30'!Std4dot1a = 0, "", 'IWP30'!Std4dot1a)</f>
        <v/>
      </c>
      <c r="Z109" s="104" t="str">
        <f>IF('IWP30'!Std4dot1b = 0, "", 'IWP30'!Std4dot1b)</f>
        <v/>
      </c>
      <c r="AA109" s="104" t="str">
        <f>IF('IWP30'!Std4dot1 = 0, "", 'IWP30'!Std4dot1)</f>
        <v/>
      </c>
      <c r="AB109" s="104" t="str">
        <f>IF('IWP30'!Std4dot2NotCalc = 0, "", 'IWP30'!Std4dot2NotCalc)</f>
        <v/>
      </c>
      <c r="AC109" s="104" t="str">
        <f>IF('IWP30'!Std4dot2 = 0, "", 'IWP30'!Std4dot2)</f>
        <v/>
      </c>
      <c r="AD109" s="104" t="str">
        <f>IF('IWP30'!Std4dot3NotCalc = 0, "", 'IWP30'!Std4dot3NotCalc)</f>
        <v/>
      </c>
      <c r="AE109" s="104" t="str">
        <f>IF('IWP30'!Std4dot3a = 0, "", 'IWP30'!Std4dot3a)</f>
        <v/>
      </c>
      <c r="AF109" s="104" t="str">
        <f>IF('IWP30'!Std4dot3b = 0, "", 'IWP30'!Std4dot3b)</f>
        <v/>
      </c>
      <c r="AG109" s="104" t="str">
        <f>IF('IWP30'!Std4dot3c = 0, "", 'IWP30'!Std4dot3c)</f>
        <v/>
      </c>
      <c r="AH109" s="104" t="str">
        <f>IF('IWP30'!Std4dot3d = 0, "", 'IWP30'!Std4dot3d)</f>
        <v/>
      </c>
      <c r="AI109" s="104" t="str">
        <f>IF('IWP30'!Std4dot3 = 0, "", 'IWP30'!Std4dot3)</f>
        <v/>
      </c>
      <c r="AJ109" s="104" t="str">
        <f>IF('IWP30'!Std4dot4a = 0, "", 'IWP30'!Std4dot4a)</f>
        <v/>
      </c>
      <c r="AK109" s="104" t="str">
        <f>IF('IWP30'!Std4dot4b = 0, "", 'IWP30'!Std4dot4b)</f>
        <v/>
      </c>
      <c r="AL109" s="104" t="str">
        <f>IF('IWP30'!Std4dot4 = 0, "", 'IWP30'!Std4dot4)</f>
        <v/>
      </c>
      <c r="AM109" s="104" t="str">
        <f>IF('IWP30'!Std5NotCalc = 0, "", 'IWP30'!Std5NotCalc)</f>
        <v/>
      </c>
      <c r="AN109" s="104" t="str">
        <f>IF('IWP30'!Std5dot1 = 0, "", 'IWP30'!Std5dot1)</f>
        <v>NA</v>
      </c>
      <c r="AO109" s="104" t="str">
        <f>IF('IWP30'!Std5dot2Mo1Ans = 0, "", 'IWP30'!Std5dot2Mo1Ans)</f>
        <v/>
      </c>
      <c r="AP109" s="126">
        <f>IF('IWP30'!Std5dot2Mo1Date=DATE(1900,1,0), DATE(1900,1,1),'IWP30'!Std5dot2Mo1Date)</f>
        <v>1</v>
      </c>
      <c r="AQ109" s="104" t="str">
        <f>IF('IWP30'!Std5dot2Mo2Ans = 0, "", 'IWP30'!Std5dot2Mo2Ans)</f>
        <v/>
      </c>
      <c r="AR109" s="126">
        <f>IF('IWP30'!Std5dot2Mo2Date=DATE(1900,1,0), DATE(1900,1,1),'IWP30'!Std5dot2Mo2Date)</f>
        <v>1</v>
      </c>
      <c r="AS109" s="104" t="str">
        <f>IF('IWP30'!Std5dot2 = 0, "", 'IWP30'!Std5dot2)</f>
        <v/>
      </c>
      <c r="AT109" s="104" t="str">
        <f>IF('IWP30'!Std5dot3Mo1Ans = 0, "", 'IWP30'!Std5dot3Mo1Ans)</f>
        <v/>
      </c>
      <c r="AU109" s="126">
        <f>IF('IWP30'!Std5dot3Mo1Date=DATE(1900,1,0), DATE(1900,1,1),'IWP30'!Std5dot3Mo1Date)</f>
        <v>1</v>
      </c>
      <c r="AV109" s="104" t="str">
        <f>IF('IWP30'!Std5dot3Mo2Ans = 0, "", 'IWP30'!Std5dot3Mo2Ans)</f>
        <v/>
      </c>
      <c r="AW109" s="126">
        <f>IF('IWP30'!Std5dot3Mo2Date=DATE(1900,1,0), DATE(1900,1,1),'IWP30'!Std5dot3Mo2Date)</f>
        <v>1</v>
      </c>
      <c r="AX109" s="104" t="str">
        <f>IF('IWP30'!Std5dot3 = 0, "", 'IWP30'!Std5dot3)</f>
        <v>NA</v>
      </c>
      <c r="AY109" s="104" t="str">
        <f>IF('IWP30'!Std5dot4Mo1Ans = 0, "", 'IWP30'!Std5dot4Mo1Ans)</f>
        <v/>
      </c>
      <c r="AZ109" s="126">
        <f>IF('IWP30'!Std5dot4Mo1Date=DATE(1900,1,0), DATE(1900,1,1),'IWP30'!Std5dot4Mo1Date)</f>
        <v>1</v>
      </c>
      <c r="BA109" s="104" t="str">
        <f>IF('IWP30'!Std5dot4Mo2Ans = 0, "", 'IWP30'!Std5dot4Mo2Ans)</f>
        <v/>
      </c>
      <c r="BB109" s="126">
        <f>IF('IWP30'!Std5dot4Mo2Date=DATE(1900,1,0), DATE(1900,1,1),'IWP30'!Std5dot4Mo2Date)</f>
        <v>1</v>
      </c>
      <c r="BC109" s="131" t="str">
        <f>IF('IWP30'!Std5dot4 = 0, "", 'IWP30'!Std5dot4)</f>
        <v>NA</v>
      </c>
      <c r="BD109" s="131" t="str">
        <f>IF('IWP30'!Std5dot5 = 0, "", 'IWP30'!Std5dot5)</f>
        <v/>
      </c>
      <c r="BE109" s="131" t="str">
        <f>IF('IWP30'!Std5dot6 = 0, "", 'IWP30'!Std5dot6)</f>
        <v/>
      </c>
      <c r="BF109" s="104" t="str">
        <f>IF('IWP30'!Std6dot1 = 0, "", 'IWP30'!Std6dot1)</f>
        <v/>
      </c>
      <c r="BG109" s="156">
        <f>IF('IWP30'!FiscalReviewFirstMonth = DATE(1900,1,0),DATE(1900,1,1), 'IWP30'!FiscalReviewFirstMonth)</f>
        <v>1</v>
      </c>
      <c r="BH109" s="156">
        <f>IF('IWP30'!FiscalReviewSecondMonth = DATE(1900,1,0),DATE(1900,1,1), 'IWP30'!FiscalReviewSecondMonth)</f>
        <v>1</v>
      </c>
      <c r="BI109" s="126">
        <f>IF('IWP30'!Std4DateOfForm3049=DATE(1900,1,0), DATE(1900,1,1),'IWP30'!Std4DateOfForm3049)</f>
        <v>1</v>
      </c>
      <c r="BJ109" s="105">
        <f>IF('IWP30'!Std4DateForm3049SubmittedDadsRegNurse=DATE(1900,1,0), DATE(1900,1,1),'IWP30'!Std4DateForm3049SubmittedDadsRegNurse)</f>
        <v>1</v>
      </c>
    </row>
    <row r="111" spans="1:62" ht="13" thickBot="1">
      <c r="A111" s="2" t="s">
        <v>553</v>
      </c>
    </row>
    <row r="112" spans="1:62" s="5" customFormat="1">
      <c r="A112" s="100" t="s">
        <v>427</v>
      </c>
      <c r="B112" s="101" t="s">
        <v>504</v>
      </c>
      <c r="C112" s="101" t="s">
        <v>522</v>
      </c>
      <c r="D112" s="101" t="s">
        <v>523</v>
      </c>
      <c r="E112" s="101" t="s">
        <v>524</v>
      </c>
      <c r="F112" s="101" t="s">
        <v>525</v>
      </c>
      <c r="G112" s="101" t="s">
        <v>400</v>
      </c>
      <c r="H112" s="102" t="s">
        <v>526</v>
      </c>
    </row>
    <row r="113" spans="1:8" s="5" customFormat="1">
      <c r="A113" s="132" t="s">
        <v>429</v>
      </c>
      <c r="B113" s="133">
        <v>1</v>
      </c>
      <c r="C113" s="133">
        <f ca="1">OFFSET('IWP01'!UnitsOfServiceTotalsPeriod1, 0, 0, 1, 1)</f>
        <v>0</v>
      </c>
      <c r="D113" s="133">
        <f ca="1">OFFSET('IWP01'!UnitsOfServiceTotalsPeriod1, 0, 1, 1, 1)</f>
        <v>0</v>
      </c>
      <c r="E113" s="133">
        <f ca="1">OFFSET('IWP01'!UnitsOfServiceTotalsPeriod1, 0, 3, 1, 1)</f>
        <v>0</v>
      </c>
      <c r="F113" s="133">
        <f ca="1">OFFSET('IWP01'!UnitsOfServiceTotalsPeriod1, 0, 4, 1, 1)</f>
        <v>0</v>
      </c>
      <c r="G113" s="133">
        <f ca="1">OFFSET('IWP01'!UnitsOfServiceTotalsPeriod1, 0, 5, 1, 1)</f>
        <v>0</v>
      </c>
      <c r="H113" s="134">
        <f ca="1">OFFSET('IWP01'!UnitsOfServiceTotalsPeriod1, 0, 6, 1, 1)</f>
        <v>0</v>
      </c>
    </row>
    <row r="114" spans="1:8" s="5" customFormat="1">
      <c r="A114" s="132" t="s">
        <v>429</v>
      </c>
      <c r="B114" s="133">
        <v>2</v>
      </c>
      <c r="C114" s="133">
        <f ca="1">OFFSET('IWP01'!UnitsOfServiceTotalsPeriod2, 0, 0, 1, 1)</f>
        <v>0</v>
      </c>
      <c r="D114" s="133">
        <f ca="1">OFFSET('IWP01'!UnitsOfServiceTotalsPeriod2, 0, 1, 1, 1)</f>
        <v>0</v>
      </c>
      <c r="E114" s="133">
        <f ca="1">OFFSET('IWP01'!UnitsOfServiceTotalsPeriod2, 0, 3, 1, 1)</f>
        <v>0</v>
      </c>
      <c r="F114" s="133">
        <f ca="1">OFFSET('IWP01'!UnitsOfServiceTotalsPeriod2, 0, 4, 1, 1)</f>
        <v>0</v>
      </c>
      <c r="G114" s="133">
        <f ca="1">OFFSET('IWP01'!UnitsOfServiceTotalsPeriod2, 0, 5, 1, 1)</f>
        <v>0</v>
      </c>
      <c r="H114" s="134">
        <f ca="1">OFFSET('IWP01'!UnitsOfServiceTotalsPeriod2, 0, 6, 1, 1)</f>
        <v>0</v>
      </c>
    </row>
    <row r="115" spans="1:8" s="5" customFormat="1">
      <c r="A115" s="132" t="s">
        <v>430</v>
      </c>
      <c r="B115" s="133">
        <v>1</v>
      </c>
      <c r="C115" s="133">
        <f ca="1">OFFSET('IWP02'!UnitsOfServiceTotalsPeriod1, 0, 0, 1, 1)</f>
        <v>0</v>
      </c>
      <c r="D115" s="133">
        <f ca="1">OFFSET('IWP02'!UnitsOfServiceTotalsPeriod1, 0, 1, 1, 1)</f>
        <v>0</v>
      </c>
      <c r="E115" s="133">
        <f ca="1">OFFSET('IWP02'!UnitsOfServiceTotalsPeriod1, 0, 3, 1, 1)</f>
        <v>0</v>
      </c>
      <c r="F115" s="133">
        <f ca="1">OFFSET('IWP02'!UnitsOfServiceTotalsPeriod1, 0, 4, 1, 1)</f>
        <v>0</v>
      </c>
      <c r="G115" s="133">
        <f ca="1">OFFSET('IWP02'!UnitsOfServiceTotalsPeriod1, 0, 5, 1, 1)</f>
        <v>0</v>
      </c>
      <c r="H115" s="134">
        <f ca="1">OFFSET('IWP02'!UnitsOfServiceTotalsPeriod1, 0, 6, 1, 1)</f>
        <v>0</v>
      </c>
    </row>
    <row r="116" spans="1:8" s="5" customFormat="1">
      <c r="A116" s="132" t="s">
        <v>430</v>
      </c>
      <c r="B116" s="133">
        <v>2</v>
      </c>
      <c r="C116" s="133">
        <f ca="1">OFFSET('IWP02'!UnitsOfServiceTotalsPeriod2, 0, 0, 1, 1)</f>
        <v>0</v>
      </c>
      <c r="D116" s="133">
        <f ca="1">OFFSET('IWP02'!UnitsOfServiceTotalsPeriod2, 0, 1, 1, 1)</f>
        <v>0</v>
      </c>
      <c r="E116" s="133">
        <f ca="1">OFFSET('IWP02'!UnitsOfServiceTotalsPeriod2, 0, 3, 1, 1)</f>
        <v>0</v>
      </c>
      <c r="F116" s="133">
        <f ca="1">OFFSET('IWP02'!UnitsOfServiceTotalsPeriod2, 0, 4, 1, 1)</f>
        <v>0</v>
      </c>
      <c r="G116" s="133">
        <f ca="1">OFFSET('IWP02'!UnitsOfServiceTotalsPeriod2, 0, 5, 1, 1)</f>
        <v>0</v>
      </c>
      <c r="H116" s="134">
        <f ca="1">OFFSET('IWP02'!UnitsOfServiceTotalsPeriod2, 0, 6, 1, 1)</f>
        <v>0</v>
      </c>
    </row>
    <row r="117" spans="1:8" s="5" customFormat="1">
      <c r="A117" s="132" t="s">
        <v>431</v>
      </c>
      <c r="B117" s="133">
        <v>1</v>
      </c>
      <c r="C117" s="133">
        <f ca="1">OFFSET('IWP03'!UnitsOfServiceTotalsPeriod1, 0, 0, 1, 1)</f>
        <v>0</v>
      </c>
      <c r="D117" s="133">
        <f ca="1">OFFSET('IWP03'!UnitsOfServiceTotalsPeriod1, 0, 1, 1, 1)</f>
        <v>0</v>
      </c>
      <c r="E117" s="133">
        <f ca="1">OFFSET('IWP03'!UnitsOfServiceTotalsPeriod1, 0, 3, 1, 1)</f>
        <v>0</v>
      </c>
      <c r="F117" s="133">
        <f ca="1">OFFSET('IWP03'!UnitsOfServiceTotalsPeriod1, 0, 4, 1, 1)</f>
        <v>0</v>
      </c>
      <c r="G117" s="133">
        <f ca="1">OFFSET('IWP03'!UnitsOfServiceTotalsPeriod1, 0, 5, 1, 1)</f>
        <v>0</v>
      </c>
      <c r="H117" s="134">
        <f ca="1">OFFSET('IWP03'!UnitsOfServiceTotalsPeriod1, 0, 6, 1, 1)</f>
        <v>0</v>
      </c>
    </row>
    <row r="118" spans="1:8" s="5" customFormat="1">
      <c r="A118" s="132" t="s">
        <v>431</v>
      </c>
      <c r="B118" s="133">
        <v>2</v>
      </c>
      <c r="C118" s="133">
        <f ca="1">OFFSET('IWP03'!UnitsOfServiceTotalsPeriod2, 0, 0, 1, 1)</f>
        <v>0</v>
      </c>
      <c r="D118" s="133">
        <f ca="1">OFFSET('IWP03'!UnitsOfServiceTotalsPeriod2, 0, 1, 1, 1)</f>
        <v>0</v>
      </c>
      <c r="E118" s="133">
        <f ca="1">OFFSET('IWP03'!UnitsOfServiceTotalsPeriod2, 0, 3, 1, 1)</f>
        <v>0</v>
      </c>
      <c r="F118" s="133">
        <f ca="1">OFFSET('IWP03'!UnitsOfServiceTotalsPeriod2, 0, 4, 1, 1)</f>
        <v>0</v>
      </c>
      <c r="G118" s="133">
        <f ca="1">OFFSET('IWP03'!UnitsOfServiceTotalsPeriod2, 0, 5, 1, 1)</f>
        <v>0</v>
      </c>
      <c r="H118" s="134">
        <f ca="1">OFFSET('IWP03'!UnitsOfServiceTotalsPeriod2, 0, 6, 1, 1)</f>
        <v>0</v>
      </c>
    </row>
    <row r="119" spans="1:8" s="5" customFormat="1">
      <c r="A119" s="132" t="s">
        <v>477</v>
      </c>
      <c r="B119" s="133">
        <v>1</v>
      </c>
      <c r="C119" s="133">
        <f ca="1">OFFSET('IWP04'!UnitsOfServiceTotalsPeriod1, 0, 0, 1, 1)</f>
        <v>0</v>
      </c>
      <c r="D119" s="133">
        <f ca="1">OFFSET('IWP04'!UnitsOfServiceTotalsPeriod1, 0, 1, 1, 1)</f>
        <v>0</v>
      </c>
      <c r="E119" s="133">
        <f ca="1">OFFSET('IWP04'!UnitsOfServiceTotalsPeriod1, 0, 3, 1, 1)</f>
        <v>0</v>
      </c>
      <c r="F119" s="133">
        <f ca="1">OFFSET('IWP04'!UnitsOfServiceTotalsPeriod1, 0, 4, 1, 1)</f>
        <v>0</v>
      </c>
      <c r="G119" s="133">
        <f ca="1">OFFSET('IWP04'!UnitsOfServiceTotalsPeriod1, 0, 5, 1, 1)</f>
        <v>0</v>
      </c>
      <c r="H119" s="134">
        <f ca="1">OFFSET('IWP04'!UnitsOfServiceTotalsPeriod1, 0, 6, 1, 1)</f>
        <v>0</v>
      </c>
    </row>
    <row r="120" spans="1:8" s="5" customFormat="1">
      <c r="A120" s="132" t="s">
        <v>477</v>
      </c>
      <c r="B120" s="133">
        <v>2</v>
      </c>
      <c r="C120" s="133">
        <f ca="1">OFFSET('IWP04'!UnitsOfServiceTotalsPeriod2, 0, 0, 1, 1)</f>
        <v>0</v>
      </c>
      <c r="D120" s="133">
        <f ca="1">OFFSET('IWP04'!UnitsOfServiceTotalsPeriod2, 0, 1, 1, 1)</f>
        <v>0</v>
      </c>
      <c r="E120" s="133">
        <f ca="1">OFFSET('IWP04'!UnitsOfServiceTotalsPeriod2, 0, 3, 1, 1)</f>
        <v>0</v>
      </c>
      <c r="F120" s="133">
        <f ca="1">OFFSET('IWP04'!UnitsOfServiceTotalsPeriod2, 0, 4, 1, 1)</f>
        <v>0</v>
      </c>
      <c r="G120" s="133">
        <f ca="1">OFFSET('IWP04'!UnitsOfServiceTotalsPeriod2, 0, 5, 1, 1)</f>
        <v>0</v>
      </c>
      <c r="H120" s="134">
        <f ca="1">OFFSET('IWP04'!UnitsOfServiceTotalsPeriod2, 0, 6, 1, 1)</f>
        <v>0</v>
      </c>
    </row>
    <row r="121" spans="1:8" s="5" customFormat="1">
      <c r="A121" s="132" t="s">
        <v>478</v>
      </c>
      <c r="B121" s="133">
        <v>1</v>
      </c>
      <c r="C121" s="133">
        <f ca="1">OFFSET('IWP05'!UnitsOfServiceTotalsPeriod1, 0, 0, 1, 1)</f>
        <v>0</v>
      </c>
      <c r="D121" s="133">
        <f ca="1">OFFSET('IWP05'!UnitsOfServiceTotalsPeriod1, 0, 1, 1, 1)</f>
        <v>0</v>
      </c>
      <c r="E121" s="133">
        <f ca="1">OFFSET('IWP05'!UnitsOfServiceTotalsPeriod1, 0, 3, 1, 1)</f>
        <v>0</v>
      </c>
      <c r="F121" s="133">
        <f ca="1">OFFSET('IWP05'!UnitsOfServiceTotalsPeriod1, 0, 4, 1, 1)</f>
        <v>0</v>
      </c>
      <c r="G121" s="133">
        <f ca="1">OFFSET('IWP05'!UnitsOfServiceTotalsPeriod1, 0, 5, 1, 1)</f>
        <v>0</v>
      </c>
      <c r="H121" s="134">
        <f ca="1">OFFSET('IWP05'!UnitsOfServiceTotalsPeriod1, 0, 6, 1, 1)</f>
        <v>0</v>
      </c>
    </row>
    <row r="122" spans="1:8" s="5" customFormat="1">
      <c r="A122" s="132" t="s">
        <v>478</v>
      </c>
      <c r="B122" s="133">
        <v>2</v>
      </c>
      <c r="C122" s="133">
        <f ca="1">OFFSET('IWP05'!UnitsOfServiceTotalsPeriod2, 0, 0, 1, 1)</f>
        <v>0</v>
      </c>
      <c r="D122" s="133">
        <f ca="1">OFFSET('IWP05'!UnitsOfServiceTotalsPeriod2, 0, 1, 1, 1)</f>
        <v>0</v>
      </c>
      <c r="E122" s="133">
        <f ca="1">OFFSET('IWP05'!UnitsOfServiceTotalsPeriod2, 0, 3, 1, 1)</f>
        <v>0</v>
      </c>
      <c r="F122" s="133">
        <f ca="1">OFFSET('IWP05'!UnitsOfServiceTotalsPeriod2, 0, 4, 1, 1)</f>
        <v>0</v>
      </c>
      <c r="G122" s="133">
        <f ca="1">OFFSET('IWP05'!UnitsOfServiceTotalsPeriod2, 0, 5, 1, 1)</f>
        <v>0</v>
      </c>
      <c r="H122" s="134">
        <f ca="1">OFFSET('IWP05'!UnitsOfServiceTotalsPeriod2, 0, 6, 1, 1)</f>
        <v>0</v>
      </c>
    </row>
    <row r="123" spans="1:8" s="5" customFormat="1">
      <c r="A123" s="132" t="s">
        <v>479</v>
      </c>
      <c r="B123" s="133">
        <v>1</v>
      </c>
      <c r="C123" s="133">
        <f ca="1">OFFSET('IWP06'!UnitsOfServiceTotalsPeriod1, 0, 0, 1, 1)</f>
        <v>0</v>
      </c>
      <c r="D123" s="133">
        <f ca="1">OFFSET('IWP06'!UnitsOfServiceTotalsPeriod1, 0, 1, 1, 1)</f>
        <v>0</v>
      </c>
      <c r="E123" s="133">
        <f ca="1">OFFSET('IWP06'!UnitsOfServiceTotalsPeriod1, 0, 3, 1, 1)</f>
        <v>0</v>
      </c>
      <c r="F123" s="133">
        <f ca="1">OFFSET('IWP06'!UnitsOfServiceTotalsPeriod1, 0, 4, 1, 1)</f>
        <v>0</v>
      </c>
      <c r="G123" s="133">
        <f ca="1">OFFSET('IWP06'!UnitsOfServiceTotalsPeriod1, 0, 5, 1, 1)</f>
        <v>0</v>
      </c>
      <c r="H123" s="134">
        <f ca="1">OFFSET('IWP06'!UnitsOfServiceTotalsPeriod1, 0, 6, 1, 1)</f>
        <v>0</v>
      </c>
    </row>
    <row r="124" spans="1:8" s="5" customFormat="1">
      <c r="A124" s="132" t="s">
        <v>479</v>
      </c>
      <c r="B124" s="133">
        <v>2</v>
      </c>
      <c r="C124" s="133">
        <f ca="1">OFFSET('IWP06'!UnitsOfServiceTotalsPeriod2, 0, 0, 1, 1)</f>
        <v>0</v>
      </c>
      <c r="D124" s="133">
        <f ca="1">OFFSET('IWP06'!UnitsOfServiceTotalsPeriod2, 0, 1, 1, 1)</f>
        <v>0</v>
      </c>
      <c r="E124" s="133">
        <f ca="1">OFFSET('IWP06'!UnitsOfServiceTotalsPeriod2, 0, 3, 1, 1)</f>
        <v>0</v>
      </c>
      <c r="F124" s="133">
        <f ca="1">OFFSET('IWP06'!UnitsOfServiceTotalsPeriod2, 0, 4, 1, 1)</f>
        <v>0</v>
      </c>
      <c r="G124" s="133">
        <f ca="1">OFFSET('IWP06'!UnitsOfServiceTotalsPeriod2, 0, 5, 1, 1)</f>
        <v>0</v>
      </c>
      <c r="H124" s="134">
        <f ca="1">OFFSET('IWP06'!UnitsOfServiceTotalsPeriod2, 0, 6, 1, 1)</f>
        <v>0</v>
      </c>
    </row>
    <row r="125" spans="1:8" s="5" customFormat="1">
      <c r="A125" s="132" t="s">
        <v>480</v>
      </c>
      <c r="B125" s="133">
        <v>1</v>
      </c>
      <c r="C125" s="133">
        <f ca="1">OFFSET('IWP07'!UnitsOfServiceTotalsPeriod1, 0, 0, 1, 1)</f>
        <v>0</v>
      </c>
      <c r="D125" s="133">
        <f ca="1">OFFSET('IWP07'!UnitsOfServiceTotalsPeriod1, 0, 1, 1, 1)</f>
        <v>0</v>
      </c>
      <c r="E125" s="133">
        <f ca="1">OFFSET('IWP07'!UnitsOfServiceTotalsPeriod1, 0, 3, 1, 1)</f>
        <v>0</v>
      </c>
      <c r="F125" s="133">
        <f ca="1">OFFSET('IWP07'!UnitsOfServiceTotalsPeriod1, 0, 4, 1, 1)</f>
        <v>0</v>
      </c>
      <c r="G125" s="133">
        <f ca="1">OFFSET('IWP07'!UnitsOfServiceTotalsPeriod1, 0, 5, 1, 1)</f>
        <v>0</v>
      </c>
      <c r="H125" s="134">
        <f ca="1">OFFSET('IWP07'!UnitsOfServiceTotalsPeriod1, 0, 6, 1, 1)</f>
        <v>0</v>
      </c>
    </row>
    <row r="126" spans="1:8" s="5" customFormat="1">
      <c r="A126" s="132" t="s">
        <v>480</v>
      </c>
      <c r="B126" s="133">
        <v>2</v>
      </c>
      <c r="C126" s="133">
        <f ca="1">OFFSET('IWP07'!UnitsOfServiceTotalsPeriod2, 0, 0, 1, 1)</f>
        <v>0</v>
      </c>
      <c r="D126" s="133">
        <f ca="1">OFFSET('IWP07'!UnitsOfServiceTotalsPeriod2, 0, 1, 1, 1)</f>
        <v>0</v>
      </c>
      <c r="E126" s="133">
        <f ca="1">OFFSET('IWP07'!UnitsOfServiceTotalsPeriod2, 0, 3, 1, 1)</f>
        <v>0</v>
      </c>
      <c r="F126" s="133">
        <f ca="1">OFFSET('IWP07'!UnitsOfServiceTotalsPeriod2, 0, 4, 1, 1)</f>
        <v>0</v>
      </c>
      <c r="G126" s="133">
        <f ca="1">OFFSET('IWP07'!UnitsOfServiceTotalsPeriod2, 0, 5, 1, 1)</f>
        <v>0</v>
      </c>
      <c r="H126" s="134">
        <f ca="1">OFFSET('IWP07'!UnitsOfServiceTotalsPeriod2, 0, 6, 1, 1)</f>
        <v>0</v>
      </c>
    </row>
    <row r="127" spans="1:8" s="5" customFormat="1">
      <c r="A127" s="132" t="s">
        <v>481</v>
      </c>
      <c r="B127" s="133">
        <v>1</v>
      </c>
      <c r="C127" s="133">
        <f ca="1">OFFSET('IWP08'!UnitsOfServiceTotalsPeriod1, 0, 0, 1, 1)</f>
        <v>0</v>
      </c>
      <c r="D127" s="133">
        <f ca="1">OFFSET('IWP08'!UnitsOfServiceTotalsPeriod1, 0, 1, 1, 1)</f>
        <v>0</v>
      </c>
      <c r="E127" s="133">
        <f ca="1">OFFSET('IWP08'!UnitsOfServiceTotalsPeriod1, 0, 3, 1, 1)</f>
        <v>0</v>
      </c>
      <c r="F127" s="133">
        <f ca="1">OFFSET('IWP08'!UnitsOfServiceTotalsPeriod1, 0, 4, 1, 1)</f>
        <v>0</v>
      </c>
      <c r="G127" s="133">
        <f ca="1">OFFSET('IWP08'!UnitsOfServiceTotalsPeriod1, 0, 5, 1, 1)</f>
        <v>0</v>
      </c>
      <c r="H127" s="134">
        <f ca="1">OFFSET('IWP08'!UnitsOfServiceTotalsPeriod1, 0, 6, 1, 1)</f>
        <v>0</v>
      </c>
    </row>
    <row r="128" spans="1:8" s="5" customFormat="1">
      <c r="A128" s="132" t="s">
        <v>481</v>
      </c>
      <c r="B128" s="133">
        <v>2</v>
      </c>
      <c r="C128" s="133">
        <f ca="1">OFFSET('IWP08'!UnitsOfServiceTotalsPeriod2, 0, 0, 1, 1)</f>
        <v>0</v>
      </c>
      <c r="D128" s="133">
        <f ca="1">OFFSET('IWP08'!UnitsOfServiceTotalsPeriod2, 0, 1, 1, 1)</f>
        <v>0</v>
      </c>
      <c r="E128" s="133">
        <f ca="1">OFFSET('IWP08'!UnitsOfServiceTotalsPeriod2, 0, 3, 1, 1)</f>
        <v>0</v>
      </c>
      <c r="F128" s="133">
        <f ca="1">OFFSET('IWP08'!UnitsOfServiceTotalsPeriod2, 0, 4, 1, 1)</f>
        <v>0</v>
      </c>
      <c r="G128" s="133">
        <f ca="1">OFFSET('IWP08'!UnitsOfServiceTotalsPeriod2, 0, 5, 1, 1)</f>
        <v>0</v>
      </c>
      <c r="H128" s="134">
        <f ca="1">OFFSET('IWP08'!UnitsOfServiceTotalsPeriod2, 0, 6, 1, 1)</f>
        <v>0</v>
      </c>
    </row>
    <row r="129" spans="1:8" s="5" customFormat="1">
      <c r="A129" s="132" t="s">
        <v>482</v>
      </c>
      <c r="B129" s="133">
        <v>1</v>
      </c>
      <c r="C129" s="133">
        <f ca="1">OFFSET('IWP09'!UnitsOfServiceTotalsPeriod1, 0, 0, 1, 1)</f>
        <v>0</v>
      </c>
      <c r="D129" s="133">
        <f ca="1">OFFSET('IWP09'!UnitsOfServiceTotalsPeriod1, 0, 1, 1, 1)</f>
        <v>0</v>
      </c>
      <c r="E129" s="133">
        <f ca="1">OFFSET('IWP09'!UnitsOfServiceTotalsPeriod1, 0, 3, 1, 1)</f>
        <v>0</v>
      </c>
      <c r="F129" s="133">
        <f ca="1">OFFSET('IWP09'!UnitsOfServiceTotalsPeriod1, 0, 4, 1, 1)</f>
        <v>0</v>
      </c>
      <c r="G129" s="133">
        <f ca="1">OFFSET('IWP09'!UnitsOfServiceTotalsPeriod1, 0, 5, 1, 1)</f>
        <v>0</v>
      </c>
      <c r="H129" s="134">
        <f ca="1">OFFSET('IWP09'!UnitsOfServiceTotalsPeriod1, 0, 6, 1, 1)</f>
        <v>0</v>
      </c>
    </row>
    <row r="130" spans="1:8" s="5" customFormat="1">
      <c r="A130" s="132" t="s">
        <v>482</v>
      </c>
      <c r="B130" s="133">
        <v>2</v>
      </c>
      <c r="C130" s="133">
        <f ca="1">OFFSET('IWP09'!UnitsOfServiceTotalsPeriod2, 0, 0, 1, 1)</f>
        <v>0</v>
      </c>
      <c r="D130" s="133">
        <f ca="1">OFFSET('IWP09'!UnitsOfServiceTotalsPeriod2, 0, 1, 1, 1)</f>
        <v>0</v>
      </c>
      <c r="E130" s="133">
        <f ca="1">OFFSET('IWP09'!UnitsOfServiceTotalsPeriod2, 0, 3, 1, 1)</f>
        <v>0</v>
      </c>
      <c r="F130" s="133">
        <f ca="1">OFFSET('IWP09'!UnitsOfServiceTotalsPeriod2, 0, 4, 1, 1)</f>
        <v>0</v>
      </c>
      <c r="G130" s="133">
        <f ca="1">OFFSET('IWP09'!UnitsOfServiceTotalsPeriod2, 0, 5, 1, 1)</f>
        <v>0</v>
      </c>
      <c r="H130" s="134">
        <f ca="1">OFFSET('IWP09'!UnitsOfServiceTotalsPeriod2, 0, 6, 1, 1)</f>
        <v>0</v>
      </c>
    </row>
    <row r="131" spans="1:8" s="5" customFormat="1">
      <c r="A131" s="132" t="s">
        <v>483</v>
      </c>
      <c r="B131" s="133">
        <v>1</v>
      </c>
      <c r="C131" s="133">
        <f ca="1">OFFSET('IWP10'!UnitsOfServiceTotalsPeriod1, 0, 0, 1, 1)</f>
        <v>0</v>
      </c>
      <c r="D131" s="133">
        <f ca="1">OFFSET('IWP10'!UnitsOfServiceTotalsPeriod1, 0, 1, 1, 1)</f>
        <v>0</v>
      </c>
      <c r="E131" s="133">
        <f ca="1">OFFSET('IWP10'!UnitsOfServiceTotalsPeriod1, 0, 3, 1, 1)</f>
        <v>0</v>
      </c>
      <c r="F131" s="133">
        <f ca="1">OFFSET('IWP10'!UnitsOfServiceTotalsPeriod1, 0, 4, 1, 1)</f>
        <v>0</v>
      </c>
      <c r="G131" s="133">
        <f ca="1">OFFSET('IWP10'!UnitsOfServiceTotalsPeriod1, 0, 5, 1, 1)</f>
        <v>0</v>
      </c>
      <c r="H131" s="134">
        <f ca="1">OFFSET('IWP10'!UnitsOfServiceTotalsPeriod1, 0, 6, 1, 1)</f>
        <v>0</v>
      </c>
    </row>
    <row r="132" spans="1:8" s="5" customFormat="1">
      <c r="A132" s="132" t="s">
        <v>483</v>
      </c>
      <c r="B132" s="133">
        <v>2</v>
      </c>
      <c r="C132" s="133">
        <f ca="1">OFFSET('IWP10'!UnitsOfServiceTotalsPeriod2, 0, 0, 1, 1)</f>
        <v>0</v>
      </c>
      <c r="D132" s="133">
        <f ca="1">OFFSET('IWP10'!UnitsOfServiceTotalsPeriod2, 0, 1, 1, 1)</f>
        <v>0</v>
      </c>
      <c r="E132" s="133">
        <f ca="1">OFFSET('IWP10'!UnitsOfServiceTotalsPeriod2, 0, 3, 1, 1)</f>
        <v>0</v>
      </c>
      <c r="F132" s="133">
        <f ca="1">OFFSET('IWP10'!UnitsOfServiceTotalsPeriod2, 0, 4, 1, 1)</f>
        <v>0</v>
      </c>
      <c r="G132" s="133">
        <f ca="1">OFFSET('IWP10'!UnitsOfServiceTotalsPeriod2, 0, 5, 1, 1)</f>
        <v>0</v>
      </c>
      <c r="H132" s="134">
        <f ca="1">OFFSET('IWP10'!UnitsOfServiceTotalsPeriod2, 0, 6, 1, 1)</f>
        <v>0</v>
      </c>
    </row>
    <row r="133" spans="1:8" s="5" customFormat="1">
      <c r="A133" s="132" t="s">
        <v>484</v>
      </c>
      <c r="B133" s="133">
        <v>1</v>
      </c>
      <c r="C133" s="133">
        <f ca="1">OFFSET('IWP11'!UnitsOfServiceTotalsPeriod1, 0, 0, 1, 1)</f>
        <v>0</v>
      </c>
      <c r="D133" s="133">
        <f ca="1">OFFSET('IWP11'!UnitsOfServiceTotalsPeriod1, 0, 1, 1, 1)</f>
        <v>0</v>
      </c>
      <c r="E133" s="133">
        <f ca="1">OFFSET('IWP11'!UnitsOfServiceTotalsPeriod1, 0, 3, 1, 1)</f>
        <v>0</v>
      </c>
      <c r="F133" s="133">
        <f ca="1">OFFSET('IWP11'!UnitsOfServiceTotalsPeriod1, 0, 4, 1, 1)</f>
        <v>0</v>
      </c>
      <c r="G133" s="133">
        <f ca="1">OFFSET('IWP11'!UnitsOfServiceTotalsPeriod1, 0, 5, 1, 1)</f>
        <v>0</v>
      </c>
      <c r="H133" s="134">
        <f ca="1">OFFSET('IWP11'!UnitsOfServiceTotalsPeriod1, 0, 6, 1, 1)</f>
        <v>0</v>
      </c>
    </row>
    <row r="134" spans="1:8" s="5" customFormat="1">
      <c r="A134" s="132" t="s">
        <v>484</v>
      </c>
      <c r="B134" s="133">
        <v>2</v>
      </c>
      <c r="C134" s="133">
        <f ca="1">OFFSET('IWP11'!UnitsOfServiceTotalsPeriod2, 0, 0, 1, 1)</f>
        <v>0</v>
      </c>
      <c r="D134" s="133">
        <f ca="1">OFFSET('IWP11'!UnitsOfServiceTotalsPeriod2, 0, 1, 1, 1)</f>
        <v>0</v>
      </c>
      <c r="E134" s="133">
        <f ca="1">OFFSET('IWP11'!UnitsOfServiceTotalsPeriod2, 0, 3, 1, 1)</f>
        <v>0</v>
      </c>
      <c r="F134" s="133">
        <f ca="1">OFFSET('IWP11'!UnitsOfServiceTotalsPeriod2, 0, 4, 1, 1)</f>
        <v>0</v>
      </c>
      <c r="G134" s="133">
        <f ca="1">OFFSET('IWP11'!UnitsOfServiceTotalsPeriod2, 0, 5, 1, 1)</f>
        <v>0</v>
      </c>
      <c r="H134" s="134">
        <f ca="1">OFFSET('IWP11'!UnitsOfServiceTotalsPeriod2, 0, 6, 1, 1)</f>
        <v>0</v>
      </c>
    </row>
    <row r="135" spans="1:8" s="5" customFormat="1">
      <c r="A135" s="132" t="s">
        <v>485</v>
      </c>
      <c r="B135" s="133">
        <v>1</v>
      </c>
      <c r="C135" s="133">
        <f ca="1">OFFSET('IWP12'!UnitsOfServiceTotalsPeriod1, 0, 0, 1, 1)</f>
        <v>0</v>
      </c>
      <c r="D135" s="133">
        <f ca="1">OFFSET('IWP12'!UnitsOfServiceTotalsPeriod1, 0, 1, 1, 1)</f>
        <v>0</v>
      </c>
      <c r="E135" s="133">
        <f ca="1">OFFSET('IWP12'!UnitsOfServiceTotalsPeriod1, 0, 3, 1, 1)</f>
        <v>0</v>
      </c>
      <c r="F135" s="133">
        <f ca="1">OFFSET('IWP12'!UnitsOfServiceTotalsPeriod1, 0, 4, 1, 1)</f>
        <v>0</v>
      </c>
      <c r="G135" s="133">
        <f ca="1">OFFSET('IWP12'!UnitsOfServiceTotalsPeriod1, 0, 5, 1, 1)</f>
        <v>0</v>
      </c>
      <c r="H135" s="134">
        <f ca="1">OFFSET('IWP12'!UnitsOfServiceTotalsPeriod1, 0, 6, 1, 1)</f>
        <v>0</v>
      </c>
    </row>
    <row r="136" spans="1:8" s="5" customFormat="1">
      <c r="A136" s="132" t="s">
        <v>485</v>
      </c>
      <c r="B136" s="133">
        <v>2</v>
      </c>
      <c r="C136" s="133">
        <f ca="1">OFFSET('IWP12'!UnitsOfServiceTotalsPeriod2, 0, 0, 1, 1)</f>
        <v>0</v>
      </c>
      <c r="D136" s="133">
        <f ca="1">OFFSET('IWP12'!UnitsOfServiceTotalsPeriod2, 0, 1, 1, 1)</f>
        <v>0</v>
      </c>
      <c r="E136" s="133">
        <f ca="1">OFFSET('IWP12'!UnitsOfServiceTotalsPeriod2, 0, 3, 1, 1)</f>
        <v>0</v>
      </c>
      <c r="F136" s="133">
        <f ca="1">OFFSET('IWP12'!UnitsOfServiceTotalsPeriod2, 0, 4, 1, 1)</f>
        <v>0</v>
      </c>
      <c r="G136" s="133">
        <f ca="1">OFFSET('IWP12'!UnitsOfServiceTotalsPeriod2, 0, 5, 1, 1)</f>
        <v>0</v>
      </c>
      <c r="H136" s="134">
        <f ca="1">OFFSET('IWP12'!UnitsOfServiceTotalsPeriod2, 0, 6, 1, 1)</f>
        <v>0</v>
      </c>
    </row>
    <row r="137" spans="1:8" s="5" customFormat="1">
      <c r="A137" s="132" t="s">
        <v>486</v>
      </c>
      <c r="B137" s="133">
        <v>1</v>
      </c>
      <c r="C137" s="133">
        <f ca="1">OFFSET('IWP13'!UnitsOfServiceTotalsPeriod1, 0, 0, 1, 1)</f>
        <v>0</v>
      </c>
      <c r="D137" s="133">
        <f ca="1">OFFSET('IWP13'!UnitsOfServiceTotalsPeriod1, 0, 1, 1, 1)</f>
        <v>0</v>
      </c>
      <c r="E137" s="133">
        <f ca="1">OFFSET('IWP13'!UnitsOfServiceTotalsPeriod1, 0, 3, 1, 1)</f>
        <v>0</v>
      </c>
      <c r="F137" s="133">
        <f ca="1">OFFSET('IWP13'!UnitsOfServiceTotalsPeriod1, 0, 4, 1, 1)</f>
        <v>0</v>
      </c>
      <c r="G137" s="133">
        <f ca="1">OFFSET('IWP13'!UnitsOfServiceTotalsPeriod1, 0, 5, 1, 1)</f>
        <v>0</v>
      </c>
      <c r="H137" s="134">
        <f ca="1">OFFSET('IWP13'!UnitsOfServiceTotalsPeriod1, 0, 6, 1, 1)</f>
        <v>0</v>
      </c>
    </row>
    <row r="138" spans="1:8" s="5" customFormat="1">
      <c r="A138" s="132" t="s">
        <v>486</v>
      </c>
      <c r="B138" s="133">
        <v>2</v>
      </c>
      <c r="C138" s="133">
        <f ca="1">OFFSET('IWP13'!UnitsOfServiceTotalsPeriod2, 0, 0, 1, 1)</f>
        <v>0</v>
      </c>
      <c r="D138" s="133">
        <f ca="1">OFFSET('IWP13'!UnitsOfServiceTotalsPeriod2, 0, 1, 1, 1)</f>
        <v>0</v>
      </c>
      <c r="E138" s="133">
        <f ca="1">OFFSET('IWP13'!UnitsOfServiceTotalsPeriod2, 0, 3, 1, 1)</f>
        <v>0</v>
      </c>
      <c r="F138" s="133">
        <f ca="1">OFFSET('IWP13'!UnitsOfServiceTotalsPeriod2, 0, 4, 1, 1)</f>
        <v>0</v>
      </c>
      <c r="G138" s="133">
        <f ca="1">OFFSET('IWP13'!UnitsOfServiceTotalsPeriod2, 0, 5, 1, 1)</f>
        <v>0</v>
      </c>
      <c r="H138" s="134">
        <f ca="1">OFFSET('IWP13'!UnitsOfServiceTotalsPeriod2, 0, 6, 1, 1)</f>
        <v>0</v>
      </c>
    </row>
    <row r="139" spans="1:8" s="5" customFormat="1">
      <c r="A139" s="132" t="s">
        <v>487</v>
      </c>
      <c r="B139" s="133">
        <v>1</v>
      </c>
      <c r="C139" s="133">
        <f ca="1">OFFSET('IWP14'!UnitsOfServiceTotalsPeriod1, 0, 0, 1, 1)</f>
        <v>0</v>
      </c>
      <c r="D139" s="133">
        <f ca="1">OFFSET('IWP14'!UnitsOfServiceTotalsPeriod1, 0, 1, 1, 1)</f>
        <v>0</v>
      </c>
      <c r="E139" s="133">
        <f ca="1">OFFSET('IWP14'!UnitsOfServiceTotalsPeriod1, 0, 3, 1, 1)</f>
        <v>0</v>
      </c>
      <c r="F139" s="133">
        <f ca="1">OFFSET('IWP14'!UnitsOfServiceTotalsPeriod1, 0, 4, 1, 1)</f>
        <v>0</v>
      </c>
      <c r="G139" s="133">
        <f ca="1">OFFSET('IWP14'!UnitsOfServiceTotalsPeriod1, 0, 5, 1, 1)</f>
        <v>0</v>
      </c>
      <c r="H139" s="134">
        <f ca="1">OFFSET('IWP14'!UnitsOfServiceTotalsPeriod1, 0, 6, 1, 1)</f>
        <v>0</v>
      </c>
    </row>
    <row r="140" spans="1:8" s="5" customFormat="1">
      <c r="A140" s="132" t="s">
        <v>487</v>
      </c>
      <c r="B140" s="133">
        <v>2</v>
      </c>
      <c r="C140" s="133">
        <f ca="1">OFFSET('IWP14'!UnitsOfServiceTotalsPeriod2, 0, 0, 1, 1)</f>
        <v>0</v>
      </c>
      <c r="D140" s="133">
        <f ca="1">OFFSET('IWP14'!UnitsOfServiceTotalsPeriod2, 0, 1, 1, 1)</f>
        <v>0</v>
      </c>
      <c r="E140" s="133">
        <f ca="1">OFFSET('IWP14'!UnitsOfServiceTotalsPeriod2, 0, 3, 1, 1)</f>
        <v>0</v>
      </c>
      <c r="F140" s="133">
        <f ca="1">OFFSET('IWP14'!UnitsOfServiceTotalsPeriod2, 0, 4, 1, 1)</f>
        <v>0</v>
      </c>
      <c r="G140" s="133">
        <f ca="1">OFFSET('IWP14'!UnitsOfServiceTotalsPeriod2, 0, 5, 1, 1)</f>
        <v>0</v>
      </c>
      <c r="H140" s="134">
        <f ca="1">OFFSET('IWP14'!UnitsOfServiceTotalsPeriod2, 0, 6, 1, 1)</f>
        <v>0</v>
      </c>
    </row>
    <row r="141" spans="1:8" s="5" customFormat="1">
      <c r="A141" s="132" t="s">
        <v>488</v>
      </c>
      <c r="B141" s="133">
        <v>1</v>
      </c>
      <c r="C141" s="133">
        <f ca="1">OFFSET('IWP15'!UnitsOfServiceTotalsPeriod1, 0, 0, 1, 1)</f>
        <v>0</v>
      </c>
      <c r="D141" s="133">
        <f ca="1">OFFSET('IWP15'!UnitsOfServiceTotalsPeriod1, 0, 1, 1, 1)</f>
        <v>0</v>
      </c>
      <c r="E141" s="133">
        <f ca="1">OFFSET('IWP15'!UnitsOfServiceTotalsPeriod1, 0, 3, 1, 1)</f>
        <v>0</v>
      </c>
      <c r="F141" s="133">
        <f ca="1">OFFSET('IWP15'!UnitsOfServiceTotalsPeriod1, 0, 4, 1, 1)</f>
        <v>0</v>
      </c>
      <c r="G141" s="133">
        <f ca="1">OFFSET('IWP15'!UnitsOfServiceTotalsPeriod1, 0, 5, 1, 1)</f>
        <v>0</v>
      </c>
      <c r="H141" s="134">
        <f ca="1">OFFSET('IWP15'!UnitsOfServiceTotalsPeriod1, 0, 6, 1, 1)</f>
        <v>0</v>
      </c>
    </row>
    <row r="142" spans="1:8" s="5" customFormat="1">
      <c r="A142" s="132" t="s">
        <v>488</v>
      </c>
      <c r="B142" s="133">
        <v>2</v>
      </c>
      <c r="C142" s="133">
        <f ca="1">OFFSET('IWP15'!UnitsOfServiceTotalsPeriod2, 0, 0, 1, 1)</f>
        <v>0</v>
      </c>
      <c r="D142" s="133">
        <f ca="1">OFFSET('IWP15'!UnitsOfServiceTotalsPeriod2, 0, 1, 1, 1)</f>
        <v>0</v>
      </c>
      <c r="E142" s="133">
        <f ca="1">OFFSET('IWP15'!UnitsOfServiceTotalsPeriod2, 0, 3, 1, 1)</f>
        <v>0</v>
      </c>
      <c r="F142" s="133">
        <f ca="1">OFFSET('IWP15'!UnitsOfServiceTotalsPeriod2, 0, 4, 1, 1)</f>
        <v>0</v>
      </c>
      <c r="G142" s="133">
        <f ca="1">OFFSET('IWP15'!UnitsOfServiceTotalsPeriod2, 0, 5, 1, 1)</f>
        <v>0</v>
      </c>
      <c r="H142" s="134">
        <f ca="1">OFFSET('IWP15'!UnitsOfServiceTotalsPeriod2, 0, 6, 1, 1)</f>
        <v>0</v>
      </c>
    </row>
    <row r="143" spans="1:8" s="5" customFormat="1">
      <c r="A143" s="132" t="s">
        <v>489</v>
      </c>
      <c r="B143" s="133">
        <v>1</v>
      </c>
      <c r="C143" s="133">
        <f ca="1">OFFSET('IWP16'!UnitsOfServiceTotalsPeriod1, 0, 0, 1, 1)</f>
        <v>0</v>
      </c>
      <c r="D143" s="133">
        <f ca="1">OFFSET('IWP16'!UnitsOfServiceTotalsPeriod1, 0, 1, 1, 1)</f>
        <v>0</v>
      </c>
      <c r="E143" s="133">
        <f ca="1">OFFSET('IWP16'!UnitsOfServiceTotalsPeriod1, 0, 3, 1, 1)</f>
        <v>0</v>
      </c>
      <c r="F143" s="133">
        <f ca="1">OFFSET('IWP16'!UnitsOfServiceTotalsPeriod1, 0, 4, 1, 1)</f>
        <v>0</v>
      </c>
      <c r="G143" s="133">
        <f ca="1">OFFSET('IWP16'!UnitsOfServiceTotalsPeriod1, 0, 5, 1, 1)</f>
        <v>0</v>
      </c>
      <c r="H143" s="134">
        <f ca="1">OFFSET('IWP16'!UnitsOfServiceTotalsPeriod1, 0, 6, 1, 1)</f>
        <v>0</v>
      </c>
    </row>
    <row r="144" spans="1:8" s="5" customFormat="1">
      <c r="A144" s="132" t="s">
        <v>489</v>
      </c>
      <c r="B144" s="133">
        <v>2</v>
      </c>
      <c r="C144" s="133">
        <f ca="1">OFFSET('IWP16'!UnitsOfServiceTotalsPeriod2, 0, 0, 1, 1)</f>
        <v>0</v>
      </c>
      <c r="D144" s="133">
        <f ca="1">OFFSET('IWP16'!UnitsOfServiceTotalsPeriod2, 0, 1, 1, 1)</f>
        <v>0</v>
      </c>
      <c r="E144" s="133">
        <f ca="1">OFFSET('IWP16'!UnitsOfServiceTotalsPeriod2, 0, 3, 1, 1)</f>
        <v>0</v>
      </c>
      <c r="F144" s="133">
        <f ca="1">OFFSET('IWP16'!UnitsOfServiceTotalsPeriod2, 0, 4, 1, 1)</f>
        <v>0</v>
      </c>
      <c r="G144" s="133">
        <f ca="1">OFFSET('IWP16'!UnitsOfServiceTotalsPeriod2, 0, 5, 1, 1)</f>
        <v>0</v>
      </c>
      <c r="H144" s="134">
        <f ca="1">OFFSET('IWP16'!UnitsOfServiceTotalsPeriod2, 0, 6, 1, 1)</f>
        <v>0</v>
      </c>
    </row>
    <row r="145" spans="1:8" s="5" customFormat="1">
      <c r="A145" s="132" t="s">
        <v>490</v>
      </c>
      <c r="B145" s="133">
        <v>1</v>
      </c>
      <c r="C145" s="133">
        <f ca="1">OFFSET('IWP17'!UnitsOfServiceTotalsPeriod1, 0, 0, 1, 1)</f>
        <v>0</v>
      </c>
      <c r="D145" s="133">
        <f ca="1">OFFSET('IWP17'!UnitsOfServiceTotalsPeriod1, 0, 1, 1, 1)</f>
        <v>0</v>
      </c>
      <c r="E145" s="133">
        <f ca="1">OFFSET('IWP17'!UnitsOfServiceTotalsPeriod1, 0, 3, 1, 1)</f>
        <v>0</v>
      </c>
      <c r="F145" s="133">
        <f ca="1">OFFSET('IWP17'!UnitsOfServiceTotalsPeriod1, 0, 4, 1, 1)</f>
        <v>0</v>
      </c>
      <c r="G145" s="133">
        <f ca="1">OFFSET('IWP17'!UnitsOfServiceTotalsPeriod1, 0, 5, 1, 1)</f>
        <v>0</v>
      </c>
      <c r="H145" s="134">
        <f ca="1">OFFSET('IWP17'!UnitsOfServiceTotalsPeriod1, 0, 6, 1, 1)</f>
        <v>0</v>
      </c>
    </row>
    <row r="146" spans="1:8" s="5" customFormat="1">
      <c r="A146" s="132" t="s">
        <v>490</v>
      </c>
      <c r="B146" s="133">
        <v>2</v>
      </c>
      <c r="C146" s="133">
        <f ca="1">OFFSET('IWP17'!UnitsOfServiceTotalsPeriod2, 0, 0, 1, 1)</f>
        <v>0</v>
      </c>
      <c r="D146" s="133">
        <f ca="1">OFFSET('IWP17'!UnitsOfServiceTotalsPeriod2, 0, 1, 1, 1)</f>
        <v>0</v>
      </c>
      <c r="E146" s="133">
        <f ca="1">OFFSET('IWP17'!UnitsOfServiceTotalsPeriod2, 0, 3, 1, 1)</f>
        <v>0</v>
      </c>
      <c r="F146" s="133">
        <f ca="1">OFFSET('IWP17'!UnitsOfServiceTotalsPeriod2, 0, 4, 1, 1)</f>
        <v>0</v>
      </c>
      <c r="G146" s="133">
        <f ca="1">OFFSET('IWP17'!UnitsOfServiceTotalsPeriod2, 0, 5, 1, 1)</f>
        <v>0</v>
      </c>
      <c r="H146" s="134">
        <f ca="1">OFFSET('IWP17'!UnitsOfServiceTotalsPeriod2, 0, 6, 1, 1)</f>
        <v>0</v>
      </c>
    </row>
    <row r="147" spans="1:8" s="5" customFormat="1">
      <c r="A147" s="132" t="s">
        <v>491</v>
      </c>
      <c r="B147" s="133">
        <v>1</v>
      </c>
      <c r="C147" s="133">
        <f ca="1">OFFSET('IWP18'!UnitsOfServiceTotalsPeriod1, 0, 0, 1, 1)</f>
        <v>0</v>
      </c>
      <c r="D147" s="133">
        <f ca="1">OFFSET('IWP18'!UnitsOfServiceTotalsPeriod1, 0, 1, 1, 1)</f>
        <v>0</v>
      </c>
      <c r="E147" s="133">
        <f ca="1">OFFSET('IWP18'!UnitsOfServiceTotalsPeriod1, 0, 3, 1, 1)</f>
        <v>0</v>
      </c>
      <c r="F147" s="133">
        <f ca="1">OFFSET('IWP18'!UnitsOfServiceTotalsPeriod1, 0, 4, 1, 1)</f>
        <v>0</v>
      </c>
      <c r="G147" s="133">
        <f ca="1">OFFSET('IWP18'!UnitsOfServiceTotalsPeriod1, 0, 5, 1, 1)</f>
        <v>0</v>
      </c>
      <c r="H147" s="134">
        <f ca="1">OFFSET('IWP18'!UnitsOfServiceTotalsPeriod1, 0, 6, 1, 1)</f>
        <v>0</v>
      </c>
    </row>
    <row r="148" spans="1:8" s="5" customFormat="1">
      <c r="A148" s="132" t="s">
        <v>491</v>
      </c>
      <c r="B148" s="133">
        <v>2</v>
      </c>
      <c r="C148" s="133">
        <f ca="1">OFFSET('IWP18'!UnitsOfServiceTotalsPeriod2, 0, 0, 1, 1)</f>
        <v>0</v>
      </c>
      <c r="D148" s="133">
        <f ca="1">OFFSET('IWP18'!UnitsOfServiceTotalsPeriod2, 0, 1, 1, 1)</f>
        <v>0</v>
      </c>
      <c r="E148" s="133">
        <f ca="1">OFFSET('IWP18'!UnitsOfServiceTotalsPeriod2, 0, 3, 1, 1)</f>
        <v>0</v>
      </c>
      <c r="F148" s="133">
        <f ca="1">OFFSET('IWP18'!UnitsOfServiceTotalsPeriod2, 0, 4, 1, 1)</f>
        <v>0</v>
      </c>
      <c r="G148" s="133">
        <f ca="1">OFFSET('IWP18'!UnitsOfServiceTotalsPeriod2, 0, 5, 1, 1)</f>
        <v>0</v>
      </c>
      <c r="H148" s="134">
        <f ca="1">OFFSET('IWP18'!UnitsOfServiceTotalsPeriod2, 0, 6, 1, 1)</f>
        <v>0</v>
      </c>
    </row>
    <row r="149" spans="1:8" s="5" customFormat="1">
      <c r="A149" s="132" t="s">
        <v>492</v>
      </c>
      <c r="B149" s="133">
        <v>1</v>
      </c>
      <c r="C149" s="133">
        <f ca="1">OFFSET('IWP19'!UnitsOfServiceTotalsPeriod1, 0, 0, 1, 1)</f>
        <v>0</v>
      </c>
      <c r="D149" s="133">
        <f ca="1">OFFSET('IWP19'!UnitsOfServiceTotalsPeriod1, 0, 1, 1, 1)</f>
        <v>0</v>
      </c>
      <c r="E149" s="133">
        <f ca="1">OFFSET('IWP19'!UnitsOfServiceTotalsPeriod1, 0, 3, 1, 1)</f>
        <v>0</v>
      </c>
      <c r="F149" s="133">
        <f ca="1">OFFSET('IWP19'!UnitsOfServiceTotalsPeriod1, 0, 4, 1, 1)</f>
        <v>0</v>
      </c>
      <c r="G149" s="133">
        <f ca="1">OFFSET('IWP19'!UnitsOfServiceTotalsPeriod1, 0, 5, 1, 1)</f>
        <v>0</v>
      </c>
      <c r="H149" s="134">
        <f ca="1">OFFSET('IWP19'!UnitsOfServiceTotalsPeriod1, 0, 6, 1, 1)</f>
        <v>0</v>
      </c>
    </row>
    <row r="150" spans="1:8" s="5" customFormat="1">
      <c r="A150" s="132" t="s">
        <v>492</v>
      </c>
      <c r="B150" s="133">
        <v>2</v>
      </c>
      <c r="C150" s="133">
        <f ca="1">OFFSET('IWP19'!UnitsOfServiceTotalsPeriod2, 0, 0, 1, 1)</f>
        <v>0</v>
      </c>
      <c r="D150" s="133">
        <f ca="1">OFFSET('IWP19'!UnitsOfServiceTotalsPeriod2, 0, 1, 1, 1)</f>
        <v>0</v>
      </c>
      <c r="E150" s="133">
        <f ca="1">OFFSET('IWP19'!UnitsOfServiceTotalsPeriod2, 0, 3, 1, 1)</f>
        <v>0</v>
      </c>
      <c r="F150" s="133">
        <f ca="1">OFFSET('IWP19'!UnitsOfServiceTotalsPeriod2, 0, 4, 1, 1)</f>
        <v>0</v>
      </c>
      <c r="G150" s="133">
        <f ca="1">OFFSET('IWP19'!UnitsOfServiceTotalsPeriod2, 0, 5, 1, 1)</f>
        <v>0</v>
      </c>
      <c r="H150" s="134">
        <f ca="1">OFFSET('IWP19'!UnitsOfServiceTotalsPeriod2, 0, 6, 1, 1)</f>
        <v>0</v>
      </c>
    </row>
    <row r="151" spans="1:8" s="5" customFormat="1">
      <c r="A151" s="132" t="s">
        <v>493</v>
      </c>
      <c r="B151" s="133">
        <v>1</v>
      </c>
      <c r="C151" s="133">
        <f ca="1">OFFSET('IWP20'!UnitsOfServiceTotalsPeriod1, 0, 0, 1, 1)</f>
        <v>0</v>
      </c>
      <c r="D151" s="133">
        <f ca="1">OFFSET('IWP20'!UnitsOfServiceTotalsPeriod1, 0, 1, 1, 1)</f>
        <v>0</v>
      </c>
      <c r="E151" s="133">
        <f ca="1">OFFSET('IWP20'!UnitsOfServiceTotalsPeriod1, 0, 3, 1, 1)</f>
        <v>0</v>
      </c>
      <c r="F151" s="133">
        <f ca="1">OFFSET('IWP20'!UnitsOfServiceTotalsPeriod1, 0, 4, 1, 1)</f>
        <v>0</v>
      </c>
      <c r="G151" s="133">
        <f ca="1">OFFSET('IWP20'!UnitsOfServiceTotalsPeriod1, 0, 5, 1, 1)</f>
        <v>0</v>
      </c>
      <c r="H151" s="134">
        <f ca="1">OFFSET('IWP20'!UnitsOfServiceTotalsPeriod1, 0, 6, 1, 1)</f>
        <v>0</v>
      </c>
    </row>
    <row r="152" spans="1:8" s="5" customFormat="1">
      <c r="A152" s="132" t="s">
        <v>493</v>
      </c>
      <c r="B152" s="133">
        <v>2</v>
      </c>
      <c r="C152" s="133">
        <f ca="1">OFFSET('IWP20'!UnitsOfServiceTotalsPeriod2, 0, 0, 1, 1)</f>
        <v>0</v>
      </c>
      <c r="D152" s="133">
        <f ca="1">OFFSET('IWP20'!UnitsOfServiceTotalsPeriod2, 0, 1, 1, 1)</f>
        <v>0</v>
      </c>
      <c r="E152" s="133">
        <f ca="1">OFFSET('IWP20'!UnitsOfServiceTotalsPeriod2, 0, 3, 1, 1)</f>
        <v>0</v>
      </c>
      <c r="F152" s="133">
        <f ca="1">OFFSET('IWP20'!UnitsOfServiceTotalsPeriod2, 0, 4, 1, 1)</f>
        <v>0</v>
      </c>
      <c r="G152" s="133">
        <f ca="1">OFFSET('IWP20'!UnitsOfServiceTotalsPeriod2, 0, 5, 1, 1)</f>
        <v>0</v>
      </c>
      <c r="H152" s="134">
        <f ca="1">OFFSET('IWP20'!UnitsOfServiceTotalsPeriod2, 0, 6, 1, 1)</f>
        <v>0</v>
      </c>
    </row>
    <row r="153" spans="1:8" s="5" customFormat="1">
      <c r="A153" s="132" t="s">
        <v>494</v>
      </c>
      <c r="B153" s="133">
        <v>1</v>
      </c>
      <c r="C153" s="133">
        <f ca="1">OFFSET('IWP21'!UnitsOfServiceTotalsPeriod1, 0, 0, 1, 1)</f>
        <v>0</v>
      </c>
      <c r="D153" s="133">
        <f ca="1">OFFSET('IWP21'!UnitsOfServiceTotalsPeriod1, 0, 1, 1, 1)</f>
        <v>0</v>
      </c>
      <c r="E153" s="133">
        <f ca="1">OFFSET('IWP21'!UnitsOfServiceTotalsPeriod1, 0, 3, 1, 1)</f>
        <v>0</v>
      </c>
      <c r="F153" s="133">
        <f ca="1">OFFSET('IWP21'!UnitsOfServiceTotalsPeriod1, 0, 4, 1, 1)</f>
        <v>0</v>
      </c>
      <c r="G153" s="133">
        <f ca="1">OFFSET('IWP21'!UnitsOfServiceTotalsPeriod1, 0, 5, 1, 1)</f>
        <v>0</v>
      </c>
      <c r="H153" s="134">
        <f ca="1">OFFSET('IWP21'!UnitsOfServiceTotalsPeriod1, 0, 6, 1, 1)</f>
        <v>0</v>
      </c>
    </row>
    <row r="154" spans="1:8" s="5" customFormat="1">
      <c r="A154" s="132" t="s">
        <v>494</v>
      </c>
      <c r="B154" s="133">
        <v>2</v>
      </c>
      <c r="C154" s="133">
        <f ca="1">OFFSET('IWP21'!UnitsOfServiceTotalsPeriod2, 0, 0, 1, 1)</f>
        <v>0</v>
      </c>
      <c r="D154" s="133">
        <f ca="1">OFFSET('IWP21'!UnitsOfServiceTotalsPeriod2, 0, 1, 1, 1)</f>
        <v>0</v>
      </c>
      <c r="E154" s="133">
        <f ca="1">OFFSET('IWP21'!UnitsOfServiceTotalsPeriod2, 0, 3, 1, 1)</f>
        <v>0</v>
      </c>
      <c r="F154" s="133">
        <f ca="1">OFFSET('IWP21'!UnitsOfServiceTotalsPeriod2, 0, 4, 1, 1)</f>
        <v>0</v>
      </c>
      <c r="G154" s="133">
        <f ca="1">OFFSET('IWP21'!UnitsOfServiceTotalsPeriod2, 0, 5, 1, 1)</f>
        <v>0</v>
      </c>
      <c r="H154" s="134">
        <f ca="1">OFFSET('IWP21'!UnitsOfServiceTotalsPeriod2, 0, 6, 1, 1)</f>
        <v>0</v>
      </c>
    </row>
    <row r="155" spans="1:8" s="5" customFormat="1">
      <c r="A155" s="132" t="s">
        <v>495</v>
      </c>
      <c r="B155" s="133">
        <v>1</v>
      </c>
      <c r="C155" s="133">
        <f ca="1">OFFSET('IWP22'!UnitsOfServiceTotalsPeriod1, 0, 0, 1, 1)</f>
        <v>0</v>
      </c>
      <c r="D155" s="133">
        <f ca="1">OFFSET('IWP22'!UnitsOfServiceTotalsPeriod1, 0, 1, 1, 1)</f>
        <v>0</v>
      </c>
      <c r="E155" s="133">
        <f ca="1">OFFSET('IWP22'!UnitsOfServiceTotalsPeriod1, 0, 3, 1, 1)</f>
        <v>0</v>
      </c>
      <c r="F155" s="133">
        <f ca="1">OFFSET('IWP22'!UnitsOfServiceTotalsPeriod1, 0, 4, 1, 1)</f>
        <v>0</v>
      </c>
      <c r="G155" s="133">
        <f ca="1">OFFSET('IWP22'!UnitsOfServiceTotalsPeriod1, 0, 5, 1, 1)</f>
        <v>0</v>
      </c>
      <c r="H155" s="134">
        <f ca="1">OFFSET('IWP22'!UnitsOfServiceTotalsPeriod1, 0, 6, 1, 1)</f>
        <v>0</v>
      </c>
    </row>
    <row r="156" spans="1:8" s="5" customFormat="1">
      <c r="A156" s="132" t="s">
        <v>495</v>
      </c>
      <c r="B156" s="133">
        <v>2</v>
      </c>
      <c r="C156" s="133">
        <f ca="1">OFFSET('IWP22'!UnitsOfServiceTotalsPeriod2, 0, 0, 1, 1)</f>
        <v>0</v>
      </c>
      <c r="D156" s="133">
        <f ca="1">OFFSET('IWP22'!UnitsOfServiceTotalsPeriod2, 0, 1, 1, 1)</f>
        <v>0</v>
      </c>
      <c r="E156" s="133">
        <f ca="1">OFFSET('IWP22'!UnitsOfServiceTotalsPeriod2, 0, 3, 1, 1)</f>
        <v>0</v>
      </c>
      <c r="F156" s="133">
        <f ca="1">OFFSET('IWP22'!UnitsOfServiceTotalsPeriod2, 0, 4, 1, 1)</f>
        <v>0</v>
      </c>
      <c r="G156" s="133">
        <f ca="1">OFFSET('IWP22'!UnitsOfServiceTotalsPeriod2, 0, 5, 1, 1)</f>
        <v>0</v>
      </c>
      <c r="H156" s="134">
        <f ca="1">OFFSET('IWP22'!UnitsOfServiceTotalsPeriod2, 0, 6, 1, 1)</f>
        <v>0</v>
      </c>
    </row>
    <row r="157" spans="1:8" s="5" customFormat="1">
      <c r="A157" s="132" t="s">
        <v>496</v>
      </c>
      <c r="B157" s="133">
        <v>1</v>
      </c>
      <c r="C157" s="133">
        <f ca="1">OFFSET('IWP23'!UnitsOfServiceTotalsPeriod1, 0, 0, 1, 1)</f>
        <v>0</v>
      </c>
      <c r="D157" s="133">
        <f ca="1">OFFSET('IWP23'!UnitsOfServiceTotalsPeriod1, 0, 1, 1, 1)</f>
        <v>0</v>
      </c>
      <c r="E157" s="133">
        <f ca="1">OFFSET('IWP23'!UnitsOfServiceTotalsPeriod1, 0, 3, 1, 1)</f>
        <v>0</v>
      </c>
      <c r="F157" s="133">
        <f ca="1">OFFSET('IWP23'!UnitsOfServiceTotalsPeriod1, 0, 4, 1, 1)</f>
        <v>0</v>
      </c>
      <c r="G157" s="133">
        <f ca="1">OFFSET('IWP23'!UnitsOfServiceTotalsPeriod1, 0, 5, 1, 1)</f>
        <v>0</v>
      </c>
      <c r="H157" s="134">
        <f ca="1">OFFSET('IWP23'!UnitsOfServiceTotalsPeriod1, 0, 6, 1, 1)</f>
        <v>0</v>
      </c>
    </row>
    <row r="158" spans="1:8" s="5" customFormat="1">
      <c r="A158" s="132" t="s">
        <v>496</v>
      </c>
      <c r="B158" s="133">
        <v>2</v>
      </c>
      <c r="C158" s="133">
        <f ca="1">OFFSET('IWP23'!UnitsOfServiceTotalsPeriod2, 0, 0, 1, 1)</f>
        <v>0</v>
      </c>
      <c r="D158" s="133">
        <f ca="1">OFFSET('IWP23'!UnitsOfServiceTotalsPeriod2, 0, 1, 1, 1)</f>
        <v>0</v>
      </c>
      <c r="E158" s="133">
        <f ca="1">OFFSET('IWP23'!UnitsOfServiceTotalsPeriod2, 0, 3, 1, 1)</f>
        <v>0</v>
      </c>
      <c r="F158" s="133">
        <f ca="1">OFFSET('IWP23'!UnitsOfServiceTotalsPeriod2, 0, 4, 1, 1)</f>
        <v>0</v>
      </c>
      <c r="G158" s="133">
        <f ca="1">OFFSET('IWP23'!UnitsOfServiceTotalsPeriod2, 0, 5, 1, 1)</f>
        <v>0</v>
      </c>
      <c r="H158" s="134">
        <f ca="1">OFFSET('IWP23'!UnitsOfServiceTotalsPeriod2, 0, 6, 1, 1)</f>
        <v>0</v>
      </c>
    </row>
    <row r="159" spans="1:8" s="5" customFormat="1">
      <c r="A159" s="132" t="s">
        <v>497</v>
      </c>
      <c r="B159" s="133">
        <v>1</v>
      </c>
      <c r="C159" s="133">
        <f ca="1">OFFSET('IWP24'!UnitsOfServiceTotalsPeriod1, 0, 0, 1, 1)</f>
        <v>0</v>
      </c>
      <c r="D159" s="133">
        <f ca="1">OFFSET('IWP24'!UnitsOfServiceTotalsPeriod1, 0, 1, 1, 1)</f>
        <v>0</v>
      </c>
      <c r="E159" s="133">
        <f ca="1">OFFSET('IWP24'!UnitsOfServiceTotalsPeriod1, 0, 3, 1, 1)</f>
        <v>0</v>
      </c>
      <c r="F159" s="133">
        <f ca="1">OFFSET('IWP24'!UnitsOfServiceTotalsPeriod1, 0, 4, 1, 1)</f>
        <v>0</v>
      </c>
      <c r="G159" s="133">
        <f ca="1">OFFSET('IWP24'!UnitsOfServiceTotalsPeriod1, 0, 5, 1, 1)</f>
        <v>0</v>
      </c>
      <c r="H159" s="134">
        <f ca="1">OFFSET('IWP24'!UnitsOfServiceTotalsPeriod1, 0, 6, 1, 1)</f>
        <v>0</v>
      </c>
    </row>
    <row r="160" spans="1:8" s="5" customFormat="1">
      <c r="A160" s="132" t="s">
        <v>497</v>
      </c>
      <c r="B160" s="133">
        <v>2</v>
      </c>
      <c r="C160" s="133">
        <f ca="1">OFFSET('IWP24'!UnitsOfServiceTotalsPeriod2, 0, 0, 1, 1)</f>
        <v>0</v>
      </c>
      <c r="D160" s="133">
        <f ca="1">OFFSET('IWP24'!UnitsOfServiceTotalsPeriod2, 0, 1, 1, 1)</f>
        <v>0</v>
      </c>
      <c r="E160" s="133">
        <f ca="1">OFFSET('IWP24'!UnitsOfServiceTotalsPeriod2, 0, 3, 1, 1)</f>
        <v>0</v>
      </c>
      <c r="F160" s="133">
        <f ca="1">OFFSET('IWP24'!UnitsOfServiceTotalsPeriod2, 0, 4, 1, 1)</f>
        <v>0</v>
      </c>
      <c r="G160" s="133">
        <f ca="1">OFFSET('IWP24'!UnitsOfServiceTotalsPeriod2, 0, 5, 1, 1)</f>
        <v>0</v>
      </c>
      <c r="H160" s="134">
        <f ca="1">OFFSET('IWP24'!UnitsOfServiceTotalsPeriod2, 0, 6, 1, 1)</f>
        <v>0</v>
      </c>
    </row>
    <row r="161" spans="1:25" s="5" customFormat="1">
      <c r="A161" s="132" t="s">
        <v>498</v>
      </c>
      <c r="B161" s="133">
        <v>1</v>
      </c>
      <c r="C161" s="133">
        <f ca="1">OFFSET('IWP25'!UnitsOfServiceTotalsPeriod1, 0, 0, 1, 1)</f>
        <v>0</v>
      </c>
      <c r="D161" s="133">
        <f ca="1">OFFSET('IWP25'!UnitsOfServiceTotalsPeriod1, 0, 1, 1, 1)</f>
        <v>0</v>
      </c>
      <c r="E161" s="133">
        <f ca="1">OFFSET('IWP25'!UnitsOfServiceTotalsPeriod1, 0, 3, 1, 1)</f>
        <v>0</v>
      </c>
      <c r="F161" s="133">
        <f ca="1">OFFSET('IWP25'!UnitsOfServiceTotalsPeriod1, 0, 4, 1, 1)</f>
        <v>0</v>
      </c>
      <c r="G161" s="133">
        <f ca="1">OFFSET('IWP25'!UnitsOfServiceTotalsPeriod1, 0, 5, 1, 1)</f>
        <v>0</v>
      </c>
      <c r="H161" s="134">
        <f ca="1">OFFSET('IWP25'!UnitsOfServiceTotalsPeriod1, 0, 6, 1, 1)</f>
        <v>0</v>
      </c>
    </row>
    <row r="162" spans="1:25" s="5" customFormat="1">
      <c r="A162" s="132" t="s">
        <v>498</v>
      </c>
      <c r="B162" s="133">
        <v>2</v>
      </c>
      <c r="C162" s="133">
        <f ca="1">OFFSET('IWP25'!UnitsOfServiceTotalsPeriod2, 0, 0, 1, 1)</f>
        <v>0</v>
      </c>
      <c r="D162" s="133">
        <f ca="1">OFFSET('IWP25'!UnitsOfServiceTotalsPeriod2, 0, 1, 1, 1)</f>
        <v>0</v>
      </c>
      <c r="E162" s="133">
        <f ca="1">OFFSET('IWP25'!UnitsOfServiceTotalsPeriod2, 0, 3, 1, 1)</f>
        <v>0</v>
      </c>
      <c r="F162" s="133">
        <f ca="1">OFFSET('IWP25'!UnitsOfServiceTotalsPeriod2, 0, 4, 1, 1)</f>
        <v>0</v>
      </c>
      <c r="G162" s="133">
        <f ca="1">OFFSET('IWP25'!UnitsOfServiceTotalsPeriod2, 0, 5, 1, 1)</f>
        <v>0</v>
      </c>
      <c r="H162" s="134">
        <f ca="1">OFFSET('IWP25'!UnitsOfServiceTotalsPeriod2, 0, 6, 1, 1)</f>
        <v>0</v>
      </c>
    </row>
    <row r="163" spans="1:25" s="5" customFormat="1">
      <c r="A163" s="132" t="s">
        <v>499</v>
      </c>
      <c r="B163" s="133">
        <v>1</v>
      </c>
      <c r="C163" s="133">
        <f ca="1">OFFSET('IWP26'!UnitsOfServiceTotalsPeriod1, 0, 0, 1, 1)</f>
        <v>0</v>
      </c>
      <c r="D163" s="133">
        <f ca="1">OFFSET('IWP26'!UnitsOfServiceTotalsPeriod1, 0, 1, 1, 1)</f>
        <v>0</v>
      </c>
      <c r="E163" s="133">
        <f ca="1">OFFSET('IWP26'!UnitsOfServiceTotalsPeriod1, 0, 3, 1, 1)</f>
        <v>0</v>
      </c>
      <c r="F163" s="133">
        <f ca="1">OFFSET('IWP26'!UnitsOfServiceTotalsPeriod1, 0, 4, 1, 1)</f>
        <v>0</v>
      </c>
      <c r="G163" s="133">
        <f ca="1">OFFSET('IWP26'!UnitsOfServiceTotalsPeriod1, 0, 5, 1, 1)</f>
        <v>0</v>
      </c>
      <c r="H163" s="134">
        <f ca="1">OFFSET('IWP26'!UnitsOfServiceTotalsPeriod1, 0, 6, 1, 1)</f>
        <v>0</v>
      </c>
    </row>
    <row r="164" spans="1:25" s="5" customFormat="1">
      <c r="A164" s="132" t="s">
        <v>499</v>
      </c>
      <c r="B164" s="133">
        <v>2</v>
      </c>
      <c r="C164" s="133">
        <f ca="1">OFFSET('IWP26'!UnitsOfServiceTotalsPeriod2, 0, 0, 1, 1)</f>
        <v>0</v>
      </c>
      <c r="D164" s="133">
        <f ca="1">OFFSET('IWP26'!UnitsOfServiceTotalsPeriod2, 0, 1, 1, 1)</f>
        <v>0</v>
      </c>
      <c r="E164" s="133">
        <f ca="1">OFFSET('IWP26'!UnitsOfServiceTotalsPeriod2, 0, 3, 1, 1)</f>
        <v>0</v>
      </c>
      <c r="F164" s="133">
        <f ca="1">OFFSET('IWP26'!UnitsOfServiceTotalsPeriod2, 0, 4, 1, 1)</f>
        <v>0</v>
      </c>
      <c r="G164" s="133">
        <f ca="1">OFFSET('IWP26'!UnitsOfServiceTotalsPeriod2, 0, 5, 1, 1)</f>
        <v>0</v>
      </c>
      <c r="H164" s="134">
        <f ca="1">OFFSET('IWP26'!UnitsOfServiceTotalsPeriod2, 0, 6, 1, 1)</f>
        <v>0</v>
      </c>
    </row>
    <row r="165" spans="1:25" s="5" customFormat="1">
      <c r="A165" s="132" t="s">
        <v>500</v>
      </c>
      <c r="B165" s="133">
        <v>1</v>
      </c>
      <c r="C165" s="133">
        <f ca="1">OFFSET('IWP27'!UnitsOfServiceTotalsPeriod1, 0, 0, 1, 1)</f>
        <v>0</v>
      </c>
      <c r="D165" s="133">
        <f ca="1">OFFSET('IWP27'!UnitsOfServiceTotalsPeriod1, 0, 1, 1, 1)</f>
        <v>0</v>
      </c>
      <c r="E165" s="133">
        <f ca="1">OFFSET('IWP27'!UnitsOfServiceTotalsPeriod1, 0, 3, 1, 1)</f>
        <v>0</v>
      </c>
      <c r="F165" s="133">
        <f ca="1">OFFSET('IWP27'!UnitsOfServiceTotalsPeriod1, 0, 4, 1, 1)</f>
        <v>0</v>
      </c>
      <c r="G165" s="133">
        <f ca="1">OFFSET('IWP27'!UnitsOfServiceTotalsPeriod1, 0, 5, 1, 1)</f>
        <v>0</v>
      </c>
      <c r="H165" s="134">
        <f ca="1">OFFSET('IWP27'!UnitsOfServiceTotalsPeriod1, 0, 6, 1, 1)</f>
        <v>0</v>
      </c>
    </row>
    <row r="166" spans="1:25" s="5" customFormat="1">
      <c r="A166" s="132" t="s">
        <v>500</v>
      </c>
      <c r="B166" s="133">
        <v>2</v>
      </c>
      <c r="C166" s="133">
        <f ca="1">OFFSET('IWP27'!UnitsOfServiceTotalsPeriod2, 0, 0, 1, 1)</f>
        <v>0</v>
      </c>
      <c r="D166" s="133">
        <f ca="1">OFFSET('IWP27'!UnitsOfServiceTotalsPeriod2, 0, 1, 1, 1)</f>
        <v>0</v>
      </c>
      <c r="E166" s="133">
        <f ca="1">OFFSET('IWP27'!UnitsOfServiceTotalsPeriod2, 0, 3, 1, 1)</f>
        <v>0</v>
      </c>
      <c r="F166" s="133">
        <f ca="1">OFFSET('IWP27'!UnitsOfServiceTotalsPeriod2, 0, 4, 1, 1)</f>
        <v>0</v>
      </c>
      <c r="G166" s="133">
        <f ca="1">OFFSET('IWP27'!UnitsOfServiceTotalsPeriod2, 0, 5, 1, 1)</f>
        <v>0</v>
      </c>
      <c r="H166" s="134">
        <f ca="1">OFFSET('IWP27'!UnitsOfServiceTotalsPeriod2, 0, 6, 1, 1)</f>
        <v>0</v>
      </c>
    </row>
    <row r="167" spans="1:25" s="5" customFormat="1">
      <c r="A167" s="132" t="s">
        <v>501</v>
      </c>
      <c r="B167" s="133">
        <v>1</v>
      </c>
      <c r="C167" s="133">
        <f ca="1">OFFSET('IWP28'!UnitsOfServiceTotalsPeriod1, 0, 0, 1, 1)</f>
        <v>0</v>
      </c>
      <c r="D167" s="133">
        <f ca="1">OFFSET('IWP28'!UnitsOfServiceTotalsPeriod1, 0, 1, 1, 1)</f>
        <v>0</v>
      </c>
      <c r="E167" s="133">
        <f ca="1">OFFSET('IWP28'!UnitsOfServiceTotalsPeriod1, 0, 3, 1, 1)</f>
        <v>0</v>
      </c>
      <c r="F167" s="133">
        <f ca="1">OFFSET('IWP28'!UnitsOfServiceTotalsPeriod1, 0, 4, 1, 1)</f>
        <v>0</v>
      </c>
      <c r="G167" s="133">
        <f ca="1">OFFSET('IWP28'!UnitsOfServiceTotalsPeriod1, 0, 5, 1, 1)</f>
        <v>0</v>
      </c>
      <c r="H167" s="134">
        <f ca="1">OFFSET('IWP28'!UnitsOfServiceTotalsPeriod1, 0, 6, 1, 1)</f>
        <v>0</v>
      </c>
    </row>
    <row r="168" spans="1:25" s="5" customFormat="1">
      <c r="A168" s="132" t="s">
        <v>501</v>
      </c>
      <c r="B168" s="133">
        <v>2</v>
      </c>
      <c r="C168" s="133">
        <f ca="1">OFFSET('IWP28'!UnitsOfServiceTotalsPeriod2, 0, 0, 1, 1)</f>
        <v>0</v>
      </c>
      <c r="D168" s="133">
        <f ca="1">OFFSET('IWP28'!UnitsOfServiceTotalsPeriod2, 0, 1, 1, 1)</f>
        <v>0</v>
      </c>
      <c r="E168" s="133">
        <f ca="1">OFFSET('IWP28'!UnitsOfServiceTotalsPeriod2, 0, 3, 1, 1)</f>
        <v>0</v>
      </c>
      <c r="F168" s="133">
        <f ca="1">OFFSET('IWP28'!UnitsOfServiceTotalsPeriod2, 0, 4, 1, 1)</f>
        <v>0</v>
      </c>
      <c r="G168" s="133">
        <f ca="1">OFFSET('IWP28'!UnitsOfServiceTotalsPeriod2, 0, 5, 1, 1)</f>
        <v>0</v>
      </c>
      <c r="H168" s="134">
        <f ca="1">OFFSET('IWP28'!UnitsOfServiceTotalsPeriod2, 0, 6, 1, 1)</f>
        <v>0</v>
      </c>
    </row>
    <row r="169" spans="1:25" s="5" customFormat="1">
      <c r="A169" s="132" t="s">
        <v>502</v>
      </c>
      <c r="B169" s="133">
        <v>1</v>
      </c>
      <c r="C169" s="133">
        <f ca="1">OFFSET('IWP29'!UnitsOfServiceTotalsPeriod1, 0, 0, 1, 1)</f>
        <v>0</v>
      </c>
      <c r="D169" s="133">
        <f ca="1">OFFSET('IWP29'!UnitsOfServiceTotalsPeriod1, 0, 1, 1, 1)</f>
        <v>0</v>
      </c>
      <c r="E169" s="133">
        <f ca="1">OFFSET('IWP29'!UnitsOfServiceTotalsPeriod1, 0, 3, 1, 1)</f>
        <v>0</v>
      </c>
      <c r="F169" s="133">
        <f ca="1">OFFSET('IWP29'!UnitsOfServiceTotalsPeriod1, 0, 4, 1, 1)</f>
        <v>0</v>
      </c>
      <c r="G169" s="133">
        <f ca="1">OFFSET('IWP29'!UnitsOfServiceTotalsPeriod1, 0, 5, 1, 1)</f>
        <v>0</v>
      </c>
      <c r="H169" s="134">
        <f ca="1">OFFSET('IWP29'!UnitsOfServiceTotalsPeriod1, 0, 6, 1, 1)</f>
        <v>0</v>
      </c>
    </row>
    <row r="170" spans="1:25" s="5" customFormat="1">
      <c r="A170" s="132" t="s">
        <v>502</v>
      </c>
      <c r="B170" s="133">
        <v>2</v>
      </c>
      <c r="C170" s="133">
        <f ca="1">OFFSET('IWP29'!UnitsOfServiceTotalsPeriod2, 0, 0, 1, 1)</f>
        <v>0</v>
      </c>
      <c r="D170" s="133">
        <f ca="1">OFFSET('IWP29'!UnitsOfServiceTotalsPeriod2, 0, 1, 1, 1)</f>
        <v>0</v>
      </c>
      <c r="E170" s="133">
        <f ca="1">OFFSET('IWP29'!UnitsOfServiceTotalsPeriod2, 0, 3, 1, 1)</f>
        <v>0</v>
      </c>
      <c r="F170" s="133">
        <f ca="1">OFFSET('IWP29'!UnitsOfServiceTotalsPeriod2, 0, 4, 1, 1)</f>
        <v>0</v>
      </c>
      <c r="G170" s="133">
        <f ca="1">OFFSET('IWP29'!UnitsOfServiceTotalsPeriod2, 0, 5, 1, 1)</f>
        <v>0</v>
      </c>
      <c r="H170" s="134">
        <f ca="1">OFFSET('IWP29'!UnitsOfServiceTotalsPeriod2, 0, 6, 1, 1)</f>
        <v>0</v>
      </c>
    </row>
    <row r="171" spans="1:25" s="5" customFormat="1">
      <c r="A171" s="132" t="s">
        <v>503</v>
      </c>
      <c r="B171" s="133">
        <v>1</v>
      </c>
      <c r="C171" s="133">
        <f ca="1">OFFSET('IWP30'!UnitsOfServiceTotalsPeriod1, 0, 0, 1, 1)</f>
        <v>0</v>
      </c>
      <c r="D171" s="133">
        <f ca="1">OFFSET('IWP30'!UnitsOfServiceTotalsPeriod1, 0, 1, 1, 1)</f>
        <v>0</v>
      </c>
      <c r="E171" s="133">
        <f ca="1">OFFSET('IWP30'!UnitsOfServiceTotalsPeriod1, 0, 3, 1, 1)</f>
        <v>0</v>
      </c>
      <c r="F171" s="133">
        <f ca="1">OFFSET('IWP30'!UnitsOfServiceTotalsPeriod1, 0, 4, 1, 1)</f>
        <v>0</v>
      </c>
      <c r="G171" s="133">
        <f ca="1">OFFSET('IWP30'!UnitsOfServiceTotalsPeriod1, 0, 5, 1, 1)</f>
        <v>0</v>
      </c>
      <c r="H171" s="134">
        <f ca="1">OFFSET('IWP30'!UnitsOfServiceTotalsPeriod1, 0, 6, 1, 1)</f>
        <v>0</v>
      </c>
    </row>
    <row r="172" spans="1:25" s="5" customFormat="1" ht="13" thickBot="1">
      <c r="A172" s="115" t="s">
        <v>503</v>
      </c>
      <c r="B172" s="135">
        <v>2</v>
      </c>
      <c r="C172" s="135">
        <f ca="1">OFFSET('IWP30'!UnitsOfServiceTotalsPeriod2, 0, 0, 1, 1)</f>
        <v>0</v>
      </c>
      <c r="D172" s="135">
        <f ca="1">OFFSET('IWP30'!UnitsOfServiceTotalsPeriod2, 0, 1, 1, 1)</f>
        <v>0</v>
      </c>
      <c r="E172" s="135">
        <f ca="1">OFFSET('IWP30'!UnitsOfServiceTotalsPeriod2, 0, 3, 1, 1)</f>
        <v>0</v>
      </c>
      <c r="F172" s="135">
        <f ca="1">OFFSET('IWP30'!UnitsOfServiceTotalsPeriod2, 0, 4, 1, 1)</f>
        <v>0</v>
      </c>
      <c r="G172" s="135">
        <f ca="1">OFFSET('IWP30'!UnitsOfServiceTotalsPeriod2, 0, 5, 1, 1)</f>
        <v>0</v>
      </c>
      <c r="H172" s="136">
        <f ca="1">OFFSET('IWP30'!UnitsOfServiceTotalsPeriod2, 0, 6, 1, 1)</f>
        <v>0</v>
      </c>
    </row>
    <row r="173" spans="1:25" s="5" customFormat="1"/>
    <row r="174" spans="1:25" ht="13" thickBot="1">
      <c r="A174" s="2" t="s">
        <v>554</v>
      </c>
    </row>
    <row r="175" spans="1:25" s="5" customFormat="1">
      <c r="A175" s="100" t="s">
        <v>427</v>
      </c>
      <c r="B175" s="101" t="s">
        <v>504</v>
      </c>
      <c r="C175" s="101" t="s">
        <v>505</v>
      </c>
      <c r="D175" s="101" t="s">
        <v>506</v>
      </c>
      <c r="E175" s="101" t="s">
        <v>507</v>
      </c>
      <c r="F175" s="101" t="s">
        <v>508</v>
      </c>
      <c r="G175" s="101" t="s">
        <v>509</v>
      </c>
      <c r="H175" s="101" t="s">
        <v>510</v>
      </c>
      <c r="I175" s="101" t="s">
        <v>511</v>
      </c>
      <c r="J175" s="101" t="s">
        <v>512</v>
      </c>
      <c r="K175" s="101" t="s">
        <v>513</v>
      </c>
      <c r="L175" s="101" t="s">
        <v>514</v>
      </c>
      <c r="M175" s="101" t="s">
        <v>515</v>
      </c>
      <c r="N175" s="101" t="s">
        <v>516</v>
      </c>
      <c r="O175" s="101" t="s">
        <v>517</v>
      </c>
      <c r="P175" s="101" t="s">
        <v>518</v>
      </c>
      <c r="Q175" s="101" t="s">
        <v>519</v>
      </c>
      <c r="R175" s="101" t="s">
        <v>520</v>
      </c>
      <c r="S175" s="101" t="s">
        <v>521</v>
      </c>
      <c r="T175" s="101" t="s">
        <v>522</v>
      </c>
      <c r="U175" s="101" t="s">
        <v>523</v>
      </c>
      <c r="V175" s="101" t="s">
        <v>524</v>
      </c>
      <c r="W175" s="101" t="s">
        <v>525</v>
      </c>
      <c r="X175" s="101" t="s">
        <v>400</v>
      </c>
      <c r="Y175" s="102" t="s">
        <v>526</v>
      </c>
    </row>
    <row r="176" spans="1:25">
      <c r="A176" s="125" t="s">
        <v>429</v>
      </c>
      <c r="B176" s="128">
        <v>1</v>
      </c>
      <c r="C176" s="128">
        <v>1</v>
      </c>
      <c r="D176" s="107">
        <f ca="1">IF(OFFSET('IWP01'!UnitsOfServicePeriod1, 0, 0, 1, 1)=DATE(1900,1,0), DATE(1900,1,1),OFFSET('IWP01'!UnitsOfServicePeriod1, 0, 0, 1, 1))</f>
        <v>1</v>
      </c>
      <c r="E176" s="107">
        <f ca="1">IF(OFFSET('IWP01'!UnitsOfServicePeriod1, 0, 1, 1, 1)=DATE(1900,1,0), DATE(1900,1,1),OFFSET('IWP01'!UnitsOfServicePeriod1, 0, 1, 1, 1))</f>
        <v>1</v>
      </c>
      <c r="F176" s="128">
        <f ca="1">OFFSET('IWP01'!UnitsOfServicePeriod1, 0, 2, 1, 1)</f>
        <v>0</v>
      </c>
      <c r="G176" s="128">
        <f ca="1">IF(OFFSET('IWP01'!UnitsOfServicePeriod1, 0, 3, 1, 1) = "", 0, OFFSET('IWP01'!UnitsOfServicePeriod1, 0, 3, 1, 1))</f>
        <v>0</v>
      </c>
      <c r="H176" s="128">
        <f ca="1">OFFSET('IWP01'!UnitsOfServicePeriod1, 0, 4, 1, 1)</f>
        <v>0</v>
      </c>
      <c r="I176" s="128">
        <f ca="1">IF(OFFSET('IWP01'!UnitsOfServicePeriod1, 0, 5, 1, 1) = "", 0, OFFSET('IWP01'!UnitsOfServicePeriod1, 0, 5, 1, 1))</f>
        <v>0</v>
      </c>
      <c r="J176" s="128">
        <f ca="1">OFFSET('IWP01'!UnitsOfServicePeriod1, 0, 6, 1, 1)</f>
        <v>0</v>
      </c>
      <c r="K176" s="128">
        <f ca="1">IF(OFFSET('IWP01'!UnitsOfServicePeriod1, 0, 7, 1, 1) = "", 0, OFFSET('IWP01'!UnitsOfServicePeriod1, 0, 7, 1, 1))</f>
        <v>0</v>
      </c>
      <c r="L176" s="128">
        <f ca="1">OFFSET('IWP01'!UnitsOfServicePeriod1, 0, 8, 1, 1)</f>
        <v>0</v>
      </c>
      <c r="M176" s="128">
        <f ca="1">IF(OFFSET('IWP01'!UnitsOfServicePeriod1, 0, 9, 1, 1) = "", 0, OFFSET('IWP01'!UnitsOfServicePeriod1, 0, 9, 1, 1))</f>
        <v>0</v>
      </c>
      <c r="N176" s="128">
        <f ca="1">OFFSET('IWP01'!UnitsOfServicePeriod1, 0, 10, 1, 1)</f>
        <v>0</v>
      </c>
      <c r="O176" s="128">
        <f ca="1">IF(OFFSET('IWP01'!UnitsOfServicePeriod1, 0, 11, 1, 1) = "", 0, OFFSET('IWP01'!UnitsOfServicePeriod1, 0, 11, 1, 1))</f>
        <v>0</v>
      </c>
      <c r="P176" s="128">
        <f ca="1">OFFSET('IWP01'!UnitsOfServicePeriod1, 0, 12, 1, 1)</f>
        <v>0</v>
      </c>
      <c r="Q176" s="128">
        <f ca="1">IF(OFFSET('IWP01'!UnitsOfServicePeriod1, 0, 13, 1, 1) = "", 0, OFFSET('IWP01'!UnitsOfServicePeriod1, 0, 13, 1, 1))</f>
        <v>0</v>
      </c>
      <c r="R176" s="128">
        <f ca="1">OFFSET('IWP01'!UnitsOfServicePeriod1, 0, 14, 1, 1)</f>
        <v>0</v>
      </c>
      <c r="S176" s="128">
        <f ca="1">IF(OFFSET('IWP01'!UnitsOfServicePeriod1, 0, 15, 1, 1) = "", 0, OFFSET('IWP01'!UnitsOfServicePeriod1, 0, 15, 1, 1))</f>
        <v>0</v>
      </c>
      <c r="T176" s="128">
        <f ca="1">IF(OFFSET('IWP01'!UnitsOfServicePeriod1, 0, 16, 1, 1) = "", 0, OFFSET('IWP01'!UnitsOfServicePeriod1, 0, 16, 1, 1))</f>
        <v>0</v>
      </c>
      <c r="U176" s="128">
        <f ca="1">OFFSET('IWP01'!UnitsOfServicePeriod1, 0, 17, 1, 1)</f>
        <v>0</v>
      </c>
      <c r="V176" s="128">
        <f ca="1">IF(OFFSET('IWP01'!UnitsOfServicePeriod1, 0, 19, 1, 1) = "", 0, OFFSET('IWP01'!UnitsOfServicePeriod1, 0, 19, 1, 1))</f>
        <v>0</v>
      </c>
      <c r="W176" s="128">
        <f ca="1">OFFSET('IWP01'!UnitsOfServicePeriod1, 0, 20, 1, 1)</f>
        <v>0</v>
      </c>
      <c r="X176" s="128">
        <f ca="1">IF(OFFSET('IWP01'!UnitsOfServicePeriod1, 0, 21, 1, 1) = "", 0, OFFSET('IWP01'!UnitsOfServicePeriod1, 0, 21, 1, 1))</f>
        <v>0</v>
      </c>
      <c r="Y176" s="137">
        <f ca="1">OFFSET('IWP01'!UnitsOfServicePeriod1, 0, 22, 1, 1)</f>
        <v>0</v>
      </c>
    </row>
    <row r="177" spans="1:25">
      <c r="A177" s="125" t="s">
        <v>429</v>
      </c>
      <c r="B177" s="128">
        <v>1</v>
      </c>
      <c r="C177" s="128">
        <v>2</v>
      </c>
      <c r="D177" s="107">
        <f ca="1">IF(OFFSET('IWP01'!UnitsOfServicePeriod1, 1, 0, 1, 1)=DATE(1900,1,0), DATE(1900,1,1),OFFSET('IWP01'!UnitsOfServicePeriod1, 1, 0, 1, 1))</f>
        <v>1</v>
      </c>
      <c r="E177" s="107">
        <f ca="1">IF(OFFSET('IWP01'!UnitsOfServicePeriod1, 1, 1, 1, 1)=DATE(1900,1,0), DATE(1900,1,1),OFFSET('IWP01'!UnitsOfServicePeriod1, 1, 1, 1, 1))</f>
        <v>1</v>
      </c>
      <c r="F177" s="128">
        <f ca="1">OFFSET('IWP01'!UnitsOfServicePeriod1, 1, 2, 1, 1)</f>
        <v>0</v>
      </c>
      <c r="G177" s="128">
        <f ca="1">IF(OFFSET('IWP01'!UnitsOfServicePeriod1, 1, 3, 1, 1) = "", 0, OFFSET('IWP01'!UnitsOfServicePeriod1, 1, 3, 1, 1))</f>
        <v>0</v>
      </c>
      <c r="H177" s="128">
        <f ca="1">OFFSET('IWP01'!UnitsOfServicePeriod1, 1, 4, 1, 1)</f>
        <v>0</v>
      </c>
      <c r="I177" s="128">
        <f ca="1">IF(OFFSET('IWP01'!UnitsOfServicePeriod1, 1, 5, 1, 1) = "", 0, OFFSET('IWP01'!UnitsOfServicePeriod1, 1, 5, 1, 1))</f>
        <v>0</v>
      </c>
      <c r="J177" s="128">
        <f ca="1">OFFSET('IWP01'!UnitsOfServicePeriod1, 1, 6, 1, 1)</f>
        <v>0</v>
      </c>
      <c r="K177" s="128">
        <f ca="1">IF(OFFSET('IWP01'!UnitsOfServicePeriod1, 1, 7, 1, 1) = "", 0, OFFSET('IWP01'!UnitsOfServicePeriod1, 1, 7, 1, 1))</f>
        <v>0</v>
      </c>
      <c r="L177" s="128">
        <f ca="1">OFFSET('IWP01'!UnitsOfServicePeriod1, 1, 8, 1, 1)</f>
        <v>0</v>
      </c>
      <c r="M177" s="128">
        <f ca="1">IF(OFFSET('IWP01'!UnitsOfServicePeriod1, 1, 9, 1, 1) = "", 0, OFFSET('IWP01'!UnitsOfServicePeriod1, 1, 9, 1, 1))</f>
        <v>0</v>
      </c>
      <c r="N177" s="128">
        <f ca="1">OFFSET('IWP01'!UnitsOfServicePeriod1, 1, 10, 1, 1)</f>
        <v>0</v>
      </c>
      <c r="O177" s="128">
        <f ca="1">IF(OFFSET('IWP01'!UnitsOfServicePeriod1, 1, 11, 1, 1) = "", 0, OFFSET('IWP01'!UnitsOfServicePeriod1, 1, 11, 1, 1))</f>
        <v>0</v>
      </c>
      <c r="P177" s="128">
        <f ca="1">OFFSET('IWP01'!UnitsOfServicePeriod1, 1, 12, 1, 1)</f>
        <v>0</v>
      </c>
      <c r="Q177" s="128">
        <f ca="1">IF(OFFSET('IWP01'!UnitsOfServicePeriod1, 1, 13, 1, 1) = "", 0, OFFSET('IWP01'!UnitsOfServicePeriod1, 1, 13, 1, 1))</f>
        <v>0</v>
      </c>
      <c r="R177" s="128">
        <f ca="1">OFFSET('IWP01'!UnitsOfServicePeriod1, 1, 14, 1, 1)</f>
        <v>0</v>
      </c>
      <c r="S177" s="128">
        <f ca="1">IF(OFFSET('IWP01'!UnitsOfServicePeriod1, 1, 15, 1, 1) = "", 0, OFFSET('IWP01'!UnitsOfServicePeriod1, 1, 15, 1, 1))</f>
        <v>0</v>
      </c>
      <c r="T177" s="128">
        <f ca="1">IF(OFFSET('IWP01'!UnitsOfServicePeriod1, 1, 16, 1, 1) = "", 0, OFFSET('IWP01'!UnitsOfServicePeriod1, 1, 16, 1, 1))</f>
        <v>0</v>
      </c>
      <c r="U177" s="128">
        <f ca="1">OFFSET('IWP01'!UnitsOfServicePeriod1, 1, 17, 1, 1)</f>
        <v>0</v>
      </c>
      <c r="V177" s="128">
        <f ca="1">IF(OFFSET('IWP01'!UnitsOfServicePeriod1, 1, 19, 1, 1) = "", 0, OFFSET('IWP01'!UnitsOfServicePeriod1, 1, 19, 1, 1))</f>
        <v>0</v>
      </c>
      <c r="W177" s="128">
        <f ca="1">OFFSET('IWP01'!UnitsOfServicePeriod1, 1, 20, 1, 1)</f>
        <v>0</v>
      </c>
      <c r="X177" s="128">
        <f ca="1">IF(OFFSET('IWP01'!UnitsOfServicePeriod1, 1, 21, 1, 1) = "", 0, OFFSET('IWP01'!UnitsOfServicePeriod1, 1, 21, 1, 1))</f>
        <v>0</v>
      </c>
      <c r="Y177" s="137">
        <f ca="1">OFFSET('IWP01'!UnitsOfServicePeriod1, 1, 22, 1, 1)</f>
        <v>0</v>
      </c>
    </row>
    <row r="178" spans="1:25">
      <c r="A178" s="125" t="s">
        <v>429</v>
      </c>
      <c r="B178" s="128">
        <v>1</v>
      </c>
      <c r="C178" s="128">
        <v>3</v>
      </c>
      <c r="D178" s="107">
        <f ca="1">IF(OFFSET('IWP01'!UnitsOfServicePeriod1, 2, 0, 1, 1)=DATE(1900,1,0), DATE(1900,1,1),OFFSET('IWP01'!UnitsOfServicePeriod1, 2, 0, 1, 1))</f>
        <v>1</v>
      </c>
      <c r="E178" s="107">
        <f ca="1">IF(OFFSET('IWP01'!UnitsOfServicePeriod1, 2, 1, 1, 1)=DATE(1900,1,0), DATE(1900,1,1),OFFSET('IWP01'!UnitsOfServicePeriod1, 2, 1, 1, 1))</f>
        <v>1</v>
      </c>
      <c r="F178" s="128">
        <f ca="1">OFFSET('IWP01'!UnitsOfServicePeriod1, 2, 2, 1, 1)</f>
        <v>0</v>
      </c>
      <c r="G178" s="128">
        <f ca="1">IF(OFFSET('IWP01'!UnitsOfServicePeriod1, 2, 3, 1, 1) = "", 0, OFFSET('IWP01'!UnitsOfServicePeriod1, 2, 3, 1, 1))</f>
        <v>0</v>
      </c>
      <c r="H178" s="128">
        <f ca="1">OFFSET('IWP01'!UnitsOfServicePeriod1, 2, 4, 1, 1)</f>
        <v>0</v>
      </c>
      <c r="I178" s="128">
        <f ca="1">IF(OFFSET('IWP01'!UnitsOfServicePeriod1, 2, 5, 1, 1) = "", 0, OFFSET('IWP01'!UnitsOfServicePeriod1, 2, 5, 1, 1))</f>
        <v>0</v>
      </c>
      <c r="J178" s="128">
        <f ca="1">OFFSET('IWP01'!UnitsOfServicePeriod1, 2, 6, 1, 1)</f>
        <v>0</v>
      </c>
      <c r="K178" s="128">
        <f ca="1">IF(OFFSET('IWP01'!UnitsOfServicePeriod1, 2, 7, 1, 1) = "", 0, OFFSET('IWP01'!UnitsOfServicePeriod1, 2, 7, 1, 1))</f>
        <v>0</v>
      </c>
      <c r="L178" s="128">
        <f ca="1">OFFSET('IWP01'!UnitsOfServicePeriod1, 2, 8, 1, 1)</f>
        <v>0</v>
      </c>
      <c r="M178" s="128">
        <f ca="1">IF(OFFSET('IWP01'!UnitsOfServicePeriod1, 2, 9, 1, 1) = "", 0, OFFSET('IWP01'!UnitsOfServicePeriod1, 2, 9, 1, 1))</f>
        <v>0</v>
      </c>
      <c r="N178" s="128">
        <f ca="1">OFFSET('IWP01'!UnitsOfServicePeriod1, 2, 10, 1, 1)</f>
        <v>0</v>
      </c>
      <c r="O178" s="128">
        <f ca="1">IF(OFFSET('IWP01'!UnitsOfServicePeriod1, 2, 11, 1, 1) = "", 0, OFFSET('IWP01'!UnitsOfServicePeriod1, 2, 11, 1, 1))</f>
        <v>0</v>
      </c>
      <c r="P178" s="128">
        <f ca="1">OFFSET('IWP01'!UnitsOfServicePeriod1, 2, 12, 1, 1)</f>
        <v>0</v>
      </c>
      <c r="Q178" s="128">
        <f ca="1">IF(OFFSET('IWP01'!UnitsOfServicePeriod1, 2, 13, 1, 1) = "", 0, OFFSET('IWP01'!UnitsOfServicePeriod1, 2, 13, 1, 1))</f>
        <v>0</v>
      </c>
      <c r="R178" s="128">
        <f ca="1">OFFSET('IWP01'!UnitsOfServicePeriod1, 2, 14, 1, 1)</f>
        <v>0</v>
      </c>
      <c r="S178" s="128">
        <f ca="1">IF(OFFSET('IWP01'!UnitsOfServicePeriod1, 2, 15, 1, 1) = "", 0, OFFSET('IWP01'!UnitsOfServicePeriod1, 2, 15, 1, 1))</f>
        <v>0</v>
      </c>
      <c r="T178" s="128">
        <f ca="1">IF(OFFSET('IWP01'!UnitsOfServicePeriod1, 2, 16, 1, 1) = "", 0, OFFSET('IWP01'!UnitsOfServicePeriod1, 2, 16, 1, 1))</f>
        <v>0</v>
      </c>
      <c r="U178" s="128">
        <f ca="1">OFFSET('IWP01'!UnitsOfServicePeriod1, 2, 17, 1, 1)</f>
        <v>0</v>
      </c>
      <c r="V178" s="128">
        <f ca="1">IF(OFFSET('IWP01'!UnitsOfServicePeriod1, 2, 19, 1, 1) = "", 0, OFFSET('IWP01'!UnitsOfServicePeriod1, 2, 19, 1, 1))</f>
        <v>0</v>
      </c>
      <c r="W178" s="128">
        <f ca="1">OFFSET('IWP01'!UnitsOfServicePeriod1, 2, 20, 1, 1)</f>
        <v>0</v>
      </c>
      <c r="X178" s="128">
        <f ca="1">IF(OFFSET('IWP01'!UnitsOfServicePeriod1, 2, 21, 1, 1) = "", 0, OFFSET('IWP01'!UnitsOfServicePeriod1, 2, 21, 1, 1))</f>
        <v>0</v>
      </c>
      <c r="Y178" s="137">
        <f ca="1">OFFSET('IWP01'!UnitsOfServicePeriod1, 2, 22, 1, 1)</f>
        <v>0</v>
      </c>
    </row>
    <row r="179" spans="1:25">
      <c r="A179" s="125" t="s">
        <v>429</v>
      </c>
      <c r="B179" s="128">
        <v>1</v>
      </c>
      <c r="C179" s="128">
        <v>4</v>
      </c>
      <c r="D179" s="107">
        <f ca="1">IF(OFFSET('IWP01'!UnitsOfServicePeriod1, 3, 0, 1, 1)=DATE(1900,1,0), DATE(1900,1,1),OFFSET('IWP01'!UnitsOfServicePeriod1, 3, 0, 1, 1))</f>
        <v>1</v>
      </c>
      <c r="E179" s="107">
        <f ca="1">IF(OFFSET('IWP01'!UnitsOfServicePeriod1, 3, 1, 1, 1)=DATE(1900,1,0), DATE(1900,1,1),OFFSET('IWP01'!UnitsOfServicePeriod1, 3, 1, 1, 1))</f>
        <v>1</v>
      </c>
      <c r="F179" s="128">
        <f ca="1">OFFSET('IWP01'!UnitsOfServicePeriod1, 3, 2, 1, 1)</f>
        <v>0</v>
      </c>
      <c r="G179" s="128">
        <f ca="1">IF(OFFSET('IWP01'!UnitsOfServicePeriod1, 3, 3, 1, 1) = "", 0, OFFSET('IWP01'!UnitsOfServicePeriod1, 3, 3, 1, 1))</f>
        <v>0</v>
      </c>
      <c r="H179" s="128">
        <f ca="1">OFFSET('IWP01'!UnitsOfServicePeriod1, 3, 4, 1, 1)</f>
        <v>0</v>
      </c>
      <c r="I179" s="128">
        <f ca="1">IF(OFFSET('IWP01'!UnitsOfServicePeriod1, 3, 5, 1, 1) = "", 0, OFFSET('IWP01'!UnitsOfServicePeriod1, 3, 5, 1, 1))</f>
        <v>0</v>
      </c>
      <c r="J179" s="128">
        <f ca="1">OFFSET('IWP01'!UnitsOfServicePeriod1, 3, 6, 1, 1)</f>
        <v>0</v>
      </c>
      <c r="K179" s="128">
        <f ca="1">IF(OFFSET('IWP01'!UnitsOfServicePeriod1, 3, 7, 1, 1) = "", 0, OFFSET('IWP01'!UnitsOfServicePeriod1, 3, 7, 1, 1))</f>
        <v>0</v>
      </c>
      <c r="L179" s="128">
        <f ca="1">OFFSET('IWP01'!UnitsOfServicePeriod1, 3, 8, 1, 1)</f>
        <v>0</v>
      </c>
      <c r="M179" s="128">
        <f ca="1">IF(OFFSET('IWP01'!UnitsOfServicePeriod1, 3, 9, 1, 1) = "", 0, OFFSET('IWP01'!UnitsOfServicePeriod1, 3, 9, 1, 1))</f>
        <v>0</v>
      </c>
      <c r="N179" s="128">
        <f ca="1">OFFSET('IWP01'!UnitsOfServicePeriod1, 3, 10, 1, 1)</f>
        <v>0</v>
      </c>
      <c r="O179" s="128">
        <f ca="1">IF(OFFSET('IWP01'!UnitsOfServicePeriod1, 3, 11, 1, 1) = "", 0, OFFSET('IWP01'!UnitsOfServicePeriod1, 3, 11, 1, 1))</f>
        <v>0</v>
      </c>
      <c r="P179" s="128">
        <f ca="1">OFFSET('IWP01'!UnitsOfServicePeriod1, 3, 12, 1, 1)</f>
        <v>0</v>
      </c>
      <c r="Q179" s="128">
        <f ca="1">IF(OFFSET('IWP01'!UnitsOfServicePeriod1, 3, 13, 1, 1) = "", 0, OFFSET('IWP01'!UnitsOfServicePeriod1, 3, 13, 1, 1))</f>
        <v>0</v>
      </c>
      <c r="R179" s="128">
        <f ca="1">OFFSET('IWP01'!UnitsOfServicePeriod1, 3, 14, 1, 1)</f>
        <v>0</v>
      </c>
      <c r="S179" s="128">
        <f ca="1">IF(OFFSET('IWP01'!UnitsOfServicePeriod1, 3, 15, 1, 1) = "", 0, OFFSET('IWP01'!UnitsOfServicePeriod1, 3, 15, 1, 1))</f>
        <v>0</v>
      </c>
      <c r="T179" s="128">
        <f ca="1">IF(OFFSET('IWP01'!UnitsOfServicePeriod1, 3, 16, 1, 1) = "", 0, OFFSET('IWP01'!UnitsOfServicePeriod1, 3, 16, 1, 1))</f>
        <v>0</v>
      </c>
      <c r="U179" s="128">
        <f ca="1">OFFSET('IWP01'!UnitsOfServicePeriod1, 3, 17, 1, 1)</f>
        <v>0</v>
      </c>
      <c r="V179" s="128">
        <f ca="1">IF(OFFSET('IWP01'!UnitsOfServicePeriod1, 3, 19, 1, 1) = "", 0, OFFSET('IWP01'!UnitsOfServicePeriod1, 3, 19, 1, 1))</f>
        <v>0</v>
      </c>
      <c r="W179" s="128">
        <f ca="1">OFFSET('IWP01'!UnitsOfServicePeriod1, 3, 20, 1, 1)</f>
        <v>0</v>
      </c>
      <c r="X179" s="128">
        <f ca="1">IF(OFFSET('IWP01'!UnitsOfServicePeriod1, 3, 21, 1, 1) = "", 0, OFFSET('IWP01'!UnitsOfServicePeriod1, 3, 21, 1, 1))</f>
        <v>0</v>
      </c>
      <c r="Y179" s="137">
        <f ca="1">OFFSET('IWP01'!UnitsOfServicePeriod1, 3, 22, 1, 1)</f>
        <v>0</v>
      </c>
    </row>
    <row r="180" spans="1:25">
      <c r="A180" s="125" t="s">
        <v>429</v>
      </c>
      <c r="B180" s="128">
        <v>1</v>
      </c>
      <c r="C180" s="128">
        <v>5</v>
      </c>
      <c r="D180" s="107">
        <f ca="1">IF(OFFSET('IWP01'!UnitsOfServicePeriod1, 4, 0, 1, 1)=DATE(1900,1,0), DATE(1900,1,1),OFFSET('IWP01'!UnitsOfServicePeriod1, 4, 0, 1, 1))</f>
        <v>1</v>
      </c>
      <c r="E180" s="107">
        <f ca="1">IF(OFFSET('IWP01'!UnitsOfServicePeriod1, 4, 1, 1, 1)=DATE(1900,1,0), DATE(1900,1,1),OFFSET('IWP01'!UnitsOfServicePeriod1, 4, 1, 1, 1))</f>
        <v>1</v>
      </c>
      <c r="F180" s="128">
        <f ca="1">OFFSET('IWP01'!UnitsOfServicePeriod1, 4, 2, 1, 1)</f>
        <v>0</v>
      </c>
      <c r="G180" s="128">
        <f ca="1">IF(OFFSET('IWP01'!UnitsOfServicePeriod1, 4, 3, 1, 1) = "", 0, OFFSET('IWP01'!UnitsOfServicePeriod1, 4, 3, 1, 1))</f>
        <v>0</v>
      </c>
      <c r="H180" s="128">
        <f ca="1">OFFSET('IWP01'!UnitsOfServicePeriod1, 4, 4, 1, 1)</f>
        <v>0</v>
      </c>
      <c r="I180" s="128">
        <f ca="1">IF(OFFSET('IWP01'!UnitsOfServicePeriod1, 4, 5, 1, 1) = "", 0, OFFSET('IWP01'!UnitsOfServicePeriod1, 4, 5, 1, 1))</f>
        <v>0</v>
      </c>
      <c r="J180" s="128">
        <f ca="1">OFFSET('IWP01'!UnitsOfServicePeriod1, 4, 6, 1, 1)</f>
        <v>0</v>
      </c>
      <c r="K180" s="128">
        <f ca="1">IF(OFFSET('IWP01'!UnitsOfServicePeriod1, 4, 7, 1, 1) = "", 0, OFFSET('IWP01'!UnitsOfServicePeriod1, 4, 7, 1, 1))</f>
        <v>0</v>
      </c>
      <c r="L180" s="128">
        <f ca="1">OFFSET('IWP01'!UnitsOfServicePeriod1, 4, 8, 1, 1)</f>
        <v>0</v>
      </c>
      <c r="M180" s="128">
        <f ca="1">IF(OFFSET('IWP01'!UnitsOfServicePeriod1, 4, 9, 1, 1) = "", 0, OFFSET('IWP01'!UnitsOfServicePeriod1, 4, 9, 1, 1))</f>
        <v>0</v>
      </c>
      <c r="N180" s="128">
        <f ca="1">OFFSET('IWP01'!UnitsOfServicePeriod1, 4, 10, 1, 1)</f>
        <v>0</v>
      </c>
      <c r="O180" s="128">
        <f ca="1">IF(OFFSET('IWP01'!UnitsOfServicePeriod1, 4, 11, 1, 1) = "", 0, OFFSET('IWP01'!UnitsOfServicePeriod1, 4, 11, 1, 1))</f>
        <v>0</v>
      </c>
      <c r="P180" s="128">
        <f ca="1">OFFSET('IWP01'!UnitsOfServicePeriod1, 4, 12, 1, 1)</f>
        <v>0</v>
      </c>
      <c r="Q180" s="128">
        <f ca="1">IF(OFFSET('IWP01'!UnitsOfServicePeriod1, 4, 13, 1, 1) = "", 0, OFFSET('IWP01'!UnitsOfServicePeriod1, 4, 13, 1, 1))</f>
        <v>0</v>
      </c>
      <c r="R180" s="128">
        <f ca="1">OFFSET('IWP01'!UnitsOfServicePeriod1, 4, 14, 1, 1)</f>
        <v>0</v>
      </c>
      <c r="S180" s="128">
        <f ca="1">IF(OFFSET('IWP01'!UnitsOfServicePeriod1, 4, 15, 1, 1) = "", 0, OFFSET('IWP01'!UnitsOfServicePeriod1, 4, 15, 1, 1))</f>
        <v>0</v>
      </c>
      <c r="T180" s="128">
        <f ca="1">IF(OFFSET('IWP01'!UnitsOfServicePeriod1, 4, 16, 1, 1) = "", 0, OFFSET('IWP01'!UnitsOfServicePeriod1, 4, 16, 1, 1))</f>
        <v>0</v>
      </c>
      <c r="U180" s="128">
        <f ca="1">OFFSET('IWP01'!UnitsOfServicePeriod1, 4, 17, 1, 1)</f>
        <v>0</v>
      </c>
      <c r="V180" s="128">
        <f ca="1">IF(OFFSET('IWP01'!UnitsOfServicePeriod1, 4, 19, 1, 1) = "", 0, OFFSET('IWP01'!UnitsOfServicePeriod1, 4, 19, 1, 1))</f>
        <v>0</v>
      </c>
      <c r="W180" s="128">
        <f ca="1">OFFSET('IWP01'!UnitsOfServicePeriod1, 4, 20, 1, 1)</f>
        <v>0</v>
      </c>
      <c r="X180" s="128">
        <f ca="1">IF(OFFSET('IWP01'!UnitsOfServicePeriod1, 4, 21, 1, 1) = "", 0, OFFSET('IWP01'!UnitsOfServicePeriod1, 4, 21, 1, 1))</f>
        <v>0</v>
      </c>
      <c r="Y180" s="137">
        <f ca="1">OFFSET('IWP01'!UnitsOfServicePeriod1, 4, 22, 1, 1)</f>
        <v>0</v>
      </c>
    </row>
    <row r="181" spans="1:25">
      <c r="A181" s="125" t="s">
        <v>429</v>
      </c>
      <c r="B181" s="128">
        <v>1</v>
      </c>
      <c r="C181" s="128">
        <v>6</v>
      </c>
      <c r="D181" s="107">
        <f ca="1">IF(OFFSET('IWP01'!UnitsOfServicePeriod1, 5, 0, 1, 1)=DATE(1900,1,0), DATE(1900,1,1),OFFSET('IWP01'!UnitsOfServicePeriod1, 5, 0, 1, 1))</f>
        <v>1</v>
      </c>
      <c r="E181" s="107">
        <f ca="1">IF(OFFSET('IWP01'!UnitsOfServicePeriod1, 5, 1, 1, 1)=DATE(1900,1,0), DATE(1900,1,1),OFFSET('IWP01'!UnitsOfServicePeriod1, 5, 1, 1, 1))</f>
        <v>1</v>
      </c>
      <c r="F181" s="128">
        <f ca="1">OFFSET('IWP01'!UnitsOfServicePeriod1, 5, 2, 1, 1)</f>
        <v>0</v>
      </c>
      <c r="G181" s="128">
        <f ca="1">IF(OFFSET('IWP01'!UnitsOfServicePeriod1, 5, 3, 1, 1) = "", 0, OFFSET('IWP01'!UnitsOfServicePeriod1, 5, 3, 1, 1))</f>
        <v>0</v>
      </c>
      <c r="H181" s="128">
        <f ca="1">OFFSET('IWP01'!UnitsOfServicePeriod1, 5, 4, 1, 1)</f>
        <v>0</v>
      </c>
      <c r="I181" s="128">
        <f ca="1">IF(OFFSET('IWP01'!UnitsOfServicePeriod1, 5, 5, 1, 1) = "", 0, OFFSET('IWP01'!UnitsOfServicePeriod1, 5, 5, 1, 1))</f>
        <v>0</v>
      </c>
      <c r="J181" s="128">
        <f ca="1">OFFSET('IWP01'!UnitsOfServicePeriod1, 5, 6, 1, 1)</f>
        <v>0</v>
      </c>
      <c r="K181" s="128">
        <f ca="1">IF(OFFSET('IWP01'!UnitsOfServicePeriod1, 5, 7, 1, 1) = "", 0, OFFSET('IWP01'!UnitsOfServicePeriod1, 5, 7, 1, 1))</f>
        <v>0</v>
      </c>
      <c r="L181" s="128">
        <f ca="1">OFFSET('IWP01'!UnitsOfServicePeriod1, 5, 8, 1, 1)</f>
        <v>0</v>
      </c>
      <c r="M181" s="128">
        <f ca="1">IF(OFFSET('IWP01'!UnitsOfServicePeriod1, 5, 9, 1, 1) = "", 0, OFFSET('IWP01'!UnitsOfServicePeriod1, 5, 9, 1, 1))</f>
        <v>0</v>
      </c>
      <c r="N181" s="128">
        <f ca="1">OFFSET('IWP01'!UnitsOfServicePeriod1, 5, 10, 1, 1)</f>
        <v>0</v>
      </c>
      <c r="O181" s="128">
        <f ca="1">IF(OFFSET('IWP01'!UnitsOfServicePeriod1, 5, 11, 1, 1) = "", 0, OFFSET('IWP01'!UnitsOfServicePeriod1, 5, 11, 1, 1))</f>
        <v>0</v>
      </c>
      <c r="P181" s="128">
        <f ca="1">OFFSET('IWP01'!UnitsOfServicePeriod1, 5, 12, 1, 1)</f>
        <v>0</v>
      </c>
      <c r="Q181" s="128">
        <f ca="1">IF(OFFSET('IWP01'!UnitsOfServicePeriod1, 5, 13, 1, 1) = "", 0, OFFSET('IWP01'!UnitsOfServicePeriod1, 5, 13, 1, 1))</f>
        <v>0</v>
      </c>
      <c r="R181" s="128">
        <f ca="1">OFFSET('IWP01'!UnitsOfServicePeriod1, 5, 14, 1, 1)</f>
        <v>0</v>
      </c>
      <c r="S181" s="128">
        <f ca="1">IF(OFFSET('IWP01'!UnitsOfServicePeriod1, 5, 15, 1, 1) = "", 0, OFFSET('IWP01'!UnitsOfServicePeriod1, 5, 15, 1, 1))</f>
        <v>0</v>
      </c>
      <c r="T181" s="128">
        <f ca="1">IF(OFFSET('IWP01'!UnitsOfServicePeriod1, 5, 16, 1, 1) = "", 0, OFFSET('IWP01'!UnitsOfServicePeriod1, 5, 16, 1, 1))</f>
        <v>0</v>
      </c>
      <c r="U181" s="128">
        <f ca="1">OFFSET('IWP01'!UnitsOfServicePeriod1, 5, 17, 1, 1)</f>
        <v>0</v>
      </c>
      <c r="V181" s="128">
        <f ca="1">IF(OFFSET('IWP01'!UnitsOfServicePeriod1, 5, 19, 1, 1) = "", 0, OFFSET('IWP01'!UnitsOfServicePeriod1, 5, 19, 1, 1))</f>
        <v>0</v>
      </c>
      <c r="W181" s="128">
        <f ca="1">OFFSET('IWP01'!UnitsOfServicePeriod1, 5, 20, 1, 1)</f>
        <v>0</v>
      </c>
      <c r="X181" s="128">
        <f ca="1">IF(OFFSET('IWP01'!UnitsOfServicePeriod1, 5, 21, 1, 1) = "", 0, OFFSET('IWP01'!UnitsOfServicePeriod1, 5, 21, 1, 1))</f>
        <v>0</v>
      </c>
      <c r="Y181" s="137">
        <f ca="1">OFFSET('IWP01'!UnitsOfServicePeriod1, 5, 22, 1, 1)</f>
        <v>0</v>
      </c>
    </row>
    <row r="182" spans="1:25">
      <c r="A182" s="125" t="s">
        <v>429</v>
      </c>
      <c r="B182" s="128">
        <v>2</v>
      </c>
      <c r="C182" s="128">
        <v>1</v>
      </c>
      <c r="D182" s="107">
        <f ca="1">IF(OFFSET('IWP01'!UnitsOfServicePeriod2, 0, 0, 1, 1)=DATE(1900,1,0), DATE(1900,1,1),OFFSET('IWP01'!UnitsOfServicePeriod2, 0, 0, 1, 1))</f>
        <v>1</v>
      </c>
      <c r="E182" s="107">
        <f ca="1">IF(OFFSET('IWP01'!UnitsOfServicePeriod2, 0, 1, 1, 1)=DATE(1900,1,0), DATE(1900,1,1),OFFSET('IWP01'!UnitsOfServicePeriod2, 0, 1, 1, 1))</f>
        <v>1</v>
      </c>
      <c r="F182" s="128">
        <f ca="1">OFFSET('IWP01'!UnitsOfServicePeriod2, 0, 2, 1, 1)</f>
        <v>0</v>
      </c>
      <c r="G182" s="128">
        <f ca="1">IF(OFFSET('IWP01'!UnitsOfServicePeriod2, 0, 3, 1, 1) = "", 0, OFFSET('IWP01'!UnitsOfServicePeriod2, 0, 3, 1, 1))</f>
        <v>0</v>
      </c>
      <c r="H182" s="128">
        <f ca="1">OFFSET('IWP01'!UnitsOfServicePeriod2, 0, 4, 1, 1)</f>
        <v>0</v>
      </c>
      <c r="I182" s="128">
        <f ca="1">IF(OFFSET('IWP01'!UnitsOfServicePeriod2, 0, 5, 1, 1) = "", 0, OFFSET('IWP01'!UnitsOfServicePeriod2, 0, 5, 1, 1))</f>
        <v>0</v>
      </c>
      <c r="J182" s="128">
        <f ca="1">OFFSET('IWP01'!UnitsOfServicePeriod2, 0, 6, 1, 1)</f>
        <v>0</v>
      </c>
      <c r="K182" s="128">
        <f ca="1">IF(OFFSET('IWP01'!UnitsOfServicePeriod2, 0, 7, 1, 1) = "", 0, OFFSET('IWP01'!UnitsOfServicePeriod2, 0, 7, 1, 1))</f>
        <v>0</v>
      </c>
      <c r="L182" s="128">
        <f ca="1">OFFSET('IWP01'!UnitsOfServicePeriod2, 0, 8, 1, 1)</f>
        <v>0</v>
      </c>
      <c r="M182" s="128">
        <f ca="1">IF(OFFSET('IWP01'!UnitsOfServicePeriod2, 0, 9, 1, 1) = "", 0, OFFSET('IWP01'!UnitsOfServicePeriod2, 0, 9, 1, 1))</f>
        <v>0</v>
      </c>
      <c r="N182" s="128">
        <f ca="1">OFFSET('IWP01'!UnitsOfServicePeriod2, 0, 10, 1, 1)</f>
        <v>0</v>
      </c>
      <c r="O182" s="128">
        <f ca="1">IF(OFFSET('IWP01'!UnitsOfServicePeriod2, 0, 11, 1, 1) = "", 0, OFFSET('IWP01'!UnitsOfServicePeriod2, 0, 11, 1, 1))</f>
        <v>0</v>
      </c>
      <c r="P182" s="128">
        <f ca="1">OFFSET('IWP01'!UnitsOfServicePeriod2, 0, 12, 1, 1)</f>
        <v>0</v>
      </c>
      <c r="Q182" s="128">
        <f ca="1">IF(OFFSET('IWP01'!UnitsOfServicePeriod2, 0, 13, 1, 1) = "", 0, OFFSET('IWP01'!UnitsOfServicePeriod2, 0, 13, 1, 1))</f>
        <v>0</v>
      </c>
      <c r="R182" s="128">
        <f ca="1">OFFSET('IWP01'!UnitsOfServicePeriod2, 0, 14, 1, 1)</f>
        <v>0</v>
      </c>
      <c r="S182" s="128">
        <f ca="1">IF(OFFSET('IWP01'!UnitsOfServicePeriod2, 0, 15, 1, 1) = "", 0, OFFSET('IWP01'!UnitsOfServicePeriod2, 0, 15, 1, 1))</f>
        <v>0</v>
      </c>
      <c r="T182" s="128">
        <f ca="1">IF(OFFSET('IWP01'!UnitsOfServicePeriod2, 0, 16, 1, 1) = "", 0, OFFSET('IWP01'!UnitsOfServicePeriod2, 0, 16, 1, 1))</f>
        <v>0</v>
      </c>
      <c r="U182" s="128">
        <f ca="1">OFFSET('IWP01'!UnitsOfServicePeriod2, 0, 17, 1, 1)</f>
        <v>0</v>
      </c>
      <c r="V182" s="128">
        <f ca="1">IF(OFFSET('IWP01'!UnitsOfServicePeriod2, 0, 19, 1, 1) = "", 0, OFFSET('IWP01'!UnitsOfServicePeriod2, 0, 19, 1, 1))</f>
        <v>0</v>
      </c>
      <c r="W182" s="128">
        <f ca="1">OFFSET('IWP01'!UnitsOfServicePeriod2, 0, 20, 1, 1)</f>
        <v>0</v>
      </c>
      <c r="X182" s="128">
        <f ca="1">IF(OFFSET('IWP01'!UnitsOfServicePeriod2, 0, 21, 1, 1) = "", 0, OFFSET('IWP01'!UnitsOfServicePeriod2, 0, 21, 1, 1))</f>
        <v>0</v>
      </c>
      <c r="Y182" s="137">
        <f ca="1">OFFSET('IWP01'!UnitsOfServicePeriod2, 0, 22, 1, 1)</f>
        <v>0</v>
      </c>
    </row>
    <row r="183" spans="1:25">
      <c r="A183" s="125" t="s">
        <v>429</v>
      </c>
      <c r="B183" s="128">
        <v>2</v>
      </c>
      <c r="C183" s="128">
        <v>2</v>
      </c>
      <c r="D183" s="107">
        <f ca="1">IF(OFFSET('IWP01'!UnitsOfServicePeriod2, 1, 0, 1, 1)=DATE(1900,1,0), DATE(1900,1,1),OFFSET('IWP01'!UnitsOfServicePeriod2, 1, 0, 1, 1))</f>
        <v>1</v>
      </c>
      <c r="E183" s="107">
        <f ca="1">IF(OFFSET('IWP01'!UnitsOfServicePeriod2, 1, 1, 1, 1)=DATE(1900,1,0), DATE(1900,1,1),OFFSET('IWP01'!UnitsOfServicePeriod2, 1, 1, 1, 1))</f>
        <v>1</v>
      </c>
      <c r="F183" s="128">
        <f ca="1">OFFSET('IWP01'!UnitsOfServicePeriod2, 1, 2, 1, 1)</f>
        <v>0</v>
      </c>
      <c r="G183" s="128">
        <f ca="1">IF(OFFSET('IWP01'!UnitsOfServicePeriod2, 1, 3, 1, 1) = "", 0, OFFSET('IWP01'!UnitsOfServicePeriod2, 1, 3, 1, 1))</f>
        <v>0</v>
      </c>
      <c r="H183" s="128">
        <f ca="1">OFFSET('IWP01'!UnitsOfServicePeriod2, 1, 4, 1, 1)</f>
        <v>0</v>
      </c>
      <c r="I183" s="128">
        <f ca="1">IF(OFFSET('IWP01'!UnitsOfServicePeriod2, 1, 5, 1, 1) = "", 0, OFFSET('IWP01'!UnitsOfServicePeriod2, 1, 5, 1, 1))</f>
        <v>0</v>
      </c>
      <c r="J183" s="128">
        <f ca="1">OFFSET('IWP01'!UnitsOfServicePeriod2, 1, 6, 1, 1)</f>
        <v>0</v>
      </c>
      <c r="K183" s="128">
        <f ca="1">IF(OFFSET('IWP01'!UnitsOfServicePeriod2, 1, 7, 1, 1) = "", 0, OFFSET('IWP01'!UnitsOfServicePeriod2, 1, 7, 1, 1))</f>
        <v>0</v>
      </c>
      <c r="L183" s="128">
        <f ca="1">OFFSET('IWP01'!UnitsOfServicePeriod2, 1, 8, 1, 1)</f>
        <v>0</v>
      </c>
      <c r="M183" s="128">
        <f ca="1">IF(OFFSET('IWP01'!UnitsOfServicePeriod2, 1, 9, 1, 1) = "", 0, OFFSET('IWP01'!UnitsOfServicePeriod2, 1, 9, 1, 1))</f>
        <v>0</v>
      </c>
      <c r="N183" s="128">
        <f ca="1">OFFSET('IWP01'!UnitsOfServicePeriod2, 1, 10, 1, 1)</f>
        <v>0</v>
      </c>
      <c r="O183" s="128">
        <f ca="1">IF(OFFSET('IWP01'!UnitsOfServicePeriod2, 1, 11, 1, 1) = "", 0, OFFSET('IWP01'!UnitsOfServicePeriod2, 1, 11, 1, 1))</f>
        <v>0</v>
      </c>
      <c r="P183" s="128">
        <f ca="1">OFFSET('IWP01'!UnitsOfServicePeriod2, 1, 12, 1, 1)</f>
        <v>0</v>
      </c>
      <c r="Q183" s="128">
        <f ca="1">IF(OFFSET('IWP01'!UnitsOfServicePeriod2, 1, 13, 1, 1) = "", 0, OFFSET('IWP01'!UnitsOfServicePeriod2, 1, 13, 1, 1))</f>
        <v>0</v>
      </c>
      <c r="R183" s="128">
        <f ca="1">OFFSET('IWP01'!UnitsOfServicePeriod2, 1, 14, 1, 1)</f>
        <v>0</v>
      </c>
      <c r="S183" s="128">
        <f ca="1">IF(OFFSET('IWP01'!UnitsOfServicePeriod2, 1, 15, 1, 1) = "", 0, OFFSET('IWP01'!UnitsOfServicePeriod2, 1, 15, 1, 1))</f>
        <v>0</v>
      </c>
      <c r="T183" s="128">
        <f ca="1">IF(OFFSET('IWP01'!UnitsOfServicePeriod2, 1, 16, 1, 1) = "", 0, OFFSET('IWP01'!UnitsOfServicePeriod2, 1, 16, 1, 1))</f>
        <v>0</v>
      </c>
      <c r="U183" s="128">
        <f ca="1">OFFSET('IWP01'!UnitsOfServicePeriod2, 1, 17, 1, 1)</f>
        <v>0</v>
      </c>
      <c r="V183" s="128">
        <f ca="1">IF(OFFSET('IWP01'!UnitsOfServicePeriod2, 1, 19, 1, 1) = "", 0, OFFSET('IWP01'!UnitsOfServicePeriod2, 1, 19, 1, 1))</f>
        <v>0</v>
      </c>
      <c r="W183" s="128">
        <f ca="1">OFFSET('IWP01'!UnitsOfServicePeriod2, 1, 20, 1, 1)</f>
        <v>0</v>
      </c>
      <c r="X183" s="128">
        <f ca="1">IF(OFFSET('IWP01'!UnitsOfServicePeriod2, 1, 21, 1, 1) = "", 0, OFFSET('IWP01'!UnitsOfServicePeriod2, 1, 21, 1, 1))</f>
        <v>0</v>
      </c>
      <c r="Y183" s="137">
        <f ca="1">OFFSET('IWP01'!UnitsOfServicePeriod2, 1, 22, 1, 1)</f>
        <v>0</v>
      </c>
    </row>
    <row r="184" spans="1:25">
      <c r="A184" s="125" t="s">
        <v>429</v>
      </c>
      <c r="B184" s="128">
        <v>2</v>
      </c>
      <c r="C184" s="128">
        <v>3</v>
      </c>
      <c r="D184" s="107">
        <f ca="1">IF(OFFSET('IWP01'!UnitsOfServicePeriod2, 2, 0, 1, 1)=DATE(1900,1,0), DATE(1900,1,1),OFFSET('IWP01'!UnitsOfServicePeriod2, 2, 0, 1, 1))</f>
        <v>1</v>
      </c>
      <c r="E184" s="107">
        <f ca="1">IF(OFFSET('IWP01'!UnitsOfServicePeriod2, 2, 1, 1, 1)=DATE(1900,1,0), DATE(1900,1,1),OFFSET('IWP01'!UnitsOfServicePeriod2, 2, 1, 1, 1))</f>
        <v>1</v>
      </c>
      <c r="F184" s="128">
        <f ca="1">OFFSET('IWP01'!UnitsOfServicePeriod2, 2, 2, 1, 1)</f>
        <v>0</v>
      </c>
      <c r="G184" s="128">
        <f ca="1">IF(OFFSET('IWP01'!UnitsOfServicePeriod2, 2, 3, 1, 1) = "", 0, OFFSET('IWP01'!UnitsOfServicePeriod2, 2, 3, 1, 1))</f>
        <v>0</v>
      </c>
      <c r="H184" s="128">
        <f ca="1">OFFSET('IWP01'!UnitsOfServicePeriod2, 2, 4, 1, 1)</f>
        <v>0</v>
      </c>
      <c r="I184" s="128">
        <f ca="1">IF(OFFSET('IWP01'!UnitsOfServicePeriod2, 2, 5, 1, 1) = "", 0, OFFSET('IWP01'!UnitsOfServicePeriod2, 2, 5, 1, 1))</f>
        <v>0</v>
      </c>
      <c r="J184" s="128">
        <f ca="1">OFFSET('IWP01'!UnitsOfServicePeriod2, 2, 6, 1, 1)</f>
        <v>0</v>
      </c>
      <c r="K184" s="128">
        <f ca="1">IF(OFFSET('IWP01'!UnitsOfServicePeriod2, 2, 7, 1, 1) = "", 0, OFFSET('IWP01'!UnitsOfServicePeriod2, 2, 7, 1, 1))</f>
        <v>0</v>
      </c>
      <c r="L184" s="128">
        <f ca="1">OFFSET('IWP01'!UnitsOfServicePeriod2, 2, 8, 1, 1)</f>
        <v>0</v>
      </c>
      <c r="M184" s="128">
        <f ca="1">IF(OFFSET('IWP01'!UnitsOfServicePeriod2, 2, 9, 1, 1) = "", 0, OFFSET('IWP01'!UnitsOfServicePeriod2, 2, 9, 1, 1))</f>
        <v>0</v>
      </c>
      <c r="N184" s="128">
        <f ca="1">OFFSET('IWP01'!UnitsOfServicePeriod2, 2, 10, 1, 1)</f>
        <v>0</v>
      </c>
      <c r="O184" s="128">
        <f ca="1">IF(OFFSET('IWP01'!UnitsOfServicePeriod2, 2, 11, 1, 1) = "", 0, OFFSET('IWP01'!UnitsOfServicePeriod2, 2, 11, 1, 1))</f>
        <v>0</v>
      </c>
      <c r="P184" s="128">
        <f ca="1">OFFSET('IWP01'!UnitsOfServicePeriod2, 2, 12, 1, 1)</f>
        <v>0</v>
      </c>
      <c r="Q184" s="128">
        <f ca="1">IF(OFFSET('IWP01'!UnitsOfServicePeriod2, 2, 13, 1, 1) = "", 0, OFFSET('IWP01'!UnitsOfServicePeriod2, 2, 13, 1, 1))</f>
        <v>0</v>
      </c>
      <c r="R184" s="128">
        <f ca="1">OFFSET('IWP01'!UnitsOfServicePeriod2, 2, 14, 1, 1)</f>
        <v>0</v>
      </c>
      <c r="S184" s="128">
        <f ca="1">IF(OFFSET('IWP01'!UnitsOfServicePeriod2, 2, 15, 1, 1) = "", 0, OFFSET('IWP01'!UnitsOfServicePeriod2, 2, 15, 1, 1))</f>
        <v>0</v>
      </c>
      <c r="T184" s="128">
        <f ca="1">IF(OFFSET('IWP01'!UnitsOfServicePeriod2, 2, 16, 1, 1) = "", 0, OFFSET('IWP01'!UnitsOfServicePeriod2, 2, 16, 1, 1))</f>
        <v>0</v>
      </c>
      <c r="U184" s="128">
        <f ca="1">OFFSET('IWP01'!UnitsOfServicePeriod2, 2, 17, 1, 1)</f>
        <v>0</v>
      </c>
      <c r="V184" s="128">
        <f ca="1">IF(OFFSET('IWP01'!UnitsOfServicePeriod2, 2, 19, 1, 1) = "", 0, OFFSET('IWP01'!UnitsOfServicePeriod2, 2, 19, 1, 1))</f>
        <v>0</v>
      </c>
      <c r="W184" s="128">
        <f ca="1">OFFSET('IWP01'!UnitsOfServicePeriod2, 2, 20, 1, 1)</f>
        <v>0</v>
      </c>
      <c r="X184" s="128">
        <f ca="1">IF(OFFSET('IWP01'!UnitsOfServicePeriod2, 2, 21, 1, 1) = "", 0, OFFSET('IWP01'!UnitsOfServicePeriod2, 2, 21, 1, 1))</f>
        <v>0</v>
      </c>
      <c r="Y184" s="137">
        <f ca="1">OFFSET('IWP01'!UnitsOfServicePeriod2, 2, 22, 1, 1)</f>
        <v>0</v>
      </c>
    </row>
    <row r="185" spans="1:25">
      <c r="A185" s="125" t="s">
        <v>429</v>
      </c>
      <c r="B185" s="128">
        <v>2</v>
      </c>
      <c r="C185" s="128">
        <v>4</v>
      </c>
      <c r="D185" s="107">
        <f ca="1">IF(OFFSET('IWP01'!UnitsOfServicePeriod2, 3, 0, 1, 1)=DATE(1900,1,0), DATE(1900,1,1),OFFSET('IWP01'!UnitsOfServicePeriod2, 3, 0, 1, 1))</f>
        <v>1</v>
      </c>
      <c r="E185" s="107">
        <f ca="1">IF(OFFSET('IWP01'!UnitsOfServicePeriod2, 3, 1, 1, 1)=DATE(1900,1,0), DATE(1900,1,1),OFFSET('IWP01'!UnitsOfServicePeriod2, 3, 1, 1, 1))</f>
        <v>1</v>
      </c>
      <c r="F185" s="128">
        <f ca="1">OFFSET('IWP01'!UnitsOfServicePeriod2, 3, 2, 1, 1)</f>
        <v>0</v>
      </c>
      <c r="G185" s="128">
        <f ca="1">IF(OFFSET('IWP01'!UnitsOfServicePeriod2, 3, 3, 1, 1) = "", 0, OFFSET('IWP01'!UnitsOfServicePeriod2, 3, 3, 1, 1))</f>
        <v>0</v>
      </c>
      <c r="H185" s="128">
        <f ca="1">OFFSET('IWP01'!UnitsOfServicePeriod2, 3, 4, 1, 1)</f>
        <v>0</v>
      </c>
      <c r="I185" s="128">
        <f ca="1">IF(OFFSET('IWP01'!UnitsOfServicePeriod2, 3, 5, 1, 1) = "", 0, OFFSET('IWP01'!UnitsOfServicePeriod2, 3, 5, 1, 1))</f>
        <v>0</v>
      </c>
      <c r="J185" s="128">
        <f ca="1">OFFSET('IWP01'!UnitsOfServicePeriod2, 3, 6, 1, 1)</f>
        <v>0</v>
      </c>
      <c r="K185" s="128">
        <f ca="1">IF(OFFSET('IWP01'!UnitsOfServicePeriod2, 3, 7, 1, 1) = "", 0, OFFSET('IWP01'!UnitsOfServicePeriod2, 3, 7, 1, 1))</f>
        <v>0</v>
      </c>
      <c r="L185" s="128">
        <f ca="1">OFFSET('IWP01'!UnitsOfServicePeriod2, 3, 8, 1, 1)</f>
        <v>0</v>
      </c>
      <c r="M185" s="128">
        <f ca="1">IF(OFFSET('IWP01'!UnitsOfServicePeriod2, 3, 9, 1, 1) = "", 0, OFFSET('IWP01'!UnitsOfServicePeriod2, 3, 9, 1, 1))</f>
        <v>0</v>
      </c>
      <c r="N185" s="128">
        <f ca="1">OFFSET('IWP01'!UnitsOfServicePeriod2, 3, 10, 1, 1)</f>
        <v>0</v>
      </c>
      <c r="O185" s="128">
        <f ca="1">IF(OFFSET('IWP01'!UnitsOfServicePeriod2, 3, 11, 1, 1) = "", 0, OFFSET('IWP01'!UnitsOfServicePeriod2, 3, 11, 1, 1))</f>
        <v>0</v>
      </c>
      <c r="P185" s="128">
        <f ca="1">OFFSET('IWP01'!UnitsOfServicePeriod2, 3, 12, 1, 1)</f>
        <v>0</v>
      </c>
      <c r="Q185" s="128">
        <f ca="1">IF(OFFSET('IWP01'!UnitsOfServicePeriod2, 3, 13, 1, 1) = "", 0, OFFSET('IWP01'!UnitsOfServicePeriod2, 3, 13, 1, 1))</f>
        <v>0</v>
      </c>
      <c r="R185" s="128">
        <f ca="1">OFFSET('IWP01'!UnitsOfServicePeriod2, 3, 14, 1, 1)</f>
        <v>0</v>
      </c>
      <c r="S185" s="128">
        <f ca="1">IF(OFFSET('IWP01'!UnitsOfServicePeriod2, 3, 15, 1, 1) = "", 0, OFFSET('IWP01'!UnitsOfServicePeriod2, 3, 15, 1, 1))</f>
        <v>0</v>
      </c>
      <c r="T185" s="128">
        <f ca="1">IF(OFFSET('IWP01'!UnitsOfServicePeriod2, 3, 16, 1, 1) = "", 0, OFFSET('IWP01'!UnitsOfServicePeriod2, 3, 16, 1, 1))</f>
        <v>0</v>
      </c>
      <c r="U185" s="128">
        <f ca="1">OFFSET('IWP01'!UnitsOfServicePeriod2, 3, 17, 1, 1)</f>
        <v>0</v>
      </c>
      <c r="V185" s="128">
        <f ca="1">IF(OFFSET('IWP01'!UnitsOfServicePeriod2, 3, 19, 1, 1) = "", 0, OFFSET('IWP01'!UnitsOfServicePeriod2, 3, 19, 1, 1))</f>
        <v>0</v>
      </c>
      <c r="W185" s="128">
        <f ca="1">OFFSET('IWP01'!UnitsOfServicePeriod2, 3, 20, 1, 1)</f>
        <v>0</v>
      </c>
      <c r="X185" s="128">
        <f ca="1">IF(OFFSET('IWP01'!UnitsOfServicePeriod2, 3, 21, 1, 1) = "", 0, OFFSET('IWP01'!UnitsOfServicePeriod2, 3, 21, 1, 1))</f>
        <v>0</v>
      </c>
      <c r="Y185" s="137">
        <f ca="1">OFFSET('IWP01'!UnitsOfServicePeriod2, 3, 22, 1, 1)</f>
        <v>0</v>
      </c>
    </row>
    <row r="186" spans="1:25">
      <c r="A186" s="125" t="s">
        <v>429</v>
      </c>
      <c r="B186" s="128">
        <v>2</v>
      </c>
      <c r="C186" s="128">
        <v>5</v>
      </c>
      <c r="D186" s="107">
        <f ca="1">IF(OFFSET('IWP01'!UnitsOfServicePeriod2, 4, 0, 1, 1)=DATE(1900,1,0), DATE(1900,1,1),OFFSET('IWP01'!UnitsOfServicePeriod2, 4, 0, 1, 1))</f>
        <v>1</v>
      </c>
      <c r="E186" s="107">
        <f ca="1">IF(OFFSET('IWP01'!UnitsOfServicePeriod2, 4, 1, 1, 1)=DATE(1900,1,0), DATE(1900,1,1),OFFSET('IWP01'!UnitsOfServicePeriod2, 4, 1, 1, 1))</f>
        <v>1</v>
      </c>
      <c r="F186" s="128">
        <f ca="1">OFFSET('IWP01'!UnitsOfServicePeriod2, 4, 2, 1, 1)</f>
        <v>0</v>
      </c>
      <c r="G186" s="128">
        <f ca="1">IF(OFFSET('IWP01'!UnitsOfServicePeriod2, 4, 3, 1, 1) = "", 0, OFFSET('IWP01'!UnitsOfServicePeriod2, 4, 3, 1, 1))</f>
        <v>0</v>
      </c>
      <c r="H186" s="128">
        <f ca="1">OFFSET('IWP01'!UnitsOfServicePeriod2, 4, 4, 1, 1)</f>
        <v>0</v>
      </c>
      <c r="I186" s="128">
        <f ca="1">IF(OFFSET('IWP01'!UnitsOfServicePeriod2, 4, 5, 1, 1) = "", 0, OFFSET('IWP01'!UnitsOfServicePeriod2, 4, 5, 1, 1))</f>
        <v>0</v>
      </c>
      <c r="J186" s="128">
        <f ca="1">OFFSET('IWP01'!UnitsOfServicePeriod2, 4, 6, 1, 1)</f>
        <v>0</v>
      </c>
      <c r="K186" s="128">
        <f ca="1">IF(OFFSET('IWP01'!UnitsOfServicePeriod2, 4, 7, 1, 1) = "", 0, OFFSET('IWP01'!UnitsOfServicePeriod2, 4, 7, 1, 1))</f>
        <v>0</v>
      </c>
      <c r="L186" s="128">
        <f ca="1">OFFSET('IWP01'!UnitsOfServicePeriod2, 4, 8, 1, 1)</f>
        <v>0</v>
      </c>
      <c r="M186" s="128">
        <f ca="1">IF(OFFSET('IWP01'!UnitsOfServicePeriod2, 4, 9, 1, 1) = "", 0, OFFSET('IWP01'!UnitsOfServicePeriod2, 4, 9, 1, 1))</f>
        <v>0</v>
      </c>
      <c r="N186" s="128">
        <f ca="1">OFFSET('IWP01'!UnitsOfServicePeriod2, 4, 10, 1, 1)</f>
        <v>0</v>
      </c>
      <c r="O186" s="128">
        <f ca="1">IF(OFFSET('IWP01'!UnitsOfServicePeriod2, 4, 11, 1, 1) = "", 0, OFFSET('IWP01'!UnitsOfServicePeriod2, 4, 11, 1, 1))</f>
        <v>0</v>
      </c>
      <c r="P186" s="128">
        <f ca="1">OFFSET('IWP01'!UnitsOfServicePeriod2, 4, 12, 1, 1)</f>
        <v>0</v>
      </c>
      <c r="Q186" s="128">
        <f ca="1">IF(OFFSET('IWP01'!UnitsOfServicePeriod2, 4, 13, 1, 1) = "", 0, OFFSET('IWP01'!UnitsOfServicePeriod2, 4, 13, 1, 1))</f>
        <v>0</v>
      </c>
      <c r="R186" s="128">
        <f ca="1">OFFSET('IWP01'!UnitsOfServicePeriod2, 4, 14, 1, 1)</f>
        <v>0</v>
      </c>
      <c r="S186" s="128">
        <f ca="1">IF(OFFSET('IWP01'!UnitsOfServicePeriod2, 4, 15, 1, 1) = "", 0, OFFSET('IWP01'!UnitsOfServicePeriod2, 4, 15, 1, 1))</f>
        <v>0</v>
      </c>
      <c r="T186" s="128">
        <f ca="1">IF(OFFSET('IWP01'!UnitsOfServicePeriod2, 4, 16, 1, 1) = "", 0, OFFSET('IWP01'!UnitsOfServicePeriod2, 4, 16, 1, 1))</f>
        <v>0</v>
      </c>
      <c r="U186" s="128">
        <f ca="1">OFFSET('IWP01'!UnitsOfServicePeriod2, 4, 17, 1, 1)</f>
        <v>0</v>
      </c>
      <c r="V186" s="128">
        <f ca="1">IF(OFFSET('IWP01'!UnitsOfServicePeriod2, 4, 19, 1, 1) = "", 0, OFFSET('IWP01'!UnitsOfServicePeriod2, 4, 19, 1, 1))</f>
        <v>0</v>
      </c>
      <c r="W186" s="128">
        <f ca="1">OFFSET('IWP01'!UnitsOfServicePeriod2, 4, 20, 1, 1)</f>
        <v>0</v>
      </c>
      <c r="X186" s="128">
        <f ca="1">IF(OFFSET('IWP01'!UnitsOfServicePeriod2, 4, 21, 1, 1) = "", 0, OFFSET('IWP01'!UnitsOfServicePeriod2, 4, 21, 1, 1))</f>
        <v>0</v>
      </c>
      <c r="Y186" s="137">
        <f ca="1">OFFSET('IWP01'!UnitsOfServicePeriod2, 4, 22, 1, 1)</f>
        <v>0</v>
      </c>
    </row>
    <row r="187" spans="1:25">
      <c r="A187" s="125" t="s">
        <v>429</v>
      </c>
      <c r="B187" s="128">
        <v>2</v>
      </c>
      <c r="C187" s="128">
        <v>6</v>
      </c>
      <c r="D187" s="107">
        <f ca="1">IF(OFFSET('IWP01'!UnitsOfServicePeriod2, 5, 0, 1, 1)=DATE(1900,1,0), DATE(1900,1,1),OFFSET('IWP01'!UnitsOfServicePeriod2, 5, 0, 1, 1))</f>
        <v>1</v>
      </c>
      <c r="E187" s="107">
        <f ca="1">IF(OFFSET('IWP01'!UnitsOfServicePeriod2, 5, 1, 1, 1)=DATE(1900,1,0), DATE(1900,1,1),OFFSET('IWP01'!UnitsOfServicePeriod2, 5, 1, 1, 1))</f>
        <v>1</v>
      </c>
      <c r="F187" s="128">
        <f ca="1">OFFSET('IWP01'!UnitsOfServicePeriod2, 5, 2, 1, 1)</f>
        <v>0</v>
      </c>
      <c r="G187" s="128">
        <f ca="1">IF(OFFSET('IWP01'!UnitsOfServicePeriod2, 5, 3, 1, 1) = "", 0, OFFSET('IWP01'!UnitsOfServicePeriod2, 5, 3, 1, 1))</f>
        <v>0</v>
      </c>
      <c r="H187" s="128">
        <f ca="1">OFFSET('IWP01'!UnitsOfServicePeriod2, 5, 4, 1, 1)</f>
        <v>0</v>
      </c>
      <c r="I187" s="128">
        <f ca="1">IF(OFFSET('IWP01'!UnitsOfServicePeriod2, 5, 5, 1, 1) = "", 0, OFFSET('IWP01'!UnitsOfServicePeriod2, 5, 5, 1, 1))</f>
        <v>0</v>
      </c>
      <c r="J187" s="128">
        <f ca="1">OFFSET('IWP01'!UnitsOfServicePeriod2, 5, 6, 1, 1)</f>
        <v>0</v>
      </c>
      <c r="K187" s="128">
        <f ca="1">IF(OFFSET('IWP01'!UnitsOfServicePeriod2, 5, 7, 1, 1) = "", 0, OFFSET('IWP01'!UnitsOfServicePeriod2, 5, 7, 1, 1))</f>
        <v>0</v>
      </c>
      <c r="L187" s="128">
        <f ca="1">OFFSET('IWP01'!UnitsOfServicePeriod2, 5, 8, 1, 1)</f>
        <v>0</v>
      </c>
      <c r="M187" s="128">
        <f ca="1">IF(OFFSET('IWP01'!UnitsOfServicePeriod2, 5, 9, 1, 1) = "", 0, OFFSET('IWP01'!UnitsOfServicePeriod2, 5, 9, 1, 1))</f>
        <v>0</v>
      </c>
      <c r="N187" s="128">
        <f ca="1">OFFSET('IWP01'!UnitsOfServicePeriod2, 5, 10, 1, 1)</f>
        <v>0</v>
      </c>
      <c r="O187" s="128">
        <f ca="1">IF(OFFSET('IWP01'!UnitsOfServicePeriod2, 5, 11, 1, 1) = "", 0, OFFSET('IWP01'!UnitsOfServicePeriod2, 5, 11, 1, 1))</f>
        <v>0</v>
      </c>
      <c r="P187" s="128">
        <f ca="1">OFFSET('IWP01'!UnitsOfServicePeriod2, 5, 12, 1, 1)</f>
        <v>0</v>
      </c>
      <c r="Q187" s="128">
        <f ca="1">IF(OFFSET('IWP01'!UnitsOfServicePeriod2, 5, 13, 1, 1) = "", 0, OFFSET('IWP01'!UnitsOfServicePeriod2, 5, 13, 1, 1))</f>
        <v>0</v>
      </c>
      <c r="R187" s="128">
        <f ca="1">OFFSET('IWP01'!UnitsOfServicePeriod2, 5, 14, 1, 1)</f>
        <v>0</v>
      </c>
      <c r="S187" s="128">
        <f ca="1">IF(OFFSET('IWP01'!UnitsOfServicePeriod2, 5, 15, 1, 1) = "", 0, OFFSET('IWP01'!UnitsOfServicePeriod2, 5, 15, 1, 1))</f>
        <v>0</v>
      </c>
      <c r="T187" s="128">
        <f ca="1">IF(OFFSET('IWP01'!UnitsOfServicePeriod2, 5, 16, 1, 1) = "", 0, OFFSET('IWP01'!UnitsOfServicePeriod2, 5, 16, 1, 1))</f>
        <v>0</v>
      </c>
      <c r="U187" s="128">
        <f ca="1">OFFSET('IWP01'!UnitsOfServicePeriod2, 5, 17, 1, 1)</f>
        <v>0</v>
      </c>
      <c r="V187" s="128">
        <f ca="1">IF(OFFSET('IWP01'!UnitsOfServicePeriod2, 5, 19, 1, 1) = "", 0, OFFSET('IWP01'!UnitsOfServicePeriod2, 5, 19, 1, 1))</f>
        <v>0</v>
      </c>
      <c r="W187" s="128">
        <f ca="1">OFFSET('IWP01'!UnitsOfServicePeriod2, 5, 20, 1, 1)</f>
        <v>0</v>
      </c>
      <c r="X187" s="128">
        <f ca="1">IF(OFFSET('IWP01'!UnitsOfServicePeriod2, 5, 21, 1, 1) = "", 0, OFFSET('IWP01'!UnitsOfServicePeriod2, 5, 21, 1, 1))</f>
        <v>0</v>
      </c>
      <c r="Y187" s="137">
        <f ca="1">OFFSET('IWP01'!UnitsOfServicePeriod2, 5, 22, 1, 1)</f>
        <v>0</v>
      </c>
    </row>
    <row r="188" spans="1:25">
      <c r="A188" s="125" t="s">
        <v>430</v>
      </c>
      <c r="B188" s="128">
        <v>1</v>
      </c>
      <c r="C188" s="128">
        <v>1</v>
      </c>
      <c r="D188" s="107">
        <f ca="1">IF(OFFSET('IWP02'!UnitsOfServicePeriod1, 0, 0, 1, 1)=DATE(1900,1,0), DATE(1900,1,1),OFFSET('IWP02'!UnitsOfServicePeriod1, 0, 0, 1, 1))</f>
        <v>1</v>
      </c>
      <c r="E188" s="107">
        <f ca="1">IF(OFFSET('IWP02'!UnitsOfServicePeriod1, 0, 1, 1, 1)=DATE(1900,1,0), DATE(1900,1,1),OFFSET('IWP02'!UnitsOfServicePeriod1, 0, 1, 1, 1))</f>
        <v>1</v>
      </c>
      <c r="F188" s="128">
        <f ca="1">OFFSET('IWP02'!UnitsOfServicePeriod1, 0, 2, 1, 1)</f>
        <v>0</v>
      </c>
      <c r="G188" s="128">
        <f ca="1">IF(OFFSET('IWP02'!UnitsOfServicePeriod1, 0, 3, 1, 1) = "", 0, OFFSET('IWP02'!UnitsOfServicePeriod1, 0, 3, 1, 1))</f>
        <v>0</v>
      </c>
      <c r="H188" s="128">
        <f ca="1">OFFSET('IWP02'!UnitsOfServicePeriod1, 0, 4, 1, 1)</f>
        <v>0</v>
      </c>
      <c r="I188" s="128">
        <f ca="1">IF(OFFSET('IWP02'!UnitsOfServicePeriod1, 0, 5, 1, 1) = "", 0, OFFSET('IWP02'!UnitsOfServicePeriod1, 0, 5, 1, 1))</f>
        <v>0</v>
      </c>
      <c r="J188" s="128">
        <f ca="1">OFFSET('IWP02'!UnitsOfServicePeriod1, 0, 6, 1, 1)</f>
        <v>0</v>
      </c>
      <c r="K188" s="128">
        <f ca="1">IF(OFFSET('IWP02'!UnitsOfServicePeriod1, 0, 7, 1, 1) = "", 0, OFFSET('IWP02'!UnitsOfServicePeriod1, 0, 7, 1, 1))</f>
        <v>0</v>
      </c>
      <c r="L188" s="128">
        <f ca="1">OFFSET('IWP02'!UnitsOfServicePeriod1, 0, 8, 1, 1)</f>
        <v>0</v>
      </c>
      <c r="M188" s="128">
        <f ca="1">IF(OFFSET('IWP02'!UnitsOfServicePeriod1, 0, 9, 1, 1) = "", 0, OFFSET('IWP02'!UnitsOfServicePeriod1, 0, 9, 1, 1))</f>
        <v>0</v>
      </c>
      <c r="N188" s="128">
        <f ca="1">OFFSET('IWP02'!UnitsOfServicePeriod1, 0, 10, 1, 1)</f>
        <v>0</v>
      </c>
      <c r="O188" s="128">
        <f ca="1">IF(OFFSET('IWP02'!UnitsOfServicePeriod1, 0, 11, 1, 1) = "", 0, OFFSET('IWP02'!UnitsOfServicePeriod1, 0, 11, 1, 1))</f>
        <v>0</v>
      </c>
      <c r="P188" s="128">
        <f ca="1">OFFSET('IWP02'!UnitsOfServicePeriod1, 0, 12, 1, 1)</f>
        <v>0</v>
      </c>
      <c r="Q188" s="128">
        <f ca="1">IF(OFFSET('IWP02'!UnitsOfServicePeriod1, 0, 13, 1, 1) = "", 0, OFFSET('IWP02'!UnitsOfServicePeriod1, 0, 13, 1, 1))</f>
        <v>0</v>
      </c>
      <c r="R188" s="128">
        <f ca="1">OFFSET('IWP02'!UnitsOfServicePeriod1, 0, 14, 1, 1)</f>
        <v>0</v>
      </c>
      <c r="S188" s="128">
        <f ca="1">IF(OFFSET('IWP02'!UnitsOfServicePeriod1, 0, 15, 1, 1) = "", 0, OFFSET('IWP02'!UnitsOfServicePeriod1, 0, 15, 1, 1))</f>
        <v>0</v>
      </c>
      <c r="T188" s="128">
        <f ca="1">IF(OFFSET('IWP02'!UnitsOfServicePeriod1, 0, 16, 1, 1) = "", 0, OFFSET('IWP02'!UnitsOfServicePeriod1, 0, 16, 1, 1))</f>
        <v>0</v>
      </c>
      <c r="U188" s="128">
        <f ca="1">OFFSET('IWP02'!UnitsOfServicePeriod1, 0, 17, 1, 1)</f>
        <v>0</v>
      </c>
      <c r="V188" s="128">
        <f ca="1">IF(OFFSET('IWP02'!UnitsOfServicePeriod1, 0, 19, 1, 1) = "", 0, OFFSET('IWP02'!UnitsOfServicePeriod1, 0, 19, 1, 1))</f>
        <v>0</v>
      </c>
      <c r="W188" s="128">
        <f ca="1">OFFSET('IWP02'!UnitsOfServicePeriod1, 0, 20, 1, 1)</f>
        <v>0</v>
      </c>
      <c r="X188" s="128">
        <f ca="1">IF(OFFSET('IWP02'!UnitsOfServicePeriod1, 0, 21, 1, 1) = "", 0, OFFSET('IWP02'!UnitsOfServicePeriod1, 0, 21, 1, 1))</f>
        <v>0</v>
      </c>
      <c r="Y188" s="137">
        <f ca="1">OFFSET('IWP02'!UnitsOfServicePeriod1, 0, 22, 1, 1)</f>
        <v>0</v>
      </c>
    </row>
    <row r="189" spans="1:25">
      <c r="A189" s="125" t="s">
        <v>430</v>
      </c>
      <c r="B189" s="128">
        <v>1</v>
      </c>
      <c r="C189" s="128">
        <v>2</v>
      </c>
      <c r="D189" s="107">
        <f ca="1">IF(OFFSET('IWP02'!UnitsOfServicePeriod1, 1, 0, 1, 1)=DATE(1900,1,0), DATE(1900,1,1),OFFSET('IWP02'!UnitsOfServicePeriod1, 1, 0, 1, 1))</f>
        <v>1</v>
      </c>
      <c r="E189" s="107">
        <f ca="1">IF(OFFSET('IWP02'!UnitsOfServicePeriod1, 1, 1, 1, 1)=DATE(1900,1,0), DATE(1900,1,1),OFFSET('IWP02'!UnitsOfServicePeriod1, 1, 1, 1, 1))</f>
        <v>1</v>
      </c>
      <c r="F189" s="128">
        <f ca="1">OFFSET('IWP02'!UnitsOfServicePeriod1, 1, 2, 1, 1)</f>
        <v>0</v>
      </c>
      <c r="G189" s="128">
        <f ca="1">IF(OFFSET('IWP02'!UnitsOfServicePeriod1, 1, 3, 1, 1) = "", 0, OFFSET('IWP02'!UnitsOfServicePeriod1, 1, 3, 1, 1))</f>
        <v>0</v>
      </c>
      <c r="H189" s="128">
        <f ca="1">OFFSET('IWP02'!UnitsOfServicePeriod1, 1, 4, 1, 1)</f>
        <v>0</v>
      </c>
      <c r="I189" s="128">
        <f ca="1">IF(OFFSET('IWP02'!UnitsOfServicePeriod1, 1, 5, 1, 1) = "", 0, OFFSET('IWP02'!UnitsOfServicePeriod1, 1, 5, 1, 1))</f>
        <v>0</v>
      </c>
      <c r="J189" s="128">
        <f ca="1">OFFSET('IWP02'!UnitsOfServicePeriod1, 1, 6, 1, 1)</f>
        <v>0</v>
      </c>
      <c r="K189" s="128">
        <f ca="1">IF(OFFSET('IWP02'!UnitsOfServicePeriod1, 1, 7, 1, 1) = "", 0, OFFSET('IWP02'!UnitsOfServicePeriod1, 1, 7, 1, 1))</f>
        <v>0</v>
      </c>
      <c r="L189" s="128">
        <f ca="1">OFFSET('IWP02'!UnitsOfServicePeriod1, 1, 8, 1, 1)</f>
        <v>0</v>
      </c>
      <c r="M189" s="128">
        <f ca="1">IF(OFFSET('IWP02'!UnitsOfServicePeriod1, 1, 9, 1, 1) = "", 0, OFFSET('IWP02'!UnitsOfServicePeriod1, 1, 9, 1, 1))</f>
        <v>0</v>
      </c>
      <c r="N189" s="128">
        <f ca="1">OFFSET('IWP02'!UnitsOfServicePeriod1, 1, 10, 1, 1)</f>
        <v>0</v>
      </c>
      <c r="O189" s="128">
        <f ca="1">IF(OFFSET('IWP02'!UnitsOfServicePeriod1, 1, 11, 1, 1) = "", 0, OFFSET('IWP02'!UnitsOfServicePeriod1, 1, 11, 1, 1))</f>
        <v>0</v>
      </c>
      <c r="P189" s="128">
        <f ca="1">OFFSET('IWP02'!UnitsOfServicePeriod1, 1, 12, 1, 1)</f>
        <v>0</v>
      </c>
      <c r="Q189" s="128">
        <f ca="1">IF(OFFSET('IWP02'!UnitsOfServicePeriod1, 1, 13, 1, 1) = "", 0, OFFSET('IWP02'!UnitsOfServicePeriod1, 1, 13, 1, 1))</f>
        <v>0</v>
      </c>
      <c r="R189" s="128">
        <f ca="1">OFFSET('IWP02'!UnitsOfServicePeriod1, 1, 14, 1, 1)</f>
        <v>0</v>
      </c>
      <c r="S189" s="128">
        <f ca="1">IF(OFFSET('IWP02'!UnitsOfServicePeriod1, 1, 15, 1, 1) = "", 0, OFFSET('IWP02'!UnitsOfServicePeriod1, 1, 15, 1, 1))</f>
        <v>0</v>
      </c>
      <c r="T189" s="128">
        <f ca="1">IF(OFFSET('IWP02'!UnitsOfServicePeriod1, 1, 16, 1, 1) = "", 0, OFFSET('IWP02'!UnitsOfServicePeriod1, 1, 16, 1, 1))</f>
        <v>0</v>
      </c>
      <c r="U189" s="128">
        <f ca="1">OFFSET('IWP02'!UnitsOfServicePeriod1, 1, 17, 1, 1)</f>
        <v>0</v>
      </c>
      <c r="V189" s="128">
        <f ca="1">IF(OFFSET('IWP02'!UnitsOfServicePeriod1, 1, 19, 1, 1) = "", 0, OFFSET('IWP02'!UnitsOfServicePeriod1, 1, 19, 1, 1))</f>
        <v>0</v>
      </c>
      <c r="W189" s="128">
        <f ca="1">OFFSET('IWP02'!UnitsOfServicePeriod1, 1, 20, 1, 1)</f>
        <v>0</v>
      </c>
      <c r="X189" s="128">
        <f ca="1">IF(OFFSET('IWP02'!UnitsOfServicePeriod1, 1, 21, 1, 1) = "", 0, OFFSET('IWP02'!UnitsOfServicePeriod1, 1, 21, 1, 1))</f>
        <v>0</v>
      </c>
      <c r="Y189" s="137">
        <f ca="1">OFFSET('IWP02'!UnitsOfServicePeriod1, 1, 22, 1, 1)</f>
        <v>0</v>
      </c>
    </row>
    <row r="190" spans="1:25">
      <c r="A190" s="125" t="s">
        <v>430</v>
      </c>
      <c r="B190" s="128">
        <v>1</v>
      </c>
      <c r="C190" s="128">
        <v>3</v>
      </c>
      <c r="D190" s="107">
        <f ca="1">IF(OFFSET('IWP02'!UnitsOfServicePeriod1, 2, 0, 1, 1)=DATE(1900,1,0), DATE(1900,1,1),OFFSET('IWP02'!UnitsOfServicePeriod1, 2, 0, 1, 1))</f>
        <v>1</v>
      </c>
      <c r="E190" s="107">
        <f ca="1">IF(OFFSET('IWP02'!UnitsOfServicePeriod1, 2, 1, 1, 1)=DATE(1900,1,0), DATE(1900,1,1),OFFSET('IWP02'!UnitsOfServicePeriod1, 2, 1, 1, 1))</f>
        <v>1</v>
      </c>
      <c r="F190" s="128">
        <f ca="1">OFFSET('IWP02'!UnitsOfServicePeriod1, 2, 2, 1, 1)</f>
        <v>0</v>
      </c>
      <c r="G190" s="128">
        <f ca="1">IF(OFFSET('IWP02'!UnitsOfServicePeriod1, 2, 3, 1, 1) = "", 0, OFFSET('IWP02'!UnitsOfServicePeriod1, 2, 3, 1, 1))</f>
        <v>0</v>
      </c>
      <c r="H190" s="128">
        <f ca="1">OFFSET('IWP02'!UnitsOfServicePeriod1, 2, 4, 1, 1)</f>
        <v>0</v>
      </c>
      <c r="I190" s="128">
        <f ca="1">IF(OFFSET('IWP02'!UnitsOfServicePeriod1, 2, 5, 1, 1) = "", 0, OFFSET('IWP02'!UnitsOfServicePeriod1, 2, 5, 1, 1))</f>
        <v>0</v>
      </c>
      <c r="J190" s="128">
        <f ca="1">OFFSET('IWP02'!UnitsOfServicePeriod1, 2, 6, 1, 1)</f>
        <v>0</v>
      </c>
      <c r="K190" s="128">
        <f ca="1">IF(OFFSET('IWP02'!UnitsOfServicePeriod1, 2, 7, 1, 1) = "", 0, OFFSET('IWP02'!UnitsOfServicePeriod1, 2, 7, 1, 1))</f>
        <v>0</v>
      </c>
      <c r="L190" s="128">
        <f ca="1">OFFSET('IWP02'!UnitsOfServicePeriod1, 2, 8, 1, 1)</f>
        <v>0</v>
      </c>
      <c r="M190" s="128">
        <f ca="1">IF(OFFSET('IWP02'!UnitsOfServicePeriod1, 2, 9, 1, 1) = "", 0, OFFSET('IWP02'!UnitsOfServicePeriod1, 2, 9, 1, 1))</f>
        <v>0</v>
      </c>
      <c r="N190" s="128">
        <f ca="1">OFFSET('IWP02'!UnitsOfServicePeriod1, 2, 10, 1, 1)</f>
        <v>0</v>
      </c>
      <c r="O190" s="128">
        <f ca="1">IF(OFFSET('IWP02'!UnitsOfServicePeriod1, 2, 11, 1, 1) = "", 0, OFFSET('IWP02'!UnitsOfServicePeriod1, 2, 11, 1, 1))</f>
        <v>0</v>
      </c>
      <c r="P190" s="128">
        <f ca="1">OFFSET('IWP02'!UnitsOfServicePeriod1, 2, 12, 1, 1)</f>
        <v>0</v>
      </c>
      <c r="Q190" s="128">
        <f ca="1">IF(OFFSET('IWP02'!UnitsOfServicePeriod1, 2, 13, 1, 1) = "", 0, OFFSET('IWP02'!UnitsOfServicePeriod1, 2, 13, 1, 1))</f>
        <v>0</v>
      </c>
      <c r="R190" s="128">
        <f ca="1">OFFSET('IWP02'!UnitsOfServicePeriod1, 2, 14, 1, 1)</f>
        <v>0</v>
      </c>
      <c r="S190" s="128">
        <f ca="1">IF(OFFSET('IWP02'!UnitsOfServicePeriod1, 2, 15, 1, 1) = "", 0, OFFSET('IWP02'!UnitsOfServicePeriod1, 2, 15, 1, 1))</f>
        <v>0</v>
      </c>
      <c r="T190" s="128">
        <f ca="1">IF(OFFSET('IWP02'!UnitsOfServicePeriod1, 2, 16, 1, 1) = "", 0, OFFSET('IWP02'!UnitsOfServicePeriod1, 2, 16, 1, 1))</f>
        <v>0</v>
      </c>
      <c r="U190" s="128">
        <f ca="1">OFFSET('IWP02'!UnitsOfServicePeriod1, 2, 17, 1, 1)</f>
        <v>0</v>
      </c>
      <c r="V190" s="128">
        <f ca="1">IF(OFFSET('IWP02'!UnitsOfServicePeriod1, 2, 19, 1, 1) = "", 0, OFFSET('IWP02'!UnitsOfServicePeriod1, 2, 19, 1, 1))</f>
        <v>0</v>
      </c>
      <c r="W190" s="128">
        <f ca="1">OFFSET('IWP02'!UnitsOfServicePeriod1, 2, 20, 1, 1)</f>
        <v>0</v>
      </c>
      <c r="X190" s="128">
        <f ca="1">IF(OFFSET('IWP02'!UnitsOfServicePeriod1, 2, 21, 1, 1) = "", 0, OFFSET('IWP02'!UnitsOfServicePeriod1, 2, 21, 1, 1))</f>
        <v>0</v>
      </c>
      <c r="Y190" s="137">
        <f ca="1">OFFSET('IWP02'!UnitsOfServicePeriod1, 2, 22, 1, 1)</f>
        <v>0</v>
      </c>
    </row>
    <row r="191" spans="1:25">
      <c r="A191" s="125" t="s">
        <v>430</v>
      </c>
      <c r="B191" s="128">
        <v>1</v>
      </c>
      <c r="C191" s="128">
        <v>4</v>
      </c>
      <c r="D191" s="107">
        <f ca="1">IF(OFFSET('IWP02'!UnitsOfServicePeriod1, 3, 0, 1, 1)=DATE(1900,1,0), DATE(1900,1,1),OFFSET('IWP02'!UnitsOfServicePeriod1, 3, 0, 1, 1))</f>
        <v>1</v>
      </c>
      <c r="E191" s="107">
        <f ca="1">IF(OFFSET('IWP02'!UnitsOfServicePeriod1, 3, 1, 1, 1)=DATE(1900,1,0), DATE(1900,1,1),OFFSET('IWP02'!UnitsOfServicePeriod1, 3, 1, 1, 1))</f>
        <v>1</v>
      </c>
      <c r="F191" s="128">
        <f ca="1">OFFSET('IWP02'!UnitsOfServicePeriod1, 3, 2, 1, 1)</f>
        <v>0</v>
      </c>
      <c r="G191" s="128">
        <f ca="1">IF(OFFSET('IWP02'!UnitsOfServicePeriod1, 3, 3, 1, 1) = "", 0, OFFSET('IWP02'!UnitsOfServicePeriod1, 3, 3, 1, 1))</f>
        <v>0</v>
      </c>
      <c r="H191" s="128">
        <f ca="1">OFFSET('IWP02'!UnitsOfServicePeriod1, 3, 4, 1, 1)</f>
        <v>0</v>
      </c>
      <c r="I191" s="128">
        <f ca="1">IF(OFFSET('IWP02'!UnitsOfServicePeriod1, 3, 5, 1, 1) = "", 0, OFFSET('IWP02'!UnitsOfServicePeriod1, 3, 5, 1, 1))</f>
        <v>0</v>
      </c>
      <c r="J191" s="128">
        <f ca="1">OFFSET('IWP02'!UnitsOfServicePeriod1, 3, 6, 1, 1)</f>
        <v>0</v>
      </c>
      <c r="K191" s="128">
        <f ca="1">IF(OFFSET('IWP02'!UnitsOfServicePeriod1, 3, 7, 1, 1) = "", 0, OFFSET('IWP02'!UnitsOfServicePeriod1, 3, 7, 1, 1))</f>
        <v>0</v>
      </c>
      <c r="L191" s="128">
        <f ca="1">OFFSET('IWP02'!UnitsOfServicePeriod1, 3, 8, 1, 1)</f>
        <v>0</v>
      </c>
      <c r="M191" s="128">
        <f ca="1">IF(OFFSET('IWP02'!UnitsOfServicePeriod1, 3, 9, 1, 1) = "", 0, OFFSET('IWP02'!UnitsOfServicePeriod1, 3, 9, 1, 1))</f>
        <v>0</v>
      </c>
      <c r="N191" s="128">
        <f ca="1">OFFSET('IWP02'!UnitsOfServicePeriod1, 3, 10, 1, 1)</f>
        <v>0</v>
      </c>
      <c r="O191" s="128">
        <f ca="1">IF(OFFSET('IWP02'!UnitsOfServicePeriod1, 3, 11, 1, 1) = "", 0, OFFSET('IWP02'!UnitsOfServicePeriod1, 3, 11, 1, 1))</f>
        <v>0</v>
      </c>
      <c r="P191" s="128">
        <f ca="1">OFFSET('IWP02'!UnitsOfServicePeriod1, 3, 12, 1, 1)</f>
        <v>0</v>
      </c>
      <c r="Q191" s="128">
        <f ca="1">IF(OFFSET('IWP02'!UnitsOfServicePeriod1, 3, 13, 1, 1) = "", 0, OFFSET('IWP02'!UnitsOfServicePeriod1, 3, 13, 1, 1))</f>
        <v>0</v>
      </c>
      <c r="R191" s="128">
        <f ca="1">OFFSET('IWP02'!UnitsOfServicePeriod1, 3, 14, 1, 1)</f>
        <v>0</v>
      </c>
      <c r="S191" s="128">
        <f ca="1">IF(OFFSET('IWP02'!UnitsOfServicePeriod1, 3, 15, 1, 1) = "", 0, OFFSET('IWP02'!UnitsOfServicePeriod1, 3, 15, 1, 1))</f>
        <v>0</v>
      </c>
      <c r="T191" s="128">
        <f ca="1">IF(OFFSET('IWP02'!UnitsOfServicePeriod1, 3, 16, 1, 1) = "", 0, OFFSET('IWP02'!UnitsOfServicePeriod1, 3, 16, 1, 1))</f>
        <v>0</v>
      </c>
      <c r="U191" s="128">
        <f ca="1">OFFSET('IWP02'!UnitsOfServicePeriod1, 3, 17, 1, 1)</f>
        <v>0</v>
      </c>
      <c r="V191" s="128">
        <f ca="1">IF(OFFSET('IWP02'!UnitsOfServicePeriod1, 3, 19, 1, 1) = "", 0, OFFSET('IWP02'!UnitsOfServicePeriod1, 3, 19, 1, 1))</f>
        <v>0</v>
      </c>
      <c r="W191" s="128">
        <f ca="1">OFFSET('IWP02'!UnitsOfServicePeriod1, 3, 20, 1, 1)</f>
        <v>0</v>
      </c>
      <c r="X191" s="128">
        <f ca="1">IF(OFFSET('IWP02'!UnitsOfServicePeriod1, 3, 21, 1, 1) = "", 0, OFFSET('IWP02'!UnitsOfServicePeriod1, 3, 21, 1, 1))</f>
        <v>0</v>
      </c>
      <c r="Y191" s="137">
        <f ca="1">OFFSET('IWP02'!UnitsOfServicePeriod1, 3, 22, 1, 1)</f>
        <v>0</v>
      </c>
    </row>
    <row r="192" spans="1:25">
      <c r="A192" s="125" t="s">
        <v>430</v>
      </c>
      <c r="B192" s="128">
        <v>1</v>
      </c>
      <c r="C192" s="128">
        <v>5</v>
      </c>
      <c r="D192" s="107">
        <f ca="1">IF(OFFSET('IWP02'!UnitsOfServicePeriod1, 4, 0, 1, 1)=DATE(1900,1,0), DATE(1900,1,1),OFFSET('IWP02'!UnitsOfServicePeriod1, 4, 0, 1, 1))</f>
        <v>1</v>
      </c>
      <c r="E192" s="107">
        <f ca="1">IF(OFFSET('IWP02'!UnitsOfServicePeriod1, 4, 1, 1, 1)=DATE(1900,1,0), DATE(1900,1,1),OFFSET('IWP02'!UnitsOfServicePeriod1, 4, 1, 1, 1))</f>
        <v>1</v>
      </c>
      <c r="F192" s="128">
        <f ca="1">OFFSET('IWP02'!UnitsOfServicePeriod1, 4, 2, 1, 1)</f>
        <v>0</v>
      </c>
      <c r="G192" s="128">
        <f ca="1">IF(OFFSET('IWP02'!UnitsOfServicePeriod1, 4, 3, 1, 1) = "", 0, OFFSET('IWP02'!UnitsOfServicePeriod1, 4, 3, 1, 1))</f>
        <v>0</v>
      </c>
      <c r="H192" s="128">
        <f ca="1">OFFSET('IWP02'!UnitsOfServicePeriod1, 4, 4, 1, 1)</f>
        <v>0</v>
      </c>
      <c r="I192" s="128">
        <f ca="1">IF(OFFSET('IWP02'!UnitsOfServicePeriod1, 4, 5, 1, 1) = "", 0, OFFSET('IWP02'!UnitsOfServicePeriod1, 4, 5, 1, 1))</f>
        <v>0</v>
      </c>
      <c r="J192" s="128">
        <f ca="1">OFFSET('IWP02'!UnitsOfServicePeriod1, 4, 6, 1, 1)</f>
        <v>0</v>
      </c>
      <c r="K192" s="128">
        <f ca="1">IF(OFFSET('IWP02'!UnitsOfServicePeriod1, 4, 7, 1, 1) = "", 0, OFFSET('IWP02'!UnitsOfServicePeriod1, 4, 7, 1, 1))</f>
        <v>0</v>
      </c>
      <c r="L192" s="128">
        <f ca="1">OFFSET('IWP02'!UnitsOfServicePeriod1, 4, 8, 1, 1)</f>
        <v>0</v>
      </c>
      <c r="M192" s="128">
        <f ca="1">IF(OFFSET('IWP02'!UnitsOfServicePeriod1, 4, 9, 1, 1) = "", 0, OFFSET('IWP02'!UnitsOfServicePeriod1, 4, 9, 1, 1))</f>
        <v>0</v>
      </c>
      <c r="N192" s="128">
        <f ca="1">OFFSET('IWP02'!UnitsOfServicePeriod1, 4, 10, 1, 1)</f>
        <v>0</v>
      </c>
      <c r="O192" s="128">
        <f ca="1">IF(OFFSET('IWP02'!UnitsOfServicePeriod1, 4, 11, 1, 1) = "", 0, OFFSET('IWP02'!UnitsOfServicePeriod1, 4, 11, 1, 1))</f>
        <v>0</v>
      </c>
      <c r="P192" s="128">
        <f ca="1">OFFSET('IWP02'!UnitsOfServicePeriod1, 4, 12, 1, 1)</f>
        <v>0</v>
      </c>
      <c r="Q192" s="128">
        <f ca="1">IF(OFFSET('IWP02'!UnitsOfServicePeriod1, 4, 13, 1, 1) = "", 0, OFFSET('IWP02'!UnitsOfServicePeriod1, 4, 13, 1, 1))</f>
        <v>0</v>
      </c>
      <c r="R192" s="128">
        <f ca="1">OFFSET('IWP02'!UnitsOfServicePeriod1, 4, 14, 1, 1)</f>
        <v>0</v>
      </c>
      <c r="S192" s="128">
        <f ca="1">IF(OFFSET('IWP02'!UnitsOfServicePeriod1, 4, 15, 1, 1) = "", 0, OFFSET('IWP02'!UnitsOfServicePeriod1, 4, 15, 1, 1))</f>
        <v>0</v>
      </c>
      <c r="T192" s="128">
        <f ca="1">IF(OFFSET('IWP02'!UnitsOfServicePeriod1, 4, 16, 1, 1) = "", 0, OFFSET('IWP02'!UnitsOfServicePeriod1, 4, 16, 1, 1))</f>
        <v>0</v>
      </c>
      <c r="U192" s="128">
        <f ca="1">OFFSET('IWP02'!UnitsOfServicePeriod1, 4, 17, 1, 1)</f>
        <v>0</v>
      </c>
      <c r="V192" s="128">
        <f ca="1">IF(OFFSET('IWP02'!UnitsOfServicePeriod1, 4, 19, 1, 1) = "", 0, OFFSET('IWP02'!UnitsOfServicePeriod1, 4, 19, 1, 1))</f>
        <v>0</v>
      </c>
      <c r="W192" s="128">
        <f ca="1">OFFSET('IWP02'!UnitsOfServicePeriod1, 4, 20, 1, 1)</f>
        <v>0</v>
      </c>
      <c r="X192" s="128">
        <f ca="1">IF(OFFSET('IWP02'!UnitsOfServicePeriod1, 4, 21, 1, 1) = "", 0, OFFSET('IWP02'!UnitsOfServicePeriod1, 4, 21, 1, 1))</f>
        <v>0</v>
      </c>
      <c r="Y192" s="137">
        <f ca="1">OFFSET('IWP02'!UnitsOfServicePeriod1, 4, 22, 1, 1)</f>
        <v>0</v>
      </c>
    </row>
    <row r="193" spans="1:25">
      <c r="A193" s="125" t="s">
        <v>430</v>
      </c>
      <c r="B193" s="128">
        <v>1</v>
      </c>
      <c r="C193" s="128">
        <v>6</v>
      </c>
      <c r="D193" s="107">
        <f ca="1">IF(OFFSET('IWP02'!UnitsOfServicePeriod1, 5, 0, 1, 1)=DATE(1900,1,0), DATE(1900,1,1),OFFSET('IWP02'!UnitsOfServicePeriod1, 5, 0, 1, 1))</f>
        <v>1</v>
      </c>
      <c r="E193" s="107">
        <f ca="1">IF(OFFSET('IWP02'!UnitsOfServicePeriod1, 5, 1, 1, 1)=DATE(1900,1,0), DATE(1900,1,1),OFFSET('IWP02'!UnitsOfServicePeriod1, 5, 1, 1, 1))</f>
        <v>1</v>
      </c>
      <c r="F193" s="128">
        <f ca="1">OFFSET('IWP02'!UnitsOfServicePeriod1, 5, 2, 1, 1)</f>
        <v>0</v>
      </c>
      <c r="G193" s="128">
        <f ca="1">IF(OFFSET('IWP02'!UnitsOfServicePeriod1, 5, 3, 1, 1) = "", 0, OFFSET('IWP02'!UnitsOfServicePeriod1, 5, 3, 1, 1))</f>
        <v>0</v>
      </c>
      <c r="H193" s="128">
        <f ca="1">OFFSET('IWP02'!UnitsOfServicePeriod1, 5, 4, 1, 1)</f>
        <v>0</v>
      </c>
      <c r="I193" s="128">
        <f ca="1">IF(OFFSET('IWP02'!UnitsOfServicePeriod1, 5, 5, 1, 1) = "", 0, OFFSET('IWP02'!UnitsOfServicePeriod1, 5, 5, 1, 1))</f>
        <v>0</v>
      </c>
      <c r="J193" s="128">
        <f ca="1">OFFSET('IWP02'!UnitsOfServicePeriod1, 5, 6, 1, 1)</f>
        <v>0</v>
      </c>
      <c r="K193" s="128">
        <f ca="1">IF(OFFSET('IWP02'!UnitsOfServicePeriod1, 5, 7, 1, 1) = "", 0, OFFSET('IWP02'!UnitsOfServicePeriod1, 5, 7, 1, 1))</f>
        <v>0</v>
      </c>
      <c r="L193" s="128">
        <f ca="1">OFFSET('IWP02'!UnitsOfServicePeriod1, 5, 8, 1, 1)</f>
        <v>0</v>
      </c>
      <c r="M193" s="128">
        <f ca="1">IF(OFFSET('IWP02'!UnitsOfServicePeriod1, 5, 9, 1, 1) = "", 0, OFFSET('IWP02'!UnitsOfServicePeriod1, 5, 9, 1, 1))</f>
        <v>0</v>
      </c>
      <c r="N193" s="128">
        <f ca="1">OFFSET('IWP02'!UnitsOfServicePeriod1, 5, 10, 1, 1)</f>
        <v>0</v>
      </c>
      <c r="O193" s="128">
        <f ca="1">IF(OFFSET('IWP02'!UnitsOfServicePeriod1, 5, 11, 1, 1) = "", 0, OFFSET('IWP02'!UnitsOfServicePeriod1, 5, 11, 1, 1))</f>
        <v>0</v>
      </c>
      <c r="P193" s="128">
        <f ca="1">OFFSET('IWP02'!UnitsOfServicePeriod1, 5, 12, 1, 1)</f>
        <v>0</v>
      </c>
      <c r="Q193" s="128">
        <f ca="1">IF(OFFSET('IWP02'!UnitsOfServicePeriod1, 5, 13, 1, 1) = "", 0, OFFSET('IWP02'!UnitsOfServicePeriod1, 5, 13, 1, 1))</f>
        <v>0</v>
      </c>
      <c r="R193" s="128">
        <f ca="1">OFFSET('IWP02'!UnitsOfServicePeriod1, 5, 14, 1, 1)</f>
        <v>0</v>
      </c>
      <c r="S193" s="128">
        <f ca="1">IF(OFFSET('IWP02'!UnitsOfServicePeriod1, 5, 15, 1, 1) = "", 0, OFFSET('IWP02'!UnitsOfServicePeriod1, 5, 15, 1, 1))</f>
        <v>0</v>
      </c>
      <c r="T193" s="128">
        <f ca="1">IF(OFFSET('IWP02'!UnitsOfServicePeriod1, 5, 16, 1, 1) = "", 0, OFFSET('IWP02'!UnitsOfServicePeriod1, 5, 16, 1, 1))</f>
        <v>0</v>
      </c>
      <c r="U193" s="128">
        <f ca="1">OFFSET('IWP02'!UnitsOfServicePeriod1, 5, 17, 1, 1)</f>
        <v>0</v>
      </c>
      <c r="V193" s="128">
        <f ca="1">IF(OFFSET('IWP02'!UnitsOfServicePeriod1, 5, 19, 1, 1) = "", 0, OFFSET('IWP02'!UnitsOfServicePeriod1, 5, 19, 1, 1))</f>
        <v>0</v>
      </c>
      <c r="W193" s="128">
        <f ca="1">OFFSET('IWP02'!UnitsOfServicePeriod1, 5, 20, 1, 1)</f>
        <v>0</v>
      </c>
      <c r="X193" s="128">
        <f ca="1">IF(OFFSET('IWP02'!UnitsOfServicePeriod1, 5, 21, 1, 1) = "", 0, OFFSET('IWP02'!UnitsOfServicePeriod1, 5, 21, 1, 1))</f>
        <v>0</v>
      </c>
      <c r="Y193" s="137">
        <f ca="1">OFFSET('IWP02'!UnitsOfServicePeriod1, 5, 22, 1, 1)</f>
        <v>0</v>
      </c>
    </row>
    <row r="194" spans="1:25">
      <c r="A194" s="125" t="s">
        <v>430</v>
      </c>
      <c r="B194" s="128">
        <v>2</v>
      </c>
      <c r="C194" s="128">
        <v>1</v>
      </c>
      <c r="D194" s="107">
        <f ca="1">IF(OFFSET('IWP02'!UnitsOfServicePeriod2, 0, 0, 1, 1)=DATE(1900,1,0), DATE(1900,1,1),OFFSET('IWP02'!UnitsOfServicePeriod2, 0, 0, 1, 1))</f>
        <v>1</v>
      </c>
      <c r="E194" s="107">
        <f ca="1">IF(OFFSET('IWP02'!UnitsOfServicePeriod2, 0, 1, 1, 1)=DATE(1900,1,0), DATE(1900,1,1),OFFSET('IWP02'!UnitsOfServicePeriod2, 0, 1, 1, 1))</f>
        <v>1</v>
      </c>
      <c r="F194" s="128">
        <f ca="1">OFFSET('IWP02'!UnitsOfServicePeriod2, 0, 2, 1, 1)</f>
        <v>0</v>
      </c>
      <c r="G194" s="128">
        <f ca="1">IF(OFFSET('IWP02'!UnitsOfServicePeriod2, 0, 3, 1, 1) = "", 0, OFFSET('IWP02'!UnitsOfServicePeriod2, 0, 3, 1, 1))</f>
        <v>0</v>
      </c>
      <c r="H194" s="128">
        <f ca="1">OFFSET('IWP02'!UnitsOfServicePeriod2, 0, 4, 1, 1)</f>
        <v>0</v>
      </c>
      <c r="I194" s="128">
        <f ca="1">IF(OFFSET('IWP02'!UnitsOfServicePeriod2, 0, 5, 1, 1) = "", 0, OFFSET('IWP02'!UnitsOfServicePeriod2, 0, 5, 1, 1))</f>
        <v>0</v>
      </c>
      <c r="J194" s="128">
        <f ca="1">OFFSET('IWP02'!UnitsOfServicePeriod2, 0, 6, 1, 1)</f>
        <v>0</v>
      </c>
      <c r="K194" s="128">
        <f ca="1">IF(OFFSET('IWP02'!UnitsOfServicePeriod2, 0, 7, 1, 1) = "", 0, OFFSET('IWP02'!UnitsOfServicePeriod2, 0, 7, 1, 1))</f>
        <v>0</v>
      </c>
      <c r="L194" s="128">
        <f ca="1">OFFSET('IWP02'!UnitsOfServicePeriod2, 0, 8, 1, 1)</f>
        <v>0</v>
      </c>
      <c r="M194" s="128">
        <f ca="1">IF(OFFSET('IWP02'!UnitsOfServicePeriod2, 0, 9, 1, 1) = "", 0, OFFSET('IWP02'!UnitsOfServicePeriod2, 0, 9, 1, 1))</f>
        <v>0</v>
      </c>
      <c r="N194" s="128">
        <f ca="1">OFFSET('IWP02'!UnitsOfServicePeriod2, 0, 10, 1, 1)</f>
        <v>0</v>
      </c>
      <c r="O194" s="128">
        <f ca="1">IF(OFFSET('IWP02'!UnitsOfServicePeriod2, 0, 11, 1, 1) = "", 0, OFFSET('IWP02'!UnitsOfServicePeriod2, 0, 11, 1, 1))</f>
        <v>0</v>
      </c>
      <c r="P194" s="128">
        <f ca="1">OFFSET('IWP02'!UnitsOfServicePeriod2, 0, 12, 1, 1)</f>
        <v>0</v>
      </c>
      <c r="Q194" s="128">
        <f ca="1">IF(OFFSET('IWP02'!UnitsOfServicePeriod2, 0, 13, 1, 1) = "", 0, OFFSET('IWP02'!UnitsOfServicePeriod2, 0, 13, 1, 1))</f>
        <v>0</v>
      </c>
      <c r="R194" s="128">
        <f ca="1">OFFSET('IWP02'!UnitsOfServicePeriod2, 0, 14, 1, 1)</f>
        <v>0</v>
      </c>
      <c r="S194" s="128">
        <f ca="1">IF(OFFSET('IWP02'!UnitsOfServicePeriod2, 0, 15, 1, 1) = "", 0, OFFSET('IWP02'!UnitsOfServicePeriod2, 0, 15, 1, 1))</f>
        <v>0</v>
      </c>
      <c r="T194" s="128">
        <f ca="1">IF(OFFSET('IWP02'!UnitsOfServicePeriod2, 0, 16, 1, 1) = "", 0, OFFSET('IWP02'!UnitsOfServicePeriod2, 0, 16, 1, 1))</f>
        <v>0</v>
      </c>
      <c r="U194" s="128">
        <f ca="1">OFFSET('IWP02'!UnitsOfServicePeriod2, 0, 17, 1, 1)</f>
        <v>0</v>
      </c>
      <c r="V194" s="128">
        <f ca="1">IF(OFFSET('IWP02'!UnitsOfServicePeriod2, 0, 19, 1, 1) = "", 0, OFFSET('IWP02'!UnitsOfServicePeriod2, 0, 19, 1, 1))</f>
        <v>0</v>
      </c>
      <c r="W194" s="128">
        <f ca="1">OFFSET('IWP02'!UnitsOfServicePeriod2, 0, 20, 1, 1)</f>
        <v>0</v>
      </c>
      <c r="X194" s="128">
        <f ca="1">IF(OFFSET('IWP02'!UnitsOfServicePeriod2, 0, 21, 1, 1) = "", 0, OFFSET('IWP02'!UnitsOfServicePeriod2, 0, 21, 1, 1))</f>
        <v>0</v>
      </c>
      <c r="Y194" s="137">
        <f ca="1">OFFSET('IWP02'!UnitsOfServicePeriod2, 0, 22, 1, 1)</f>
        <v>0</v>
      </c>
    </row>
    <row r="195" spans="1:25">
      <c r="A195" s="125" t="s">
        <v>430</v>
      </c>
      <c r="B195" s="128">
        <v>2</v>
      </c>
      <c r="C195" s="128">
        <v>2</v>
      </c>
      <c r="D195" s="107">
        <f ca="1">IF(OFFSET('IWP02'!UnitsOfServicePeriod2, 1, 0, 1, 1)=DATE(1900,1,0), DATE(1900,1,1),OFFSET('IWP02'!UnitsOfServicePeriod2, 1, 0, 1, 1))</f>
        <v>1</v>
      </c>
      <c r="E195" s="107">
        <f ca="1">IF(OFFSET('IWP02'!UnitsOfServicePeriod2, 1, 1, 1, 1)=DATE(1900,1,0), DATE(1900,1,1),OFFSET('IWP02'!UnitsOfServicePeriod2, 1, 1, 1, 1))</f>
        <v>1</v>
      </c>
      <c r="F195" s="128">
        <f ca="1">OFFSET('IWP02'!UnitsOfServicePeriod2, 1, 2, 1, 1)</f>
        <v>0</v>
      </c>
      <c r="G195" s="128">
        <f ca="1">IF(OFFSET('IWP02'!UnitsOfServicePeriod2, 1, 3, 1, 1) = "", 0, OFFSET('IWP02'!UnitsOfServicePeriod2, 1, 3, 1, 1))</f>
        <v>0</v>
      </c>
      <c r="H195" s="128">
        <f ca="1">OFFSET('IWP02'!UnitsOfServicePeriod2, 1, 4, 1, 1)</f>
        <v>0</v>
      </c>
      <c r="I195" s="128">
        <f ca="1">IF(OFFSET('IWP02'!UnitsOfServicePeriod2, 1, 5, 1, 1) = "", 0, OFFSET('IWP02'!UnitsOfServicePeriod2, 1, 5, 1, 1))</f>
        <v>0</v>
      </c>
      <c r="J195" s="128">
        <f ca="1">OFFSET('IWP02'!UnitsOfServicePeriod2, 1, 6, 1, 1)</f>
        <v>0</v>
      </c>
      <c r="K195" s="128">
        <f ca="1">IF(OFFSET('IWP02'!UnitsOfServicePeriod2, 1, 7, 1, 1) = "", 0, OFFSET('IWP02'!UnitsOfServicePeriod2, 1, 7, 1, 1))</f>
        <v>0</v>
      </c>
      <c r="L195" s="128">
        <f ca="1">OFFSET('IWP02'!UnitsOfServicePeriod2, 1, 8, 1, 1)</f>
        <v>0</v>
      </c>
      <c r="M195" s="128">
        <f ca="1">IF(OFFSET('IWP02'!UnitsOfServicePeriod2, 1, 9, 1, 1) = "", 0, OFFSET('IWP02'!UnitsOfServicePeriod2, 1, 9, 1, 1))</f>
        <v>0</v>
      </c>
      <c r="N195" s="128">
        <f ca="1">OFFSET('IWP02'!UnitsOfServicePeriod2, 1, 10, 1, 1)</f>
        <v>0</v>
      </c>
      <c r="O195" s="128">
        <f ca="1">IF(OFFSET('IWP02'!UnitsOfServicePeriod2, 1, 11, 1, 1) = "", 0, OFFSET('IWP02'!UnitsOfServicePeriod2, 1, 11, 1, 1))</f>
        <v>0</v>
      </c>
      <c r="P195" s="128">
        <f ca="1">OFFSET('IWP02'!UnitsOfServicePeriod2, 1, 12, 1, 1)</f>
        <v>0</v>
      </c>
      <c r="Q195" s="128">
        <f ca="1">IF(OFFSET('IWP02'!UnitsOfServicePeriod2, 1, 13, 1, 1) = "", 0, OFFSET('IWP02'!UnitsOfServicePeriod2, 1, 13, 1, 1))</f>
        <v>0</v>
      </c>
      <c r="R195" s="128">
        <f ca="1">OFFSET('IWP02'!UnitsOfServicePeriod2, 1, 14, 1, 1)</f>
        <v>0</v>
      </c>
      <c r="S195" s="128">
        <f ca="1">IF(OFFSET('IWP02'!UnitsOfServicePeriod2, 1, 15, 1, 1) = "", 0, OFFSET('IWP02'!UnitsOfServicePeriod2, 1, 15, 1, 1))</f>
        <v>0</v>
      </c>
      <c r="T195" s="128">
        <f ca="1">IF(OFFSET('IWP02'!UnitsOfServicePeriod2, 1, 16, 1, 1) = "", 0, OFFSET('IWP02'!UnitsOfServicePeriod2, 1, 16, 1, 1))</f>
        <v>0</v>
      </c>
      <c r="U195" s="128">
        <f ca="1">OFFSET('IWP02'!UnitsOfServicePeriod2, 1, 17, 1, 1)</f>
        <v>0</v>
      </c>
      <c r="V195" s="128">
        <f ca="1">IF(OFFSET('IWP02'!UnitsOfServicePeriod2, 1, 19, 1, 1) = "", 0, OFFSET('IWP02'!UnitsOfServicePeriod2, 1, 19, 1, 1))</f>
        <v>0</v>
      </c>
      <c r="W195" s="128">
        <f ca="1">OFFSET('IWP02'!UnitsOfServicePeriod2, 1, 20, 1, 1)</f>
        <v>0</v>
      </c>
      <c r="X195" s="128">
        <f ca="1">IF(OFFSET('IWP02'!UnitsOfServicePeriod2, 1, 21, 1, 1) = "", 0, OFFSET('IWP02'!UnitsOfServicePeriod2, 1, 21, 1, 1))</f>
        <v>0</v>
      </c>
      <c r="Y195" s="137">
        <f ca="1">OFFSET('IWP02'!UnitsOfServicePeriod2, 1, 22, 1, 1)</f>
        <v>0</v>
      </c>
    </row>
    <row r="196" spans="1:25">
      <c r="A196" s="125" t="s">
        <v>430</v>
      </c>
      <c r="B196" s="128">
        <v>2</v>
      </c>
      <c r="C196" s="128">
        <v>3</v>
      </c>
      <c r="D196" s="107">
        <f ca="1">IF(OFFSET('IWP02'!UnitsOfServicePeriod2, 2, 0, 1, 1)=DATE(1900,1,0), DATE(1900,1,1),OFFSET('IWP02'!UnitsOfServicePeriod2, 2, 0, 1, 1))</f>
        <v>1</v>
      </c>
      <c r="E196" s="107">
        <f ca="1">IF(OFFSET('IWP02'!UnitsOfServicePeriod2, 2, 1, 1, 1)=DATE(1900,1,0), DATE(1900,1,1),OFFSET('IWP02'!UnitsOfServicePeriod2, 2, 1, 1, 1))</f>
        <v>1</v>
      </c>
      <c r="F196" s="128">
        <f ca="1">OFFSET('IWP02'!UnitsOfServicePeriod2, 2, 2, 1, 1)</f>
        <v>0</v>
      </c>
      <c r="G196" s="128">
        <f ca="1">IF(OFFSET('IWP02'!UnitsOfServicePeriod2, 2, 3, 1, 1) = "", 0, OFFSET('IWP02'!UnitsOfServicePeriod2, 2, 3, 1, 1))</f>
        <v>0</v>
      </c>
      <c r="H196" s="128">
        <f ca="1">OFFSET('IWP02'!UnitsOfServicePeriod2, 2, 4, 1, 1)</f>
        <v>0</v>
      </c>
      <c r="I196" s="128">
        <f ca="1">IF(OFFSET('IWP02'!UnitsOfServicePeriod2, 2, 5, 1, 1) = "", 0, OFFSET('IWP02'!UnitsOfServicePeriod2, 2, 5, 1, 1))</f>
        <v>0</v>
      </c>
      <c r="J196" s="128">
        <f ca="1">OFFSET('IWP02'!UnitsOfServicePeriod2, 2, 6, 1, 1)</f>
        <v>0</v>
      </c>
      <c r="K196" s="128">
        <f ca="1">IF(OFFSET('IWP02'!UnitsOfServicePeriod2, 2, 7, 1, 1) = "", 0, OFFSET('IWP02'!UnitsOfServicePeriod2, 2, 7, 1, 1))</f>
        <v>0</v>
      </c>
      <c r="L196" s="128">
        <f ca="1">OFFSET('IWP02'!UnitsOfServicePeriod2, 2, 8, 1, 1)</f>
        <v>0</v>
      </c>
      <c r="M196" s="128">
        <f ca="1">IF(OFFSET('IWP02'!UnitsOfServicePeriod2, 2, 9, 1, 1) = "", 0, OFFSET('IWP02'!UnitsOfServicePeriod2, 2, 9, 1, 1))</f>
        <v>0</v>
      </c>
      <c r="N196" s="128">
        <f ca="1">OFFSET('IWP02'!UnitsOfServicePeriod2, 2, 10, 1, 1)</f>
        <v>0</v>
      </c>
      <c r="O196" s="128">
        <f ca="1">IF(OFFSET('IWP02'!UnitsOfServicePeriod2, 2, 11, 1, 1) = "", 0, OFFSET('IWP02'!UnitsOfServicePeriod2, 2, 11, 1, 1))</f>
        <v>0</v>
      </c>
      <c r="P196" s="128">
        <f ca="1">OFFSET('IWP02'!UnitsOfServicePeriod2, 2, 12, 1, 1)</f>
        <v>0</v>
      </c>
      <c r="Q196" s="128">
        <f ca="1">IF(OFFSET('IWP02'!UnitsOfServicePeriod2, 2, 13, 1, 1) = "", 0, OFFSET('IWP02'!UnitsOfServicePeriod2, 2, 13, 1, 1))</f>
        <v>0</v>
      </c>
      <c r="R196" s="128">
        <f ca="1">OFFSET('IWP02'!UnitsOfServicePeriod2, 2, 14, 1, 1)</f>
        <v>0</v>
      </c>
      <c r="S196" s="128">
        <f ca="1">IF(OFFSET('IWP02'!UnitsOfServicePeriod2, 2, 15, 1, 1) = "", 0, OFFSET('IWP02'!UnitsOfServicePeriod2, 2, 15, 1, 1))</f>
        <v>0</v>
      </c>
      <c r="T196" s="128">
        <f ca="1">IF(OFFSET('IWP02'!UnitsOfServicePeriod2, 2, 16, 1, 1) = "", 0, OFFSET('IWP02'!UnitsOfServicePeriod2, 2, 16, 1, 1))</f>
        <v>0</v>
      </c>
      <c r="U196" s="128">
        <f ca="1">OFFSET('IWP02'!UnitsOfServicePeriod2, 2, 17, 1, 1)</f>
        <v>0</v>
      </c>
      <c r="V196" s="128">
        <f ca="1">IF(OFFSET('IWP02'!UnitsOfServicePeriod2, 2, 19, 1, 1) = "", 0, OFFSET('IWP02'!UnitsOfServicePeriod2, 2, 19, 1, 1))</f>
        <v>0</v>
      </c>
      <c r="W196" s="128">
        <f ca="1">OFFSET('IWP02'!UnitsOfServicePeriod2, 2, 20, 1, 1)</f>
        <v>0</v>
      </c>
      <c r="X196" s="128">
        <f ca="1">IF(OFFSET('IWP02'!UnitsOfServicePeriod2, 2, 21, 1, 1) = "", 0, OFFSET('IWP02'!UnitsOfServicePeriod2, 2, 21, 1, 1))</f>
        <v>0</v>
      </c>
      <c r="Y196" s="137">
        <f ca="1">OFFSET('IWP02'!UnitsOfServicePeriod2, 2, 22, 1, 1)</f>
        <v>0</v>
      </c>
    </row>
    <row r="197" spans="1:25">
      <c r="A197" s="125" t="s">
        <v>430</v>
      </c>
      <c r="B197" s="128">
        <v>2</v>
      </c>
      <c r="C197" s="128">
        <v>4</v>
      </c>
      <c r="D197" s="107">
        <f ca="1">IF(OFFSET('IWP02'!UnitsOfServicePeriod2, 3, 0, 1, 1)=DATE(1900,1,0), DATE(1900,1,1),OFFSET('IWP02'!UnitsOfServicePeriod2, 3, 0, 1, 1))</f>
        <v>1</v>
      </c>
      <c r="E197" s="107">
        <f ca="1">IF(OFFSET('IWP02'!UnitsOfServicePeriod2, 3, 1, 1, 1)=DATE(1900,1,0), DATE(1900,1,1),OFFSET('IWP02'!UnitsOfServicePeriod2, 3, 1, 1, 1))</f>
        <v>1</v>
      </c>
      <c r="F197" s="128">
        <f ca="1">OFFSET('IWP02'!UnitsOfServicePeriod2, 3, 2, 1, 1)</f>
        <v>0</v>
      </c>
      <c r="G197" s="128">
        <f ca="1">IF(OFFSET('IWP02'!UnitsOfServicePeriod2, 3, 3, 1, 1) = "", 0, OFFSET('IWP02'!UnitsOfServicePeriod2, 3, 3, 1, 1))</f>
        <v>0</v>
      </c>
      <c r="H197" s="128">
        <f ca="1">OFFSET('IWP02'!UnitsOfServicePeriod2, 3, 4, 1, 1)</f>
        <v>0</v>
      </c>
      <c r="I197" s="128">
        <f ca="1">IF(OFFSET('IWP02'!UnitsOfServicePeriod2, 3, 5, 1, 1) = "", 0, OFFSET('IWP02'!UnitsOfServicePeriod2, 3, 5, 1, 1))</f>
        <v>0</v>
      </c>
      <c r="J197" s="128">
        <f ca="1">OFFSET('IWP02'!UnitsOfServicePeriod2, 3, 6, 1, 1)</f>
        <v>0</v>
      </c>
      <c r="K197" s="128">
        <f ca="1">IF(OFFSET('IWP02'!UnitsOfServicePeriod2, 3, 7, 1, 1) = "", 0, OFFSET('IWP02'!UnitsOfServicePeriod2, 3, 7, 1, 1))</f>
        <v>0</v>
      </c>
      <c r="L197" s="128">
        <f ca="1">OFFSET('IWP02'!UnitsOfServicePeriod2, 3, 8, 1, 1)</f>
        <v>0</v>
      </c>
      <c r="M197" s="128">
        <f ca="1">IF(OFFSET('IWP02'!UnitsOfServicePeriod2, 3, 9, 1, 1) = "", 0, OFFSET('IWP02'!UnitsOfServicePeriod2, 3, 9, 1, 1))</f>
        <v>0</v>
      </c>
      <c r="N197" s="128">
        <f ca="1">OFFSET('IWP02'!UnitsOfServicePeriod2, 3, 10, 1, 1)</f>
        <v>0</v>
      </c>
      <c r="O197" s="128">
        <f ca="1">IF(OFFSET('IWP02'!UnitsOfServicePeriod2, 3, 11, 1, 1) = "", 0, OFFSET('IWP02'!UnitsOfServicePeriod2, 3, 11, 1, 1))</f>
        <v>0</v>
      </c>
      <c r="P197" s="128">
        <f ca="1">OFFSET('IWP02'!UnitsOfServicePeriod2, 3, 12, 1, 1)</f>
        <v>0</v>
      </c>
      <c r="Q197" s="128">
        <f ca="1">IF(OFFSET('IWP02'!UnitsOfServicePeriod2, 3, 13, 1, 1) = "", 0, OFFSET('IWP02'!UnitsOfServicePeriod2, 3, 13, 1, 1))</f>
        <v>0</v>
      </c>
      <c r="R197" s="128">
        <f ca="1">OFFSET('IWP02'!UnitsOfServicePeriod2, 3, 14, 1, 1)</f>
        <v>0</v>
      </c>
      <c r="S197" s="128">
        <f ca="1">IF(OFFSET('IWP02'!UnitsOfServicePeriod2, 3, 15, 1, 1) = "", 0, OFFSET('IWP02'!UnitsOfServicePeriod2, 3, 15, 1, 1))</f>
        <v>0</v>
      </c>
      <c r="T197" s="128">
        <f ca="1">IF(OFFSET('IWP02'!UnitsOfServicePeriod2, 3, 16, 1, 1) = "", 0, OFFSET('IWP02'!UnitsOfServicePeriod2, 3, 16, 1, 1))</f>
        <v>0</v>
      </c>
      <c r="U197" s="128">
        <f ca="1">OFFSET('IWP02'!UnitsOfServicePeriod2, 3, 17, 1, 1)</f>
        <v>0</v>
      </c>
      <c r="V197" s="128">
        <f ca="1">IF(OFFSET('IWP02'!UnitsOfServicePeriod2, 3, 19, 1, 1) = "", 0, OFFSET('IWP02'!UnitsOfServicePeriod2, 3, 19, 1, 1))</f>
        <v>0</v>
      </c>
      <c r="W197" s="128">
        <f ca="1">OFFSET('IWP02'!UnitsOfServicePeriod2, 3, 20, 1, 1)</f>
        <v>0</v>
      </c>
      <c r="X197" s="128">
        <f ca="1">IF(OFFSET('IWP02'!UnitsOfServicePeriod2, 3, 21, 1, 1) = "", 0, OFFSET('IWP02'!UnitsOfServicePeriod2, 3, 21, 1, 1))</f>
        <v>0</v>
      </c>
      <c r="Y197" s="137">
        <f ca="1">OFFSET('IWP02'!UnitsOfServicePeriod2, 3, 22, 1, 1)</f>
        <v>0</v>
      </c>
    </row>
    <row r="198" spans="1:25">
      <c r="A198" s="125" t="s">
        <v>430</v>
      </c>
      <c r="B198" s="128">
        <v>2</v>
      </c>
      <c r="C198" s="128">
        <v>5</v>
      </c>
      <c r="D198" s="107">
        <f ca="1">IF(OFFSET('IWP02'!UnitsOfServicePeriod2, 4, 0, 1, 1)=DATE(1900,1,0), DATE(1900,1,1),OFFSET('IWP02'!UnitsOfServicePeriod2, 4, 0, 1, 1))</f>
        <v>1</v>
      </c>
      <c r="E198" s="107">
        <f ca="1">IF(OFFSET('IWP02'!UnitsOfServicePeriod2, 4, 1, 1, 1)=DATE(1900,1,0), DATE(1900,1,1),OFFSET('IWP02'!UnitsOfServicePeriod2, 4, 1, 1, 1))</f>
        <v>1</v>
      </c>
      <c r="F198" s="128">
        <f ca="1">OFFSET('IWP02'!UnitsOfServicePeriod2, 4, 2, 1, 1)</f>
        <v>0</v>
      </c>
      <c r="G198" s="128">
        <f ca="1">IF(OFFSET('IWP02'!UnitsOfServicePeriod2, 4, 3, 1, 1) = "", 0, OFFSET('IWP02'!UnitsOfServicePeriod2, 4, 3, 1, 1))</f>
        <v>0</v>
      </c>
      <c r="H198" s="128">
        <f ca="1">OFFSET('IWP02'!UnitsOfServicePeriod2, 4, 4, 1, 1)</f>
        <v>0</v>
      </c>
      <c r="I198" s="128">
        <f ca="1">IF(OFFSET('IWP02'!UnitsOfServicePeriod2, 4, 5, 1, 1) = "", 0, OFFSET('IWP02'!UnitsOfServicePeriod2, 4, 5, 1, 1))</f>
        <v>0</v>
      </c>
      <c r="J198" s="128">
        <f ca="1">OFFSET('IWP02'!UnitsOfServicePeriod2, 4, 6, 1, 1)</f>
        <v>0</v>
      </c>
      <c r="K198" s="128">
        <f ca="1">IF(OFFSET('IWP02'!UnitsOfServicePeriod2, 4, 7, 1, 1) = "", 0, OFFSET('IWP02'!UnitsOfServicePeriod2, 4, 7, 1, 1))</f>
        <v>0</v>
      </c>
      <c r="L198" s="128">
        <f ca="1">OFFSET('IWP02'!UnitsOfServicePeriod2, 4, 8, 1, 1)</f>
        <v>0</v>
      </c>
      <c r="M198" s="128">
        <f ca="1">IF(OFFSET('IWP02'!UnitsOfServicePeriod2, 4, 9, 1, 1) = "", 0, OFFSET('IWP02'!UnitsOfServicePeriod2, 4, 9, 1, 1))</f>
        <v>0</v>
      </c>
      <c r="N198" s="128">
        <f ca="1">OFFSET('IWP02'!UnitsOfServicePeriod2, 4, 10, 1, 1)</f>
        <v>0</v>
      </c>
      <c r="O198" s="128">
        <f ca="1">IF(OFFSET('IWP02'!UnitsOfServicePeriod2, 4, 11, 1, 1) = "", 0, OFFSET('IWP02'!UnitsOfServicePeriod2, 4, 11, 1, 1))</f>
        <v>0</v>
      </c>
      <c r="P198" s="128">
        <f ca="1">OFFSET('IWP02'!UnitsOfServicePeriod2, 4, 12, 1, 1)</f>
        <v>0</v>
      </c>
      <c r="Q198" s="128">
        <f ca="1">IF(OFFSET('IWP02'!UnitsOfServicePeriod2, 4, 13, 1, 1) = "", 0, OFFSET('IWP02'!UnitsOfServicePeriod2, 4, 13, 1, 1))</f>
        <v>0</v>
      </c>
      <c r="R198" s="128">
        <f ca="1">OFFSET('IWP02'!UnitsOfServicePeriod2, 4, 14, 1, 1)</f>
        <v>0</v>
      </c>
      <c r="S198" s="128">
        <f ca="1">IF(OFFSET('IWP02'!UnitsOfServicePeriod2, 4, 15, 1, 1) = "", 0, OFFSET('IWP02'!UnitsOfServicePeriod2, 4, 15, 1, 1))</f>
        <v>0</v>
      </c>
      <c r="T198" s="128">
        <f ca="1">IF(OFFSET('IWP02'!UnitsOfServicePeriod2, 4, 16, 1, 1) = "", 0, OFFSET('IWP02'!UnitsOfServicePeriod2, 4, 16, 1, 1))</f>
        <v>0</v>
      </c>
      <c r="U198" s="128">
        <f ca="1">OFFSET('IWP02'!UnitsOfServicePeriod2, 4, 17, 1, 1)</f>
        <v>0</v>
      </c>
      <c r="V198" s="128">
        <f ca="1">IF(OFFSET('IWP02'!UnitsOfServicePeriod2, 4, 19, 1, 1) = "", 0, OFFSET('IWP02'!UnitsOfServicePeriod2, 4, 19, 1, 1))</f>
        <v>0</v>
      </c>
      <c r="W198" s="128">
        <f ca="1">OFFSET('IWP02'!UnitsOfServicePeriod2, 4, 20, 1, 1)</f>
        <v>0</v>
      </c>
      <c r="X198" s="128">
        <f ca="1">IF(OFFSET('IWP02'!UnitsOfServicePeriod2, 4, 21, 1, 1) = "", 0, OFFSET('IWP02'!UnitsOfServicePeriod2, 4, 21, 1, 1))</f>
        <v>0</v>
      </c>
      <c r="Y198" s="137">
        <f ca="1">OFFSET('IWP02'!UnitsOfServicePeriod2, 4, 22, 1, 1)</f>
        <v>0</v>
      </c>
    </row>
    <row r="199" spans="1:25">
      <c r="A199" s="125" t="s">
        <v>430</v>
      </c>
      <c r="B199" s="128">
        <v>2</v>
      </c>
      <c r="C199" s="128">
        <v>6</v>
      </c>
      <c r="D199" s="107">
        <f ca="1">IF(OFFSET('IWP02'!UnitsOfServicePeriod2, 5, 0, 1, 1)=DATE(1900,1,0), DATE(1900,1,1),OFFSET('IWP02'!UnitsOfServicePeriod2, 5, 0, 1, 1))</f>
        <v>1</v>
      </c>
      <c r="E199" s="107">
        <f ca="1">IF(OFFSET('IWP02'!UnitsOfServicePeriod2, 5, 1, 1, 1)=DATE(1900,1,0), DATE(1900,1,1),OFFSET('IWP02'!UnitsOfServicePeriod2, 5, 1, 1, 1))</f>
        <v>1</v>
      </c>
      <c r="F199" s="128">
        <f ca="1">OFFSET('IWP02'!UnitsOfServicePeriod2, 5, 2, 1, 1)</f>
        <v>0</v>
      </c>
      <c r="G199" s="128">
        <f ca="1">IF(OFFSET('IWP02'!UnitsOfServicePeriod2, 5, 3, 1, 1) = "", 0, OFFSET('IWP02'!UnitsOfServicePeriod2, 5, 3, 1, 1))</f>
        <v>0</v>
      </c>
      <c r="H199" s="128">
        <f ca="1">OFFSET('IWP02'!UnitsOfServicePeriod2, 5, 4, 1, 1)</f>
        <v>0</v>
      </c>
      <c r="I199" s="128">
        <f ca="1">IF(OFFSET('IWP02'!UnitsOfServicePeriod2, 5, 5, 1, 1) = "", 0, OFFSET('IWP02'!UnitsOfServicePeriod2, 5, 5, 1, 1))</f>
        <v>0</v>
      </c>
      <c r="J199" s="128">
        <f ca="1">OFFSET('IWP02'!UnitsOfServicePeriod2, 5, 6, 1, 1)</f>
        <v>0</v>
      </c>
      <c r="K199" s="128">
        <f ca="1">IF(OFFSET('IWP02'!UnitsOfServicePeriod2, 5, 7, 1, 1) = "", 0, OFFSET('IWP02'!UnitsOfServicePeriod2, 5, 7, 1, 1))</f>
        <v>0</v>
      </c>
      <c r="L199" s="128">
        <f ca="1">OFFSET('IWP02'!UnitsOfServicePeriod2, 5, 8, 1, 1)</f>
        <v>0</v>
      </c>
      <c r="M199" s="128">
        <f ca="1">IF(OFFSET('IWP02'!UnitsOfServicePeriod2, 5, 9, 1, 1) = "", 0, OFFSET('IWP02'!UnitsOfServicePeriod2, 5, 9, 1, 1))</f>
        <v>0</v>
      </c>
      <c r="N199" s="128">
        <f ca="1">OFFSET('IWP02'!UnitsOfServicePeriod2, 5, 10, 1, 1)</f>
        <v>0</v>
      </c>
      <c r="O199" s="128">
        <f ca="1">IF(OFFSET('IWP02'!UnitsOfServicePeriod2, 5, 11, 1, 1) = "", 0, OFFSET('IWP02'!UnitsOfServicePeriod2, 5, 11, 1, 1))</f>
        <v>0</v>
      </c>
      <c r="P199" s="128">
        <f ca="1">OFFSET('IWP02'!UnitsOfServicePeriod2, 5, 12, 1, 1)</f>
        <v>0</v>
      </c>
      <c r="Q199" s="128">
        <f ca="1">IF(OFFSET('IWP02'!UnitsOfServicePeriod2, 5, 13, 1, 1) = "", 0, OFFSET('IWP02'!UnitsOfServicePeriod2, 5, 13, 1, 1))</f>
        <v>0</v>
      </c>
      <c r="R199" s="128">
        <f ca="1">OFFSET('IWP02'!UnitsOfServicePeriod2, 5, 14, 1, 1)</f>
        <v>0</v>
      </c>
      <c r="S199" s="128">
        <f ca="1">IF(OFFSET('IWP02'!UnitsOfServicePeriod2, 5, 15, 1, 1) = "", 0, OFFSET('IWP02'!UnitsOfServicePeriod2, 5, 15, 1, 1))</f>
        <v>0</v>
      </c>
      <c r="T199" s="128">
        <f ca="1">IF(OFFSET('IWP02'!UnitsOfServicePeriod2, 5, 16, 1, 1) = "", 0, OFFSET('IWP02'!UnitsOfServicePeriod2, 5, 16, 1, 1))</f>
        <v>0</v>
      </c>
      <c r="U199" s="128">
        <f ca="1">OFFSET('IWP02'!UnitsOfServicePeriod2, 5, 17, 1, 1)</f>
        <v>0</v>
      </c>
      <c r="V199" s="128">
        <f ca="1">IF(OFFSET('IWP02'!UnitsOfServicePeriod2, 5, 19, 1, 1) = "", 0, OFFSET('IWP02'!UnitsOfServicePeriod2, 5, 19, 1, 1))</f>
        <v>0</v>
      </c>
      <c r="W199" s="128">
        <f ca="1">OFFSET('IWP02'!UnitsOfServicePeriod2, 5, 20, 1, 1)</f>
        <v>0</v>
      </c>
      <c r="X199" s="128">
        <f ca="1">IF(OFFSET('IWP02'!UnitsOfServicePeriod2, 5, 21, 1, 1) = "", 0, OFFSET('IWP02'!UnitsOfServicePeriod2, 5, 21, 1, 1))</f>
        <v>0</v>
      </c>
      <c r="Y199" s="137">
        <f ca="1">OFFSET('IWP02'!UnitsOfServicePeriod2, 5, 22, 1, 1)</f>
        <v>0</v>
      </c>
    </row>
    <row r="200" spans="1:25">
      <c r="A200" s="125" t="s">
        <v>431</v>
      </c>
      <c r="B200" s="128">
        <v>1</v>
      </c>
      <c r="C200" s="128">
        <v>1</v>
      </c>
      <c r="D200" s="107">
        <f ca="1">IF(OFFSET('IWP03'!UnitsOfServicePeriod1, 0, 0, 1, 1)=DATE(1900,1,0), DATE(1900,1,1),OFFSET('IWP03'!UnitsOfServicePeriod1, 0, 0, 1, 1))</f>
        <v>1</v>
      </c>
      <c r="E200" s="107">
        <f ca="1">IF(OFFSET('IWP03'!UnitsOfServicePeriod1, 0, 1, 1, 1)=DATE(1900,1,0), DATE(1900,1,1),OFFSET('IWP03'!UnitsOfServicePeriod1, 0, 1, 1, 1))</f>
        <v>1</v>
      </c>
      <c r="F200" s="128">
        <f ca="1">OFFSET('IWP03'!UnitsOfServicePeriod1, 0, 2, 1, 1)</f>
        <v>0</v>
      </c>
      <c r="G200" s="128">
        <f ca="1">IF(OFFSET('IWP03'!UnitsOfServicePeriod1, 0, 3, 1, 1) = "", 0, OFFSET('IWP03'!UnitsOfServicePeriod1, 0, 3, 1, 1))</f>
        <v>0</v>
      </c>
      <c r="H200" s="128">
        <f ca="1">OFFSET('IWP03'!UnitsOfServicePeriod1, 0, 4, 1, 1)</f>
        <v>0</v>
      </c>
      <c r="I200" s="128">
        <f ca="1">IF(OFFSET('IWP03'!UnitsOfServicePeriod1, 0, 5, 1, 1) = "", 0, OFFSET('IWP03'!UnitsOfServicePeriod1, 0, 5, 1, 1))</f>
        <v>0</v>
      </c>
      <c r="J200" s="128">
        <f ca="1">OFFSET('IWP03'!UnitsOfServicePeriod1, 0, 6, 1, 1)</f>
        <v>0</v>
      </c>
      <c r="K200" s="128">
        <f ca="1">IF(OFFSET('IWP03'!UnitsOfServicePeriod1, 0, 7, 1, 1) = "", 0, OFFSET('IWP03'!UnitsOfServicePeriod1, 0, 7, 1, 1))</f>
        <v>0</v>
      </c>
      <c r="L200" s="128">
        <f ca="1">OFFSET('IWP03'!UnitsOfServicePeriod1, 0, 8, 1, 1)</f>
        <v>0</v>
      </c>
      <c r="M200" s="128">
        <f ca="1">IF(OFFSET('IWP03'!UnitsOfServicePeriod1, 0, 9, 1, 1) = "", 0, OFFSET('IWP03'!UnitsOfServicePeriod1, 0, 9, 1, 1))</f>
        <v>0</v>
      </c>
      <c r="N200" s="128">
        <f ca="1">OFFSET('IWP03'!UnitsOfServicePeriod1, 0, 10, 1, 1)</f>
        <v>0</v>
      </c>
      <c r="O200" s="128">
        <f ca="1">IF(OFFSET('IWP03'!UnitsOfServicePeriod1, 0, 11, 1, 1) = "", 0, OFFSET('IWP03'!UnitsOfServicePeriod1, 0, 11, 1, 1))</f>
        <v>0</v>
      </c>
      <c r="P200" s="128">
        <f ca="1">OFFSET('IWP03'!UnitsOfServicePeriod1, 0, 12, 1, 1)</f>
        <v>0</v>
      </c>
      <c r="Q200" s="128">
        <f ca="1">IF(OFFSET('IWP03'!UnitsOfServicePeriod1, 0, 13, 1, 1) = "", 0, OFFSET('IWP03'!UnitsOfServicePeriod1, 0, 13, 1, 1))</f>
        <v>0</v>
      </c>
      <c r="R200" s="128">
        <f ca="1">OFFSET('IWP03'!UnitsOfServicePeriod1, 0, 14, 1, 1)</f>
        <v>0</v>
      </c>
      <c r="S200" s="128">
        <f ca="1">IF(OFFSET('IWP03'!UnitsOfServicePeriod1, 0, 15, 1, 1) = "", 0, OFFSET('IWP03'!UnitsOfServicePeriod1, 0, 15, 1, 1))</f>
        <v>0</v>
      </c>
      <c r="T200" s="128">
        <f ca="1">IF(OFFSET('IWP03'!UnitsOfServicePeriod1, 0, 16, 1, 1) = "", 0, OFFSET('IWP03'!UnitsOfServicePeriod1, 0, 16, 1, 1))</f>
        <v>0</v>
      </c>
      <c r="U200" s="128">
        <f ca="1">OFFSET('IWP03'!UnitsOfServicePeriod1, 0, 17, 1, 1)</f>
        <v>0</v>
      </c>
      <c r="V200" s="128">
        <f ca="1">IF(OFFSET('IWP03'!UnitsOfServicePeriod1, 0, 19, 1, 1) = "", 0, OFFSET('IWP03'!UnitsOfServicePeriod1, 0, 19, 1, 1))</f>
        <v>0</v>
      </c>
      <c r="W200" s="128">
        <f ca="1">OFFSET('IWP03'!UnitsOfServicePeriod1, 0, 20, 1, 1)</f>
        <v>0</v>
      </c>
      <c r="X200" s="128">
        <f ca="1">IF(OFFSET('IWP03'!UnitsOfServicePeriod1, 0, 21, 1, 1) = "", 0, OFFSET('IWP03'!UnitsOfServicePeriod1, 0, 21, 1, 1))</f>
        <v>0</v>
      </c>
      <c r="Y200" s="137">
        <f ca="1">OFFSET('IWP03'!UnitsOfServicePeriod1, 0, 22, 1, 1)</f>
        <v>0</v>
      </c>
    </row>
    <row r="201" spans="1:25">
      <c r="A201" s="125" t="s">
        <v>431</v>
      </c>
      <c r="B201" s="128">
        <v>1</v>
      </c>
      <c r="C201" s="128">
        <v>2</v>
      </c>
      <c r="D201" s="107">
        <f ca="1">IF(OFFSET('IWP03'!UnitsOfServicePeriod1, 1, 0, 1, 1)=DATE(1900,1,0), DATE(1900,1,1),OFFSET('IWP03'!UnitsOfServicePeriod1, 1, 0, 1, 1))</f>
        <v>1</v>
      </c>
      <c r="E201" s="107">
        <f ca="1">IF(OFFSET('IWP03'!UnitsOfServicePeriod1, 1, 1, 1, 1)=DATE(1900,1,0), DATE(1900,1,1),OFFSET('IWP03'!UnitsOfServicePeriod1, 1, 1, 1, 1))</f>
        <v>1</v>
      </c>
      <c r="F201" s="128">
        <f ca="1">OFFSET('IWP03'!UnitsOfServicePeriod1, 1, 2, 1, 1)</f>
        <v>0</v>
      </c>
      <c r="G201" s="128">
        <f ca="1">IF(OFFSET('IWP03'!UnitsOfServicePeriod1, 1, 3, 1, 1) = "", 0, OFFSET('IWP03'!UnitsOfServicePeriod1, 1, 3, 1, 1))</f>
        <v>0</v>
      </c>
      <c r="H201" s="128">
        <f ca="1">OFFSET('IWP03'!UnitsOfServicePeriod1, 1, 4, 1, 1)</f>
        <v>0</v>
      </c>
      <c r="I201" s="128">
        <f ca="1">IF(OFFSET('IWP03'!UnitsOfServicePeriod1, 1, 5, 1, 1) = "", 0, OFFSET('IWP03'!UnitsOfServicePeriod1, 1, 5, 1, 1))</f>
        <v>0</v>
      </c>
      <c r="J201" s="128">
        <f ca="1">OFFSET('IWP03'!UnitsOfServicePeriod1, 1, 6, 1, 1)</f>
        <v>0</v>
      </c>
      <c r="K201" s="128">
        <f ca="1">IF(OFFSET('IWP03'!UnitsOfServicePeriod1, 1, 7, 1, 1) = "", 0, OFFSET('IWP03'!UnitsOfServicePeriod1, 1, 7, 1, 1))</f>
        <v>0</v>
      </c>
      <c r="L201" s="128">
        <f ca="1">OFFSET('IWP03'!UnitsOfServicePeriod1, 1, 8, 1, 1)</f>
        <v>0</v>
      </c>
      <c r="M201" s="128">
        <f ca="1">IF(OFFSET('IWP03'!UnitsOfServicePeriod1, 1, 9, 1, 1) = "", 0, OFFSET('IWP03'!UnitsOfServicePeriod1, 1, 9, 1, 1))</f>
        <v>0</v>
      </c>
      <c r="N201" s="128">
        <f ca="1">OFFSET('IWP03'!UnitsOfServicePeriod1, 1, 10, 1, 1)</f>
        <v>0</v>
      </c>
      <c r="O201" s="128">
        <f ca="1">IF(OFFSET('IWP03'!UnitsOfServicePeriod1, 1, 11, 1, 1) = "", 0, OFFSET('IWP03'!UnitsOfServicePeriod1, 1, 11, 1, 1))</f>
        <v>0</v>
      </c>
      <c r="P201" s="128">
        <f ca="1">OFFSET('IWP03'!UnitsOfServicePeriod1, 1, 12, 1, 1)</f>
        <v>0</v>
      </c>
      <c r="Q201" s="128">
        <f ca="1">IF(OFFSET('IWP03'!UnitsOfServicePeriod1, 1, 13, 1, 1) = "", 0, OFFSET('IWP03'!UnitsOfServicePeriod1, 1, 13, 1, 1))</f>
        <v>0</v>
      </c>
      <c r="R201" s="128">
        <f ca="1">OFFSET('IWP03'!UnitsOfServicePeriod1, 1, 14, 1, 1)</f>
        <v>0</v>
      </c>
      <c r="S201" s="128">
        <f ca="1">IF(OFFSET('IWP03'!UnitsOfServicePeriod1, 1, 15, 1, 1) = "", 0, OFFSET('IWP03'!UnitsOfServicePeriod1, 1, 15, 1, 1))</f>
        <v>0</v>
      </c>
      <c r="T201" s="128">
        <f ca="1">IF(OFFSET('IWP03'!UnitsOfServicePeriod1, 1, 16, 1, 1) = "", 0, OFFSET('IWP03'!UnitsOfServicePeriod1, 1, 16, 1, 1))</f>
        <v>0</v>
      </c>
      <c r="U201" s="128">
        <f ca="1">OFFSET('IWP03'!UnitsOfServicePeriod1, 1, 17, 1, 1)</f>
        <v>0</v>
      </c>
      <c r="V201" s="128">
        <f ca="1">IF(OFFSET('IWP03'!UnitsOfServicePeriod1, 1, 19, 1, 1) = "", 0, OFFSET('IWP03'!UnitsOfServicePeriod1, 1, 19, 1, 1))</f>
        <v>0</v>
      </c>
      <c r="W201" s="128">
        <f ca="1">OFFSET('IWP03'!UnitsOfServicePeriod1, 1, 20, 1, 1)</f>
        <v>0</v>
      </c>
      <c r="X201" s="128">
        <f ca="1">IF(OFFSET('IWP03'!UnitsOfServicePeriod1, 1, 21, 1, 1) = "", 0, OFFSET('IWP03'!UnitsOfServicePeriod1, 1, 21, 1, 1))</f>
        <v>0</v>
      </c>
      <c r="Y201" s="137">
        <f ca="1">OFFSET('IWP03'!UnitsOfServicePeriod1, 1, 22, 1, 1)</f>
        <v>0</v>
      </c>
    </row>
    <row r="202" spans="1:25">
      <c r="A202" s="125" t="s">
        <v>431</v>
      </c>
      <c r="B202" s="128">
        <v>1</v>
      </c>
      <c r="C202" s="128">
        <v>3</v>
      </c>
      <c r="D202" s="107">
        <f ca="1">IF(OFFSET('IWP03'!UnitsOfServicePeriod1, 2, 0, 1, 1)=DATE(1900,1,0), DATE(1900,1,1),OFFSET('IWP03'!UnitsOfServicePeriod1, 2, 0, 1, 1))</f>
        <v>1</v>
      </c>
      <c r="E202" s="107">
        <f ca="1">IF(OFFSET('IWP03'!UnitsOfServicePeriod1, 2, 1, 1, 1)=DATE(1900,1,0), DATE(1900,1,1),OFFSET('IWP03'!UnitsOfServicePeriod1, 2, 1, 1, 1))</f>
        <v>1</v>
      </c>
      <c r="F202" s="128">
        <f ca="1">OFFSET('IWP03'!UnitsOfServicePeriod1, 2, 2, 1, 1)</f>
        <v>0</v>
      </c>
      <c r="G202" s="128">
        <f ca="1">IF(OFFSET('IWP03'!UnitsOfServicePeriod1, 2, 3, 1, 1) = "", 0, OFFSET('IWP03'!UnitsOfServicePeriod1, 2, 3, 1, 1))</f>
        <v>0</v>
      </c>
      <c r="H202" s="128">
        <f ca="1">OFFSET('IWP03'!UnitsOfServicePeriod1, 2, 4, 1, 1)</f>
        <v>0</v>
      </c>
      <c r="I202" s="128">
        <f ca="1">IF(OFFSET('IWP03'!UnitsOfServicePeriod1, 2, 5, 1, 1) = "", 0, OFFSET('IWP03'!UnitsOfServicePeriod1, 2, 5, 1, 1))</f>
        <v>0</v>
      </c>
      <c r="J202" s="128">
        <f ca="1">OFFSET('IWP03'!UnitsOfServicePeriod1, 2, 6, 1, 1)</f>
        <v>0</v>
      </c>
      <c r="K202" s="128">
        <f ca="1">IF(OFFSET('IWP03'!UnitsOfServicePeriod1, 2, 7, 1, 1) = "", 0, OFFSET('IWP03'!UnitsOfServicePeriod1, 2, 7, 1, 1))</f>
        <v>0</v>
      </c>
      <c r="L202" s="128">
        <f ca="1">OFFSET('IWP03'!UnitsOfServicePeriod1, 2, 8, 1, 1)</f>
        <v>0</v>
      </c>
      <c r="M202" s="128">
        <f ca="1">IF(OFFSET('IWP03'!UnitsOfServicePeriod1, 2, 9, 1, 1) = "", 0, OFFSET('IWP03'!UnitsOfServicePeriod1, 2, 9, 1, 1))</f>
        <v>0</v>
      </c>
      <c r="N202" s="128">
        <f ca="1">OFFSET('IWP03'!UnitsOfServicePeriod1, 2, 10, 1, 1)</f>
        <v>0</v>
      </c>
      <c r="O202" s="128">
        <f ca="1">IF(OFFSET('IWP03'!UnitsOfServicePeriod1, 2, 11, 1, 1) = "", 0, OFFSET('IWP03'!UnitsOfServicePeriod1, 2, 11, 1, 1))</f>
        <v>0</v>
      </c>
      <c r="P202" s="128">
        <f ca="1">OFFSET('IWP03'!UnitsOfServicePeriod1, 2, 12, 1, 1)</f>
        <v>0</v>
      </c>
      <c r="Q202" s="128">
        <f ca="1">IF(OFFSET('IWP03'!UnitsOfServicePeriod1, 2, 13, 1, 1) = "", 0, OFFSET('IWP03'!UnitsOfServicePeriod1, 2, 13, 1, 1))</f>
        <v>0</v>
      </c>
      <c r="R202" s="128">
        <f ca="1">OFFSET('IWP03'!UnitsOfServicePeriod1, 2, 14, 1, 1)</f>
        <v>0</v>
      </c>
      <c r="S202" s="128">
        <f ca="1">IF(OFFSET('IWP03'!UnitsOfServicePeriod1, 2, 15, 1, 1) = "", 0, OFFSET('IWP03'!UnitsOfServicePeriod1, 2, 15, 1, 1))</f>
        <v>0</v>
      </c>
      <c r="T202" s="128">
        <f ca="1">IF(OFFSET('IWP03'!UnitsOfServicePeriod1, 2, 16, 1, 1) = "", 0, OFFSET('IWP03'!UnitsOfServicePeriod1, 2, 16, 1, 1))</f>
        <v>0</v>
      </c>
      <c r="U202" s="128">
        <f ca="1">OFFSET('IWP03'!UnitsOfServicePeriod1, 2, 17, 1, 1)</f>
        <v>0</v>
      </c>
      <c r="V202" s="128">
        <f ca="1">IF(OFFSET('IWP03'!UnitsOfServicePeriod1, 2, 19, 1, 1) = "", 0, OFFSET('IWP03'!UnitsOfServicePeriod1, 2, 19, 1, 1))</f>
        <v>0</v>
      </c>
      <c r="W202" s="128">
        <f ca="1">OFFSET('IWP03'!UnitsOfServicePeriod1, 2, 20, 1, 1)</f>
        <v>0</v>
      </c>
      <c r="X202" s="128">
        <f ca="1">IF(OFFSET('IWP03'!UnitsOfServicePeriod1, 2, 21, 1, 1) = "", 0, OFFSET('IWP03'!UnitsOfServicePeriod1, 2, 21, 1, 1))</f>
        <v>0</v>
      </c>
      <c r="Y202" s="137">
        <f ca="1">OFFSET('IWP03'!UnitsOfServicePeriod1, 2, 22, 1, 1)</f>
        <v>0</v>
      </c>
    </row>
    <row r="203" spans="1:25">
      <c r="A203" s="125" t="s">
        <v>431</v>
      </c>
      <c r="B203" s="128">
        <v>1</v>
      </c>
      <c r="C203" s="128">
        <v>4</v>
      </c>
      <c r="D203" s="107">
        <f ca="1">IF(OFFSET('IWP03'!UnitsOfServicePeriod1, 3, 0, 1, 1)=DATE(1900,1,0), DATE(1900,1,1),OFFSET('IWP03'!UnitsOfServicePeriod1, 3, 0, 1, 1))</f>
        <v>1</v>
      </c>
      <c r="E203" s="107">
        <f ca="1">IF(OFFSET('IWP03'!UnitsOfServicePeriod1, 3, 1, 1, 1)=DATE(1900,1,0), DATE(1900,1,1),OFFSET('IWP03'!UnitsOfServicePeriod1, 3, 1, 1, 1))</f>
        <v>1</v>
      </c>
      <c r="F203" s="128">
        <f ca="1">OFFSET('IWP03'!UnitsOfServicePeriod1, 3, 2, 1, 1)</f>
        <v>0</v>
      </c>
      <c r="G203" s="128">
        <f ca="1">IF(OFFSET('IWP03'!UnitsOfServicePeriod1, 3, 3, 1, 1) = "", 0, OFFSET('IWP03'!UnitsOfServicePeriod1, 3, 3, 1, 1))</f>
        <v>0</v>
      </c>
      <c r="H203" s="128">
        <f ca="1">OFFSET('IWP03'!UnitsOfServicePeriod1, 3, 4, 1, 1)</f>
        <v>0</v>
      </c>
      <c r="I203" s="128">
        <f ca="1">IF(OFFSET('IWP03'!UnitsOfServicePeriod1, 3, 5, 1, 1) = "", 0, OFFSET('IWP03'!UnitsOfServicePeriod1, 3, 5, 1, 1))</f>
        <v>0</v>
      </c>
      <c r="J203" s="128">
        <f ca="1">OFFSET('IWP03'!UnitsOfServicePeriod1, 3, 6, 1, 1)</f>
        <v>0</v>
      </c>
      <c r="K203" s="128">
        <f ca="1">IF(OFFSET('IWP03'!UnitsOfServicePeriod1, 3, 7, 1, 1) = "", 0, OFFSET('IWP03'!UnitsOfServicePeriod1, 3, 7, 1, 1))</f>
        <v>0</v>
      </c>
      <c r="L203" s="128">
        <f ca="1">OFFSET('IWP03'!UnitsOfServicePeriod1, 3, 8, 1, 1)</f>
        <v>0</v>
      </c>
      <c r="M203" s="128">
        <f ca="1">IF(OFFSET('IWP03'!UnitsOfServicePeriod1, 3, 9, 1, 1) = "", 0, OFFSET('IWP03'!UnitsOfServicePeriod1, 3, 9, 1, 1))</f>
        <v>0</v>
      </c>
      <c r="N203" s="128">
        <f ca="1">OFFSET('IWP03'!UnitsOfServicePeriod1, 3, 10, 1, 1)</f>
        <v>0</v>
      </c>
      <c r="O203" s="128">
        <f ca="1">IF(OFFSET('IWP03'!UnitsOfServicePeriod1, 3, 11, 1, 1) = "", 0, OFFSET('IWP03'!UnitsOfServicePeriod1, 3, 11, 1, 1))</f>
        <v>0</v>
      </c>
      <c r="P203" s="128">
        <f ca="1">OFFSET('IWP03'!UnitsOfServicePeriod1, 3, 12, 1, 1)</f>
        <v>0</v>
      </c>
      <c r="Q203" s="128">
        <f ca="1">IF(OFFSET('IWP03'!UnitsOfServicePeriod1, 3, 13, 1, 1) = "", 0, OFFSET('IWP03'!UnitsOfServicePeriod1, 3, 13, 1, 1))</f>
        <v>0</v>
      </c>
      <c r="R203" s="128">
        <f ca="1">OFFSET('IWP03'!UnitsOfServicePeriod1, 3, 14, 1, 1)</f>
        <v>0</v>
      </c>
      <c r="S203" s="128">
        <f ca="1">IF(OFFSET('IWP03'!UnitsOfServicePeriod1, 3, 15, 1, 1) = "", 0, OFFSET('IWP03'!UnitsOfServicePeriod1, 3, 15, 1, 1))</f>
        <v>0</v>
      </c>
      <c r="T203" s="128">
        <f ca="1">IF(OFFSET('IWP03'!UnitsOfServicePeriod1, 3, 16, 1, 1) = "", 0, OFFSET('IWP03'!UnitsOfServicePeriod1, 3, 16, 1, 1))</f>
        <v>0</v>
      </c>
      <c r="U203" s="128">
        <f ca="1">OFFSET('IWP03'!UnitsOfServicePeriod1, 3, 17, 1, 1)</f>
        <v>0</v>
      </c>
      <c r="V203" s="128">
        <f ca="1">IF(OFFSET('IWP03'!UnitsOfServicePeriod1, 3, 19, 1, 1) = "", 0, OFFSET('IWP03'!UnitsOfServicePeriod1, 3, 19, 1, 1))</f>
        <v>0</v>
      </c>
      <c r="W203" s="128">
        <f ca="1">OFFSET('IWP03'!UnitsOfServicePeriod1, 3, 20, 1, 1)</f>
        <v>0</v>
      </c>
      <c r="X203" s="128">
        <f ca="1">IF(OFFSET('IWP03'!UnitsOfServicePeriod1, 3, 21, 1, 1) = "", 0, OFFSET('IWP03'!UnitsOfServicePeriod1, 3, 21, 1, 1))</f>
        <v>0</v>
      </c>
      <c r="Y203" s="137">
        <f ca="1">OFFSET('IWP03'!UnitsOfServicePeriod1, 3, 22, 1, 1)</f>
        <v>0</v>
      </c>
    </row>
    <row r="204" spans="1:25">
      <c r="A204" s="125" t="s">
        <v>431</v>
      </c>
      <c r="B204" s="128">
        <v>1</v>
      </c>
      <c r="C204" s="128">
        <v>5</v>
      </c>
      <c r="D204" s="107">
        <f ca="1">IF(OFFSET('IWP03'!UnitsOfServicePeriod1, 4, 0, 1, 1)=DATE(1900,1,0), DATE(1900,1,1),OFFSET('IWP03'!UnitsOfServicePeriod1, 4, 0, 1, 1))</f>
        <v>1</v>
      </c>
      <c r="E204" s="107">
        <f ca="1">IF(OFFSET('IWP03'!UnitsOfServicePeriod1, 4, 1, 1, 1)=DATE(1900,1,0), DATE(1900,1,1),OFFSET('IWP03'!UnitsOfServicePeriod1, 4, 1, 1, 1))</f>
        <v>1</v>
      </c>
      <c r="F204" s="128">
        <f ca="1">OFFSET('IWP03'!UnitsOfServicePeriod1, 4, 2, 1, 1)</f>
        <v>0</v>
      </c>
      <c r="G204" s="128">
        <f ca="1">IF(OFFSET('IWP03'!UnitsOfServicePeriod1, 4, 3, 1, 1) = "", 0, OFFSET('IWP03'!UnitsOfServicePeriod1, 4, 3, 1, 1))</f>
        <v>0</v>
      </c>
      <c r="H204" s="128">
        <f ca="1">OFFSET('IWP03'!UnitsOfServicePeriod1, 4, 4, 1, 1)</f>
        <v>0</v>
      </c>
      <c r="I204" s="128">
        <f ca="1">IF(OFFSET('IWP03'!UnitsOfServicePeriod1, 4, 5, 1, 1) = "", 0, OFFSET('IWP03'!UnitsOfServicePeriod1, 4, 5, 1, 1))</f>
        <v>0</v>
      </c>
      <c r="J204" s="128">
        <f ca="1">OFFSET('IWP03'!UnitsOfServicePeriod1, 4, 6, 1, 1)</f>
        <v>0</v>
      </c>
      <c r="K204" s="128">
        <f ca="1">IF(OFFSET('IWP03'!UnitsOfServicePeriod1, 4, 7, 1, 1) = "", 0, OFFSET('IWP03'!UnitsOfServicePeriod1, 4, 7, 1, 1))</f>
        <v>0</v>
      </c>
      <c r="L204" s="128">
        <f ca="1">OFFSET('IWP03'!UnitsOfServicePeriod1, 4, 8, 1, 1)</f>
        <v>0</v>
      </c>
      <c r="M204" s="128">
        <f ca="1">IF(OFFSET('IWP03'!UnitsOfServicePeriod1, 4, 9, 1, 1) = "", 0, OFFSET('IWP03'!UnitsOfServicePeriod1, 4, 9, 1, 1))</f>
        <v>0</v>
      </c>
      <c r="N204" s="128">
        <f ca="1">OFFSET('IWP03'!UnitsOfServicePeriod1, 4, 10, 1, 1)</f>
        <v>0</v>
      </c>
      <c r="O204" s="128">
        <f ca="1">IF(OFFSET('IWP03'!UnitsOfServicePeriod1, 4, 11, 1, 1) = "", 0, OFFSET('IWP03'!UnitsOfServicePeriod1, 4, 11, 1, 1))</f>
        <v>0</v>
      </c>
      <c r="P204" s="128">
        <f ca="1">OFFSET('IWP03'!UnitsOfServicePeriod1, 4, 12, 1, 1)</f>
        <v>0</v>
      </c>
      <c r="Q204" s="128">
        <f ca="1">IF(OFFSET('IWP03'!UnitsOfServicePeriod1, 4, 13, 1, 1) = "", 0, OFFSET('IWP03'!UnitsOfServicePeriod1, 4, 13, 1, 1))</f>
        <v>0</v>
      </c>
      <c r="R204" s="128">
        <f ca="1">OFFSET('IWP03'!UnitsOfServicePeriod1, 4, 14, 1, 1)</f>
        <v>0</v>
      </c>
      <c r="S204" s="128">
        <f ca="1">IF(OFFSET('IWP03'!UnitsOfServicePeriod1, 4, 15, 1, 1) = "", 0, OFFSET('IWP03'!UnitsOfServicePeriod1, 4, 15, 1, 1))</f>
        <v>0</v>
      </c>
      <c r="T204" s="128">
        <f ca="1">IF(OFFSET('IWP03'!UnitsOfServicePeriod1, 4, 16, 1, 1) = "", 0, OFFSET('IWP03'!UnitsOfServicePeriod1, 4, 16, 1, 1))</f>
        <v>0</v>
      </c>
      <c r="U204" s="128">
        <f ca="1">OFFSET('IWP03'!UnitsOfServicePeriod1, 4, 17, 1, 1)</f>
        <v>0</v>
      </c>
      <c r="V204" s="128">
        <f ca="1">IF(OFFSET('IWP03'!UnitsOfServicePeriod1, 4, 19, 1, 1) = "", 0, OFFSET('IWP03'!UnitsOfServicePeriod1, 4, 19, 1, 1))</f>
        <v>0</v>
      </c>
      <c r="W204" s="128">
        <f ca="1">OFFSET('IWP03'!UnitsOfServicePeriod1, 4, 20, 1, 1)</f>
        <v>0</v>
      </c>
      <c r="X204" s="128">
        <f ca="1">IF(OFFSET('IWP03'!UnitsOfServicePeriod1, 4, 21, 1, 1) = "", 0, OFFSET('IWP03'!UnitsOfServicePeriod1, 4, 21, 1, 1))</f>
        <v>0</v>
      </c>
      <c r="Y204" s="137">
        <f ca="1">OFFSET('IWP03'!UnitsOfServicePeriod1, 4, 22, 1, 1)</f>
        <v>0</v>
      </c>
    </row>
    <row r="205" spans="1:25">
      <c r="A205" s="125" t="s">
        <v>431</v>
      </c>
      <c r="B205" s="128">
        <v>1</v>
      </c>
      <c r="C205" s="128">
        <v>6</v>
      </c>
      <c r="D205" s="107">
        <f ca="1">IF(OFFSET('IWP03'!UnitsOfServicePeriod1, 5, 0, 1, 1)=DATE(1900,1,0), DATE(1900,1,1),OFFSET('IWP03'!UnitsOfServicePeriod1, 5, 0, 1, 1))</f>
        <v>1</v>
      </c>
      <c r="E205" s="107">
        <f ca="1">IF(OFFSET('IWP03'!UnitsOfServicePeriod1, 5, 1, 1, 1)=DATE(1900,1,0), DATE(1900,1,1),OFFSET('IWP03'!UnitsOfServicePeriod1, 5, 1, 1, 1))</f>
        <v>1</v>
      </c>
      <c r="F205" s="128">
        <f ca="1">OFFSET('IWP03'!UnitsOfServicePeriod1, 5, 2, 1, 1)</f>
        <v>0</v>
      </c>
      <c r="G205" s="128">
        <f ca="1">IF(OFFSET('IWP03'!UnitsOfServicePeriod1, 5, 3, 1, 1) = "", 0, OFFSET('IWP03'!UnitsOfServicePeriod1, 5, 3, 1, 1))</f>
        <v>0</v>
      </c>
      <c r="H205" s="128">
        <f ca="1">OFFSET('IWP03'!UnitsOfServicePeriod1, 5, 4, 1, 1)</f>
        <v>0</v>
      </c>
      <c r="I205" s="128">
        <f ca="1">IF(OFFSET('IWP03'!UnitsOfServicePeriod1, 5, 5, 1, 1) = "", 0, OFFSET('IWP03'!UnitsOfServicePeriod1, 5, 5, 1, 1))</f>
        <v>0</v>
      </c>
      <c r="J205" s="128">
        <f ca="1">OFFSET('IWP03'!UnitsOfServicePeriod1, 5, 6, 1, 1)</f>
        <v>0</v>
      </c>
      <c r="K205" s="128">
        <f ca="1">IF(OFFSET('IWP03'!UnitsOfServicePeriod1, 5, 7, 1, 1) = "", 0, OFFSET('IWP03'!UnitsOfServicePeriod1, 5, 7, 1, 1))</f>
        <v>0</v>
      </c>
      <c r="L205" s="128">
        <f ca="1">OFFSET('IWP03'!UnitsOfServicePeriod1, 5, 8, 1, 1)</f>
        <v>0</v>
      </c>
      <c r="M205" s="128">
        <f ca="1">IF(OFFSET('IWP03'!UnitsOfServicePeriod1, 5, 9, 1, 1) = "", 0, OFFSET('IWP03'!UnitsOfServicePeriod1, 5, 9, 1, 1))</f>
        <v>0</v>
      </c>
      <c r="N205" s="128">
        <f ca="1">OFFSET('IWP03'!UnitsOfServicePeriod1, 5, 10, 1, 1)</f>
        <v>0</v>
      </c>
      <c r="O205" s="128">
        <f ca="1">IF(OFFSET('IWP03'!UnitsOfServicePeriod1, 5, 11, 1, 1) = "", 0, OFFSET('IWP03'!UnitsOfServicePeriod1, 5, 11, 1, 1))</f>
        <v>0</v>
      </c>
      <c r="P205" s="128">
        <f ca="1">OFFSET('IWP03'!UnitsOfServicePeriod1, 5, 12, 1, 1)</f>
        <v>0</v>
      </c>
      <c r="Q205" s="128">
        <f ca="1">IF(OFFSET('IWP03'!UnitsOfServicePeriod1, 5, 13, 1, 1) = "", 0, OFFSET('IWP03'!UnitsOfServicePeriod1, 5, 13, 1, 1))</f>
        <v>0</v>
      </c>
      <c r="R205" s="128">
        <f ca="1">OFFSET('IWP03'!UnitsOfServicePeriod1, 5, 14, 1, 1)</f>
        <v>0</v>
      </c>
      <c r="S205" s="128">
        <f ca="1">IF(OFFSET('IWP03'!UnitsOfServicePeriod1, 5, 15, 1, 1) = "", 0, OFFSET('IWP03'!UnitsOfServicePeriod1, 5, 15, 1, 1))</f>
        <v>0</v>
      </c>
      <c r="T205" s="128">
        <f ca="1">IF(OFFSET('IWP03'!UnitsOfServicePeriod1, 5, 16, 1, 1) = "", 0, OFFSET('IWP03'!UnitsOfServicePeriod1, 5, 16, 1, 1))</f>
        <v>0</v>
      </c>
      <c r="U205" s="128">
        <f ca="1">OFFSET('IWP03'!UnitsOfServicePeriod1, 5, 17, 1, 1)</f>
        <v>0</v>
      </c>
      <c r="V205" s="128">
        <f ca="1">IF(OFFSET('IWP03'!UnitsOfServicePeriod1, 5, 19, 1, 1) = "", 0, OFFSET('IWP03'!UnitsOfServicePeriod1, 5, 19, 1, 1))</f>
        <v>0</v>
      </c>
      <c r="W205" s="128">
        <f ca="1">OFFSET('IWP03'!UnitsOfServicePeriod1, 5, 20, 1, 1)</f>
        <v>0</v>
      </c>
      <c r="X205" s="128">
        <f ca="1">IF(OFFSET('IWP03'!UnitsOfServicePeriod1, 5, 21, 1, 1) = "", 0, OFFSET('IWP03'!UnitsOfServicePeriod1, 5, 21, 1, 1))</f>
        <v>0</v>
      </c>
      <c r="Y205" s="137">
        <f ca="1">OFFSET('IWP03'!UnitsOfServicePeriod1, 5, 22, 1, 1)</f>
        <v>0</v>
      </c>
    </row>
    <row r="206" spans="1:25">
      <c r="A206" s="125" t="s">
        <v>431</v>
      </c>
      <c r="B206" s="128">
        <v>2</v>
      </c>
      <c r="C206" s="128">
        <v>1</v>
      </c>
      <c r="D206" s="107">
        <f ca="1">IF(OFFSET('IWP03'!UnitsOfServicePeriod2, 0, 0, 1, 1)=DATE(1900,1,0), DATE(1900,1,1),OFFSET('IWP03'!UnitsOfServicePeriod2, 0, 0, 1, 1))</f>
        <v>1</v>
      </c>
      <c r="E206" s="107">
        <f ca="1">IF(OFFSET('IWP03'!UnitsOfServicePeriod2, 0, 1, 1, 1)=DATE(1900,1,0), DATE(1900,1,1),OFFSET('IWP03'!UnitsOfServicePeriod2, 0, 1, 1, 1))</f>
        <v>1</v>
      </c>
      <c r="F206" s="128">
        <f ca="1">OFFSET('IWP03'!UnitsOfServicePeriod2, 0, 2, 1, 1)</f>
        <v>0</v>
      </c>
      <c r="G206" s="128">
        <f ca="1">IF(OFFSET('IWP03'!UnitsOfServicePeriod2, 0, 3, 1, 1) = "", 0, OFFSET('IWP03'!UnitsOfServicePeriod2, 0, 3, 1, 1))</f>
        <v>0</v>
      </c>
      <c r="H206" s="128">
        <f ca="1">OFFSET('IWP03'!UnitsOfServicePeriod2, 0, 4, 1, 1)</f>
        <v>0</v>
      </c>
      <c r="I206" s="128">
        <f ca="1">IF(OFFSET('IWP03'!UnitsOfServicePeriod2, 0, 5, 1, 1) = "", 0, OFFSET('IWP03'!UnitsOfServicePeriod2, 0, 5, 1, 1))</f>
        <v>0</v>
      </c>
      <c r="J206" s="128">
        <f ca="1">OFFSET('IWP03'!UnitsOfServicePeriod2, 0, 6, 1, 1)</f>
        <v>0</v>
      </c>
      <c r="K206" s="128">
        <f ca="1">IF(OFFSET('IWP03'!UnitsOfServicePeriod2, 0, 7, 1, 1) = "", 0, OFFSET('IWP03'!UnitsOfServicePeriod2, 0, 7, 1, 1))</f>
        <v>0</v>
      </c>
      <c r="L206" s="128">
        <f ca="1">OFFSET('IWP03'!UnitsOfServicePeriod2, 0, 8, 1, 1)</f>
        <v>0</v>
      </c>
      <c r="M206" s="128">
        <f ca="1">IF(OFFSET('IWP03'!UnitsOfServicePeriod2, 0, 9, 1, 1) = "", 0, OFFSET('IWP03'!UnitsOfServicePeriod2, 0, 9, 1, 1))</f>
        <v>0</v>
      </c>
      <c r="N206" s="128">
        <f ca="1">OFFSET('IWP03'!UnitsOfServicePeriod2, 0, 10, 1, 1)</f>
        <v>0</v>
      </c>
      <c r="O206" s="128">
        <f ca="1">IF(OFFSET('IWP03'!UnitsOfServicePeriod2, 0, 11, 1, 1) = "", 0, OFFSET('IWP03'!UnitsOfServicePeriod2, 0, 11, 1, 1))</f>
        <v>0</v>
      </c>
      <c r="P206" s="128">
        <f ca="1">OFFSET('IWP03'!UnitsOfServicePeriod2, 0, 12, 1, 1)</f>
        <v>0</v>
      </c>
      <c r="Q206" s="128">
        <f ca="1">IF(OFFSET('IWP03'!UnitsOfServicePeriod2, 0, 13, 1, 1) = "", 0, OFFSET('IWP03'!UnitsOfServicePeriod2, 0, 13, 1, 1))</f>
        <v>0</v>
      </c>
      <c r="R206" s="128">
        <f ca="1">OFFSET('IWP03'!UnitsOfServicePeriod2, 0, 14, 1, 1)</f>
        <v>0</v>
      </c>
      <c r="S206" s="128">
        <f ca="1">IF(OFFSET('IWP03'!UnitsOfServicePeriod2, 0, 15, 1, 1) = "", 0, OFFSET('IWP03'!UnitsOfServicePeriod2, 0, 15, 1, 1))</f>
        <v>0</v>
      </c>
      <c r="T206" s="128">
        <f ca="1">IF(OFFSET('IWP03'!UnitsOfServicePeriod2, 0, 16, 1, 1) = "", 0, OFFSET('IWP03'!UnitsOfServicePeriod2, 0, 16, 1, 1))</f>
        <v>0</v>
      </c>
      <c r="U206" s="128">
        <f ca="1">OFFSET('IWP03'!UnitsOfServicePeriod2, 0, 17, 1, 1)</f>
        <v>0</v>
      </c>
      <c r="V206" s="128">
        <f ca="1">IF(OFFSET('IWP03'!UnitsOfServicePeriod2, 0, 19, 1, 1) = "", 0, OFFSET('IWP03'!UnitsOfServicePeriod2, 0, 19, 1, 1))</f>
        <v>0</v>
      </c>
      <c r="W206" s="128">
        <f ca="1">OFFSET('IWP03'!UnitsOfServicePeriod2, 0, 20, 1, 1)</f>
        <v>0</v>
      </c>
      <c r="X206" s="128">
        <f ca="1">IF(OFFSET('IWP03'!UnitsOfServicePeriod2, 0, 21, 1, 1) = "", 0, OFFSET('IWP03'!UnitsOfServicePeriod2, 0, 21, 1, 1))</f>
        <v>0</v>
      </c>
      <c r="Y206" s="137">
        <f ca="1">OFFSET('IWP03'!UnitsOfServicePeriod2, 0, 22, 1, 1)</f>
        <v>0</v>
      </c>
    </row>
    <row r="207" spans="1:25">
      <c r="A207" s="125" t="s">
        <v>431</v>
      </c>
      <c r="B207" s="128">
        <v>2</v>
      </c>
      <c r="C207" s="128">
        <v>2</v>
      </c>
      <c r="D207" s="107">
        <f ca="1">IF(OFFSET('IWP03'!UnitsOfServicePeriod2, 1, 0, 1, 1)=DATE(1900,1,0), DATE(1900,1,1),OFFSET('IWP03'!UnitsOfServicePeriod2, 1, 0, 1, 1))</f>
        <v>1</v>
      </c>
      <c r="E207" s="107">
        <f ca="1">IF(OFFSET('IWP03'!UnitsOfServicePeriod2, 1, 1, 1, 1)=DATE(1900,1,0), DATE(1900,1,1),OFFSET('IWP03'!UnitsOfServicePeriod2, 1, 1, 1, 1))</f>
        <v>1</v>
      </c>
      <c r="F207" s="128">
        <f ca="1">OFFSET('IWP03'!UnitsOfServicePeriod2, 1, 2, 1, 1)</f>
        <v>0</v>
      </c>
      <c r="G207" s="128">
        <f ca="1">IF(OFFSET('IWP03'!UnitsOfServicePeriod2, 1, 3, 1, 1) = "", 0, OFFSET('IWP03'!UnitsOfServicePeriod2, 1, 3, 1, 1))</f>
        <v>0</v>
      </c>
      <c r="H207" s="128">
        <f ca="1">OFFSET('IWP03'!UnitsOfServicePeriod2, 1, 4, 1, 1)</f>
        <v>0</v>
      </c>
      <c r="I207" s="128">
        <f ca="1">IF(OFFSET('IWP03'!UnitsOfServicePeriod2, 1, 5, 1, 1) = "", 0, OFFSET('IWP03'!UnitsOfServicePeriod2, 1, 5, 1, 1))</f>
        <v>0</v>
      </c>
      <c r="J207" s="128">
        <f ca="1">OFFSET('IWP03'!UnitsOfServicePeriod2, 1, 6, 1, 1)</f>
        <v>0</v>
      </c>
      <c r="K207" s="128">
        <f ca="1">IF(OFFSET('IWP03'!UnitsOfServicePeriod2, 1, 7, 1, 1) = "", 0, OFFSET('IWP03'!UnitsOfServicePeriod2, 1, 7, 1, 1))</f>
        <v>0</v>
      </c>
      <c r="L207" s="128">
        <f ca="1">OFFSET('IWP03'!UnitsOfServicePeriod2, 1, 8, 1, 1)</f>
        <v>0</v>
      </c>
      <c r="M207" s="128">
        <f ca="1">IF(OFFSET('IWP03'!UnitsOfServicePeriod2, 1, 9, 1, 1) = "", 0, OFFSET('IWP03'!UnitsOfServicePeriod2, 1, 9, 1, 1))</f>
        <v>0</v>
      </c>
      <c r="N207" s="128">
        <f ca="1">OFFSET('IWP03'!UnitsOfServicePeriod2, 1, 10, 1, 1)</f>
        <v>0</v>
      </c>
      <c r="O207" s="128">
        <f ca="1">IF(OFFSET('IWP03'!UnitsOfServicePeriod2, 1, 11, 1, 1) = "", 0, OFFSET('IWP03'!UnitsOfServicePeriod2, 1, 11, 1, 1))</f>
        <v>0</v>
      </c>
      <c r="P207" s="128">
        <f ca="1">OFFSET('IWP03'!UnitsOfServicePeriod2, 1, 12, 1, 1)</f>
        <v>0</v>
      </c>
      <c r="Q207" s="128">
        <f ca="1">IF(OFFSET('IWP03'!UnitsOfServicePeriod2, 1, 13, 1, 1) = "", 0, OFFSET('IWP03'!UnitsOfServicePeriod2, 1, 13, 1, 1))</f>
        <v>0</v>
      </c>
      <c r="R207" s="128">
        <f ca="1">OFFSET('IWP03'!UnitsOfServicePeriod2, 1, 14, 1, 1)</f>
        <v>0</v>
      </c>
      <c r="S207" s="128">
        <f ca="1">IF(OFFSET('IWP03'!UnitsOfServicePeriod2, 1, 15, 1, 1) = "", 0, OFFSET('IWP03'!UnitsOfServicePeriod2, 1, 15, 1, 1))</f>
        <v>0</v>
      </c>
      <c r="T207" s="128">
        <f ca="1">IF(OFFSET('IWP03'!UnitsOfServicePeriod2, 1, 16, 1, 1) = "", 0, OFFSET('IWP03'!UnitsOfServicePeriod2, 1, 16, 1, 1))</f>
        <v>0</v>
      </c>
      <c r="U207" s="128">
        <f ca="1">OFFSET('IWP03'!UnitsOfServicePeriod2, 1, 17, 1, 1)</f>
        <v>0</v>
      </c>
      <c r="V207" s="128">
        <f ca="1">IF(OFFSET('IWP03'!UnitsOfServicePeriod2, 1, 19, 1, 1) = "", 0, OFFSET('IWP03'!UnitsOfServicePeriod2, 1, 19, 1, 1))</f>
        <v>0</v>
      </c>
      <c r="W207" s="128">
        <f ca="1">OFFSET('IWP03'!UnitsOfServicePeriod2, 1, 20, 1, 1)</f>
        <v>0</v>
      </c>
      <c r="X207" s="128">
        <f ca="1">IF(OFFSET('IWP03'!UnitsOfServicePeriod2, 1, 21, 1, 1) = "", 0, OFFSET('IWP03'!UnitsOfServicePeriod2, 1, 21, 1, 1))</f>
        <v>0</v>
      </c>
      <c r="Y207" s="137">
        <f ca="1">OFFSET('IWP03'!UnitsOfServicePeriod2, 1, 22, 1, 1)</f>
        <v>0</v>
      </c>
    </row>
    <row r="208" spans="1:25">
      <c r="A208" s="125" t="s">
        <v>431</v>
      </c>
      <c r="B208" s="128">
        <v>2</v>
      </c>
      <c r="C208" s="128">
        <v>3</v>
      </c>
      <c r="D208" s="107">
        <f ca="1">IF(OFFSET('IWP03'!UnitsOfServicePeriod2, 2, 0, 1, 1)=DATE(1900,1,0), DATE(1900,1,1),OFFSET('IWP03'!UnitsOfServicePeriod2, 2, 0, 1, 1))</f>
        <v>1</v>
      </c>
      <c r="E208" s="107">
        <f ca="1">IF(OFFSET('IWP03'!UnitsOfServicePeriod2, 2, 1, 1, 1)=DATE(1900,1,0), DATE(1900,1,1),OFFSET('IWP03'!UnitsOfServicePeriod2, 2, 1, 1, 1))</f>
        <v>1</v>
      </c>
      <c r="F208" s="128">
        <f ca="1">OFFSET('IWP03'!UnitsOfServicePeriod2, 2, 2, 1, 1)</f>
        <v>0</v>
      </c>
      <c r="G208" s="128">
        <f ca="1">IF(OFFSET('IWP03'!UnitsOfServicePeriod2, 2, 3, 1, 1) = "", 0, OFFSET('IWP03'!UnitsOfServicePeriod2, 2, 3, 1, 1))</f>
        <v>0</v>
      </c>
      <c r="H208" s="128">
        <f ca="1">OFFSET('IWP03'!UnitsOfServicePeriod2, 2, 4, 1, 1)</f>
        <v>0</v>
      </c>
      <c r="I208" s="128">
        <f ca="1">IF(OFFSET('IWP03'!UnitsOfServicePeriod2, 2, 5, 1, 1) = "", 0, OFFSET('IWP03'!UnitsOfServicePeriod2, 2, 5, 1, 1))</f>
        <v>0</v>
      </c>
      <c r="J208" s="128">
        <f ca="1">OFFSET('IWP03'!UnitsOfServicePeriod2, 2, 6, 1, 1)</f>
        <v>0</v>
      </c>
      <c r="K208" s="128">
        <f ca="1">IF(OFFSET('IWP03'!UnitsOfServicePeriod2, 2, 7, 1, 1) = "", 0, OFFSET('IWP03'!UnitsOfServicePeriod2, 2, 7, 1, 1))</f>
        <v>0</v>
      </c>
      <c r="L208" s="128">
        <f ca="1">OFFSET('IWP03'!UnitsOfServicePeriod2, 2, 8, 1, 1)</f>
        <v>0</v>
      </c>
      <c r="M208" s="128">
        <f ca="1">IF(OFFSET('IWP03'!UnitsOfServicePeriod2, 2, 9, 1, 1) = "", 0, OFFSET('IWP03'!UnitsOfServicePeriod2, 2, 9, 1, 1))</f>
        <v>0</v>
      </c>
      <c r="N208" s="128">
        <f ca="1">OFFSET('IWP03'!UnitsOfServicePeriod2, 2, 10, 1, 1)</f>
        <v>0</v>
      </c>
      <c r="O208" s="128">
        <f ca="1">IF(OFFSET('IWP03'!UnitsOfServicePeriod2, 2, 11, 1, 1) = "", 0, OFFSET('IWP03'!UnitsOfServicePeriod2, 2, 11, 1, 1))</f>
        <v>0</v>
      </c>
      <c r="P208" s="128">
        <f ca="1">OFFSET('IWP03'!UnitsOfServicePeriod2, 2, 12, 1, 1)</f>
        <v>0</v>
      </c>
      <c r="Q208" s="128">
        <f ca="1">IF(OFFSET('IWP03'!UnitsOfServicePeriod2, 2, 13, 1, 1) = "", 0, OFFSET('IWP03'!UnitsOfServicePeriod2, 2, 13, 1, 1))</f>
        <v>0</v>
      </c>
      <c r="R208" s="128">
        <f ca="1">OFFSET('IWP03'!UnitsOfServicePeriod2, 2, 14, 1, 1)</f>
        <v>0</v>
      </c>
      <c r="S208" s="128">
        <f ca="1">IF(OFFSET('IWP03'!UnitsOfServicePeriod2, 2, 15, 1, 1) = "", 0, OFFSET('IWP03'!UnitsOfServicePeriod2, 2, 15, 1, 1))</f>
        <v>0</v>
      </c>
      <c r="T208" s="128">
        <f ca="1">IF(OFFSET('IWP03'!UnitsOfServicePeriod2, 2, 16, 1, 1) = "", 0, OFFSET('IWP03'!UnitsOfServicePeriod2, 2, 16, 1, 1))</f>
        <v>0</v>
      </c>
      <c r="U208" s="128">
        <f ca="1">OFFSET('IWP03'!UnitsOfServicePeriod2, 2, 17, 1, 1)</f>
        <v>0</v>
      </c>
      <c r="V208" s="128">
        <f ca="1">IF(OFFSET('IWP03'!UnitsOfServicePeriod2, 2, 19, 1, 1) = "", 0, OFFSET('IWP03'!UnitsOfServicePeriod2, 2, 19, 1, 1))</f>
        <v>0</v>
      </c>
      <c r="W208" s="128">
        <f ca="1">OFFSET('IWP03'!UnitsOfServicePeriod2, 2, 20, 1, 1)</f>
        <v>0</v>
      </c>
      <c r="X208" s="128">
        <f ca="1">IF(OFFSET('IWP03'!UnitsOfServicePeriod2, 2, 21, 1, 1) = "", 0, OFFSET('IWP03'!UnitsOfServicePeriod2, 2, 21, 1, 1))</f>
        <v>0</v>
      </c>
      <c r="Y208" s="137">
        <f ca="1">OFFSET('IWP03'!UnitsOfServicePeriod2, 2, 22, 1, 1)</f>
        <v>0</v>
      </c>
    </row>
    <row r="209" spans="1:25">
      <c r="A209" s="125" t="s">
        <v>431</v>
      </c>
      <c r="B209" s="128">
        <v>2</v>
      </c>
      <c r="C209" s="128">
        <v>4</v>
      </c>
      <c r="D209" s="107">
        <f ca="1">IF(OFFSET('IWP03'!UnitsOfServicePeriod2, 3, 0, 1, 1)=DATE(1900,1,0), DATE(1900,1,1),OFFSET('IWP03'!UnitsOfServicePeriod2, 3, 0, 1, 1))</f>
        <v>1</v>
      </c>
      <c r="E209" s="107">
        <f ca="1">IF(OFFSET('IWP03'!UnitsOfServicePeriod2, 3, 1, 1, 1)=DATE(1900,1,0), DATE(1900,1,1),OFFSET('IWP03'!UnitsOfServicePeriod2, 3, 1, 1, 1))</f>
        <v>1</v>
      </c>
      <c r="F209" s="128">
        <f ca="1">OFFSET('IWP03'!UnitsOfServicePeriod2, 3, 2, 1, 1)</f>
        <v>0</v>
      </c>
      <c r="G209" s="128">
        <f ca="1">IF(OFFSET('IWP03'!UnitsOfServicePeriod2, 3, 3, 1, 1) = "", 0, OFFSET('IWP03'!UnitsOfServicePeriod2, 3, 3, 1, 1))</f>
        <v>0</v>
      </c>
      <c r="H209" s="128">
        <f ca="1">OFFSET('IWP03'!UnitsOfServicePeriod2, 3, 4, 1, 1)</f>
        <v>0</v>
      </c>
      <c r="I209" s="128">
        <f ca="1">IF(OFFSET('IWP03'!UnitsOfServicePeriod2, 3, 5, 1, 1) = "", 0, OFFSET('IWP03'!UnitsOfServicePeriod2, 3, 5, 1, 1))</f>
        <v>0</v>
      </c>
      <c r="J209" s="128">
        <f ca="1">OFFSET('IWP03'!UnitsOfServicePeriod2, 3, 6, 1, 1)</f>
        <v>0</v>
      </c>
      <c r="K209" s="128">
        <f ca="1">IF(OFFSET('IWP03'!UnitsOfServicePeriod2, 3, 7, 1, 1) = "", 0, OFFSET('IWP03'!UnitsOfServicePeriod2, 3, 7, 1, 1))</f>
        <v>0</v>
      </c>
      <c r="L209" s="128">
        <f ca="1">OFFSET('IWP03'!UnitsOfServicePeriod2, 3, 8, 1, 1)</f>
        <v>0</v>
      </c>
      <c r="M209" s="128">
        <f ca="1">IF(OFFSET('IWP03'!UnitsOfServicePeriod2, 3, 9, 1, 1) = "", 0, OFFSET('IWP03'!UnitsOfServicePeriod2, 3, 9, 1, 1))</f>
        <v>0</v>
      </c>
      <c r="N209" s="128">
        <f ca="1">OFFSET('IWP03'!UnitsOfServicePeriod2, 3, 10, 1, 1)</f>
        <v>0</v>
      </c>
      <c r="O209" s="128">
        <f ca="1">IF(OFFSET('IWP03'!UnitsOfServicePeriod2, 3, 11, 1, 1) = "", 0, OFFSET('IWP03'!UnitsOfServicePeriod2, 3, 11, 1, 1))</f>
        <v>0</v>
      </c>
      <c r="P209" s="128">
        <f ca="1">OFFSET('IWP03'!UnitsOfServicePeriod2, 3, 12, 1, 1)</f>
        <v>0</v>
      </c>
      <c r="Q209" s="128">
        <f ca="1">IF(OFFSET('IWP03'!UnitsOfServicePeriod2, 3, 13, 1, 1) = "", 0, OFFSET('IWP03'!UnitsOfServicePeriod2, 3, 13, 1, 1))</f>
        <v>0</v>
      </c>
      <c r="R209" s="128">
        <f ca="1">OFFSET('IWP03'!UnitsOfServicePeriod2, 3, 14, 1, 1)</f>
        <v>0</v>
      </c>
      <c r="S209" s="128">
        <f ca="1">IF(OFFSET('IWP03'!UnitsOfServicePeriod2, 3, 15, 1, 1) = "", 0, OFFSET('IWP03'!UnitsOfServicePeriod2, 3, 15, 1, 1))</f>
        <v>0</v>
      </c>
      <c r="T209" s="128">
        <f ca="1">IF(OFFSET('IWP03'!UnitsOfServicePeriod2, 3, 16, 1, 1) = "", 0, OFFSET('IWP03'!UnitsOfServicePeriod2, 3, 16, 1, 1))</f>
        <v>0</v>
      </c>
      <c r="U209" s="128">
        <f ca="1">OFFSET('IWP03'!UnitsOfServicePeriod2, 3, 17, 1, 1)</f>
        <v>0</v>
      </c>
      <c r="V209" s="128">
        <f ca="1">IF(OFFSET('IWP03'!UnitsOfServicePeriod2, 3, 19, 1, 1) = "", 0, OFFSET('IWP03'!UnitsOfServicePeriod2, 3, 19, 1, 1))</f>
        <v>0</v>
      </c>
      <c r="W209" s="128">
        <f ca="1">OFFSET('IWP03'!UnitsOfServicePeriod2, 3, 20, 1, 1)</f>
        <v>0</v>
      </c>
      <c r="X209" s="128">
        <f ca="1">IF(OFFSET('IWP03'!UnitsOfServicePeriod2, 3, 21, 1, 1) = "", 0, OFFSET('IWP03'!UnitsOfServicePeriod2, 3, 21, 1, 1))</f>
        <v>0</v>
      </c>
      <c r="Y209" s="137">
        <f ca="1">OFFSET('IWP03'!UnitsOfServicePeriod2, 3, 22, 1, 1)</f>
        <v>0</v>
      </c>
    </row>
    <row r="210" spans="1:25">
      <c r="A210" s="125" t="s">
        <v>431</v>
      </c>
      <c r="B210" s="128">
        <v>2</v>
      </c>
      <c r="C210" s="128">
        <v>5</v>
      </c>
      <c r="D210" s="107">
        <f ca="1">IF(OFFSET('IWP03'!UnitsOfServicePeriod2, 4, 0, 1, 1)=DATE(1900,1,0), DATE(1900,1,1),OFFSET('IWP03'!UnitsOfServicePeriod2, 4, 0, 1, 1))</f>
        <v>1</v>
      </c>
      <c r="E210" s="107">
        <f ca="1">IF(OFFSET('IWP03'!UnitsOfServicePeriod2, 4, 1, 1, 1)=DATE(1900,1,0), DATE(1900,1,1),OFFSET('IWP03'!UnitsOfServicePeriod2, 4, 1, 1, 1))</f>
        <v>1</v>
      </c>
      <c r="F210" s="128">
        <f ca="1">OFFSET('IWP03'!UnitsOfServicePeriod2, 4, 2, 1, 1)</f>
        <v>0</v>
      </c>
      <c r="G210" s="128">
        <f ca="1">IF(OFFSET('IWP03'!UnitsOfServicePeriod2, 4, 3, 1, 1) = "", 0, OFFSET('IWP03'!UnitsOfServicePeriod2, 4, 3, 1, 1))</f>
        <v>0</v>
      </c>
      <c r="H210" s="128">
        <f ca="1">OFFSET('IWP03'!UnitsOfServicePeriod2, 4, 4, 1, 1)</f>
        <v>0</v>
      </c>
      <c r="I210" s="128">
        <f ca="1">IF(OFFSET('IWP03'!UnitsOfServicePeriod2, 4, 5, 1, 1) = "", 0, OFFSET('IWP03'!UnitsOfServicePeriod2, 4, 5, 1, 1))</f>
        <v>0</v>
      </c>
      <c r="J210" s="128">
        <f ca="1">OFFSET('IWP03'!UnitsOfServicePeriod2, 4, 6, 1, 1)</f>
        <v>0</v>
      </c>
      <c r="K210" s="128">
        <f ca="1">IF(OFFSET('IWP03'!UnitsOfServicePeriod2, 4, 7, 1, 1) = "", 0, OFFSET('IWP03'!UnitsOfServicePeriod2, 4, 7, 1, 1))</f>
        <v>0</v>
      </c>
      <c r="L210" s="128">
        <f ca="1">OFFSET('IWP03'!UnitsOfServicePeriod2, 4, 8, 1, 1)</f>
        <v>0</v>
      </c>
      <c r="M210" s="128">
        <f ca="1">IF(OFFSET('IWP03'!UnitsOfServicePeriod2, 4, 9, 1, 1) = "", 0, OFFSET('IWP03'!UnitsOfServicePeriod2, 4, 9, 1, 1))</f>
        <v>0</v>
      </c>
      <c r="N210" s="128">
        <f ca="1">OFFSET('IWP03'!UnitsOfServicePeriod2, 4, 10, 1, 1)</f>
        <v>0</v>
      </c>
      <c r="O210" s="128">
        <f ca="1">IF(OFFSET('IWP03'!UnitsOfServicePeriod2, 4, 11, 1, 1) = "", 0, OFFSET('IWP03'!UnitsOfServicePeriod2, 4, 11, 1, 1))</f>
        <v>0</v>
      </c>
      <c r="P210" s="128">
        <f ca="1">OFFSET('IWP03'!UnitsOfServicePeriod2, 4, 12, 1, 1)</f>
        <v>0</v>
      </c>
      <c r="Q210" s="128">
        <f ca="1">IF(OFFSET('IWP03'!UnitsOfServicePeriod2, 4, 13, 1, 1) = "", 0, OFFSET('IWP03'!UnitsOfServicePeriod2, 4, 13, 1, 1))</f>
        <v>0</v>
      </c>
      <c r="R210" s="128">
        <f ca="1">OFFSET('IWP03'!UnitsOfServicePeriod2, 4, 14, 1, 1)</f>
        <v>0</v>
      </c>
      <c r="S210" s="128">
        <f ca="1">IF(OFFSET('IWP03'!UnitsOfServicePeriod2, 4, 15, 1, 1) = "", 0, OFFSET('IWP03'!UnitsOfServicePeriod2, 4, 15, 1, 1))</f>
        <v>0</v>
      </c>
      <c r="T210" s="128">
        <f ca="1">IF(OFFSET('IWP03'!UnitsOfServicePeriod2, 4, 16, 1, 1) = "", 0, OFFSET('IWP03'!UnitsOfServicePeriod2, 4, 16, 1, 1))</f>
        <v>0</v>
      </c>
      <c r="U210" s="128">
        <f ca="1">OFFSET('IWP03'!UnitsOfServicePeriod2, 4, 17, 1, 1)</f>
        <v>0</v>
      </c>
      <c r="V210" s="128">
        <f ca="1">IF(OFFSET('IWP03'!UnitsOfServicePeriod2, 4, 19, 1, 1) = "", 0, OFFSET('IWP03'!UnitsOfServicePeriod2, 4, 19, 1, 1))</f>
        <v>0</v>
      </c>
      <c r="W210" s="128">
        <f ca="1">OFFSET('IWP03'!UnitsOfServicePeriod2, 4, 20, 1, 1)</f>
        <v>0</v>
      </c>
      <c r="X210" s="128">
        <f ca="1">IF(OFFSET('IWP03'!UnitsOfServicePeriod2, 4, 21, 1, 1) = "", 0, OFFSET('IWP03'!UnitsOfServicePeriod2, 4, 21, 1, 1))</f>
        <v>0</v>
      </c>
      <c r="Y210" s="137">
        <f ca="1">OFFSET('IWP03'!UnitsOfServicePeriod2, 4, 22, 1, 1)</f>
        <v>0</v>
      </c>
    </row>
    <row r="211" spans="1:25">
      <c r="A211" s="125" t="s">
        <v>431</v>
      </c>
      <c r="B211" s="128">
        <v>2</v>
      </c>
      <c r="C211" s="128">
        <v>6</v>
      </c>
      <c r="D211" s="107">
        <f ca="1">IF(OFFSET('IWP03'!UnitsOfServicePeriod2, 5, 0, 1, 1)=DATE(1900,1,0), DATE(1900,1,1),OFFSET('IWP03'!UnitsOfServicePeriod2, 5, 0, 1, 1))</f>
        <v>1</v>
      </c>
      <c r="E211" s="107">
        <f ca="1">IF(OFFSET('IWP03'!UnitsOfServicePeriod2, 5, 1, 1, 1)=DATE(1900,1,0), DATE(1900,1,1),OFFSET('IWP03'!UnitsOfServicePeriod2, 5, 1, 1, 1))</f>
        <v>1</v>
      </c>
      <c r="F211" s="128">
        <f ca="1">OFFSET('IWP03'!UnitsOfServicePeriod2, 5, 2, 1, 1)</f>
        <v>0</v>
      </c>
      <c r="G211" s="128">
        <f ca="1">IF(OFFSET('IWP03'!UnitsOfServicePeriod2, 5, 3, 1, 1) = "", 0, OFFSET('IWP03'!UnitsOfServicePeriod2, 5, 3, 1, 1))</f>
        <v>0</v>
      </c>
      <c r="H211" s="128">
        <f ca="1">OFFSET('IWP03'!UnitsOfServicePeriod2, 5, 4, 1, 1)</f>
        <v>0</v>
      </c>
      <c r="I211" s="128">
        <f ca="1">IF(OFFSET('IWP03'!UnitsOfServicePeriod2, 5, 5, 1, 1) = "", 0, OFFSET('IWP03'!UnitsOfServicePeriod2, 5, 5, 1, 1))</f>
        <v>0</v>
      </c>
      <c r="J211" s="128">
        <f ca="1">OFFSET('IWP03'!UnitsOfServicePeriod2, 5, 6, 1, 1)</f>
        <v>0</v>
      </c>
      <c r="K211" s="128">
        <f ca="1">IF(OFFSET('IWP03'!UnitsOfServicePeriod2, 5, 7, 1, 1) = "", 0, OFFSET('IWP03'!UnitsOfServicePeriod2, 5, 7, 1, 1))</f>
        <v>0</v>
      </c>
      <c r="L211" s="128">
        <f ca="1">OFFSET('IWP03'!UnitsOfServicePeriod2, 5, 8, 1, 1)</f>
        <v>0</v>
      </c>
      <c r="M211" s="128">
        <f ca="1">IF(OFFSET('IWP03'!UnitsOfServicePeriod2, 5, 9, 1, 1) = "", 0, OFFSET('IWP03'!UnitsOfServicePeriod2, 5, 9, 1, 1))</f>
        <v>0</v>
      </c>
      <c r="N211" s="128">
        <f ca="1">OFFSET('IWP03'!UnitsOfServicePeriod2, 5, 10, 1, 1)</f>
        <v>0</v>
      </c>
      <c r="O211" s="128">
        <f ca="1">IF(OFFSET('IWP03'!UnitsOfServicePeriod2, 5, 11, 1, 1) = "", 0, OFFSET('IWP03'!UnitsOfServicePeriod2, 5, 11, 1, 1))</f>
        <v>0</v>
      </c>
      <c r="P211" s="128">
        <f ca="1">OFFSET('IWP03'!UnitsOfServicePeriod2, 5, 12, 1, 1)</f>
        <v>0</v>
      </c>
      <c r="Q211" s="128">
        <f ca="1">IF(OFFSET('IWP03'!UnitsOfServicePeriod2, 5, 13, 1, 1) = "", 0, OFFSET('IWP03'!UnitsOfServicePeriod2, 5, 13, 1, 1))</f>
        <v>0</v>
      </c>
      <c r="R211" s="128">
        <f ca="1">OFFSET('IWP03'!UnitsOfServicePeriod2, 5, 14, 1, 1)</f>
        <v>0</v>
      </c>
      <c r="S211" s="128">
        <f ca="1">IF(OFFSET('IWP03'!UnitsOfServicePeriod2, 5, 15, 1, 1) = "", 0, OFFSET('IWP03'!UnitsOfServicePeriod2, 5, 15, 1, 1))</f>
        <v>0</v>
      </c>
      <c r="T211" s="128">
        <f ca="1">IF(OFFSET('IWP03'!UnitsOfServicePeriod2, 5, 16, 1, 1) = "", 0, OFFSET('IWP03'!UnitsOfServicePeriod2, 5, 16, 1, 1))</f>
        <v>0</v>
      </c>
      <c r="U211" s="128">
        <f ca="1">OFFSET('IWP03'!UnitsOfServicePeriod2, 5, 17, 1, 1)</f>
        <v>0</v>
      </c>
      <c r="V211" s="128">
        <f ca="1">IF(OFFSET('IWP03'!UnitsOfServicePeriod2, 5, 19, 1, 1) = "", 0, OFFSET('IWP03'!UnitsOfServicePeriod2, 5, 19, 1, 1))</f>
        <v>0</v>
      </c>
      <c r="W211" s="128">
        <f ca="1">OFFSET('IWP03'!UnitsOfServicePeriod2, 5, 20, 1, 1)</f>
        <v>0</v>
      </c>
      <c r="X211" s="128">
        <f ca="1">IF(OFFSET('IWP03'!UnitsOfServicePeriod2, 5, 21, 1, 1) = "", 0, OFFSET('IWP03'!UnitsOfServicePeriod2, 5, 21, 1, 1))</f>
        <v>0</v>
      </c>
      <c r="Y211" s="137">
        <f ca="1">OFFSET('IWP03'!UnitsOfServicePeriod2, 5, 22, 1, 1)</f>
        <v>0</v>
      </c>
    </row>
    <row r="212" spans="1:25">
      <c r="A212" s="125" t="s">
        <v>477</v>
      </c>
      <c r="B212" s="128">
        <v>1</v>
      </c>
      <c r="C212" s="128">
        <v>1</v>
      </c>
      <c r="D212" s="107">
        <f ca="1">IF(OFFSET('IWP04'!UnitsOfServicePeriod1, 0, 0, 1, 1)=DATE(1900,1,0), DATE(1900,1,1),OFFSET('IWP04'!UnitsOfServicePeriod1, 0, 0, 1, 1))</f>
        <v>1</v>
      </c>
      <c r="E212" s="107">
        <f ca="1">IF(OFFSET('IWP04'!UnitsOfServicePeriod1, 0, 1, 1, 1)=DATE(1900,1,0), DATE(1900,1,1),OFFSET('IWP04'!UnitsOfServicePeriod1, 0, 1, 1, 1))</f>
        <v>1</v>
      </c>
      <c r="F212" s="128">
        <f ca="1">OFFSET('IWP04'!UnitsOfServicePeriod1, 0, 2, 1, 1)</f>
        <v>0</v>
      </c>
      <c r="G212" s="128">
        <f ca="1">IF(OFFSET('IWP04'!UnitsOfServicePeriod1, 0, 3, 1, 1) = "", 0, OFFSET('IWP04'!UnitsOfServicePeriod1, 0, 3, 1, 1))</f>
        <v>0</v>
      </c>
      <c r="H212" s="128">
        <f ca="1">OFFSET('IWP04'!UnitsOfServicePeriod1, 0, 4, 1, 1)</f>
        <v>0</v>
      </c>
      <c r="I212" s="128">
        <f ca="1">IF(OFFSET('IWP04'!UnitsOfServicePeriod1, 0, 5, 1, 1) = "", 0, OFFSET('IWP04'!UnitsOfServicePeriod1, 0, 5, 1, 1))</f>
        <v>0</v>
      </c>
      <c r="J212" s="128">
        <f ca="1">OFFSET('IWP04'!UnitsOfServicePeriod1, 0, 6, 1, 1)</f>
        <v>0</v>
      </c>
      <c r="K212" s="128">
        <f ca="1">IF(OFFSET('IWP04'!UnitsOfServicePeriod1, 0, 7, 1, 1) = "", 0, OFFSET('IWP04'!UnitsOfServicePeriod1, 0, 7, 1, 1))</f>
        <v>0</v>
      </c>
      <c r="L212" s="128">
        <f ca="1">OFFSET('IWP04'!UnitsOfServicePeriod1, 0, 8, 1, 1)</f>
        <v>0</v>
      </c>
      <c r="M212" s="128">
        <f ca="1">IF(OFFSET('IWP04'!UnitsOfServicePeriod1, 0, 9, 1, 1) = "", 0, OFFSET('IWP04'!UnitsOfServicePeriod1, 0, 9, 1, 1))</f>
        <v>0</v>
      </c>
      <c r="N212" s="128">
        <f ca="1">OFFSET('IWP04'!UnitsOfServicePeriod1, 0, 10, 1, 1)</f>
        <v>0</v>
      </c>
      <c r="O212" s="128">
        <f ca="1">IF(OFFSET('IWP04'!UnitsOfServicePeriod1, 0, 11, 1, 1) = "", 0, OFFSET('IWP04'!UnitsOfServicePeriod1, 0, 11, 1, 1))</f>
        <v>0</v>
      </c>
      <c r="P212" s="128">
        <f ca="1">OFFSET('IWP04'!UnitsOfServicePeriod1, 0, 12, 1, 1)</f>
        <v>0</v>
      </c>
      <c r="Q212" s="128">
        <f ca="1">IF(OFFSET('IWP04'!UnitsOfServicePeriod1, 0, 13, 1, 1) = "", 0, OFFSET('IWP04'!UnitsOfServicePeriod1, 0, 13, 1, 1))</f>
        <v>0</v>
      </c>
      <c r="R212" s="128">
        <f ca="1">OFFSET('IWP04'!UnitsOfServicePeriod1, 0, 14, 1, 1)</f>
        <v>0</v>
      </c>
      <c r="S212" s="128">
        <f ca="1">IF(OFFSET('IWP04'!UnitsOfServicePeriod1, 0, 15, 1, 1) = "", 0, OFFSET('IWP04'!UnitsOfServicePeriod1, 0, 15, 1, 1))</f>
        <v>0</v>
      </c>
      <c r="T212" s="128">
        <f ca="1">IF(OFFSET('IWP04'!UnitsOfServicePeriod1, 0, 16, 1, 1) = "", 0, OFFSET('IWP04'!UnitsOfServicePeriod1, 0, 16, 1, 1))</f>
        <v>0</v>
      </c>
      <c r="U212" s="128">
        <f ca="1">OFFSET('IWP04'!UnitsOfServicePeriod1, 0, 17, 1, 1)</f>
        <v>0</v>
      </c>
      <c r="V212" s="128">
        <f ca="1">IF(OFFSET('IWP04'!UnitsOfServicePeriod1, 0, 19, 1, 1) = "", 0, OFFSET('IWP04'!UnitsOfServicePeriod1, 0, 19, 1, 1))</f>
        <v>0</v>
      </c>
      <c r="W212" s="128">
        <f ca="1">OFFSET('IWP04'!UnitsOfServicePeriod1, 0, 20, 1, 1)</f>
        <v>0</v>
      </c>
      <c r="X212" s="128">
        <f ca="1">IF(OFFSET('IWP04'!UnitsOfServicePeriod1, 0, 21, 1, 1) = "", 0, OFFSET('IWP04'!UnitsOfServicePeriod1, 0, 21, 1, 1))</f>
        <v>0</v>
      </c>
      <c r="Y212" s="137">
        <f ca="1">OFFSET('IWP04'!UnitsOfServicePeriod1, 0, 22, 1, 1)</f>
        <v>0</v>
      </c>
    </row>
    <row r="213" spans="1:25">
      <c r="A213" s="125" t="s">
        <v>477</v>
      </c>
      <c r="B213" s="128">
        <v>1</v>
      </c>
      <c r="C213" s="128">
        <v>2</v>
      </c>
      <c r="D213" s="107">
        <f ca="1">IF(OFFSET('IWP04'!UnitsOfServicePeriod1, 1, 0, 1, 1)=DATE(1900,1,0), DATE(1900,1,1),OFFSET('IWP04'!UnitsOfServicePeriod1, 1, 0, 1, 1))</f>
        <v>1</v>
      </c>
      <c r="E213" s="107">
        <f ca="1">IF(OFFSET('IWP04'!UnitsOfServicePeriod1, 1, 1, 1, 1)=DATE(1900,1,0), DATE(1900,1,1),OFFSET('IWP04'!UnitsOfServicePeriod1, 1, 1, 1, 1))</f>
        <v>1</v>
      </c>
      <c r="F213" s="128">
        <f ca="1">OFFSET('IWP04'!UnitsOfServicePeriod1, 1, 2, 1, 1)</f>
        <v>0</v>
      </c>
      <c r="G213" s="128">
        <f ca="1">IF(OFFSET('IWP04'!UnitsOfServicePeriod1, 1, 3, 1, 1) = "", 0, OFFSET('IWP04'!UnitsOfServicePeriod1, 1, 3, 1, 1))</f>
        <v>0</v>
      </c>
      <c r="H213" s="128">
        <f ca="1">OFFSET('IWP04'!UnitsOfServicePeriod1, 1, 4, 1, 1)</f>
        <v>0</v>
      </c>
      <c r="I213" s="128">
        <f ca="1">IF(OFFSET('IWP04'!UnitsOfServicePeriod1, 1, 5, 1, 1) = "", 0, OFFSET('IWP04'!UnitsOfServicePeriod1, 1, 5, 1, 1))</f>
        <v>0</v>
      </c>
      <c r="J213" s="128">
        <f ca="1">OFFSET('IWP04'!UnitsOfServicePeriod1, 1, 6, 1, 1)</f>
        <v>0</v>
      </c>
      <c r="K213" s="128">
        <f ca="1">IF(OFFSET('IWP04'!UnitsOfServicePeriod1, 1, 7, 1, 1) = "", 0, OFFSET('IWP04'!UnitsOfServicePeriod1, 1, 7, 1, 1))</f>
        <v>0</v>
      </c>
      <c r="L213" s="128">
        <f ca="1">OFFSET('IWP04'!UnitsOfServicePeriod1, 1, 8, 1, 1)</f>
        <v>0</v>
      </c>
      <c r="M213" s="128">
        <f ca="1">IF(OFFSET('IWP04'!UnitsOfServicePeriod1, 1, 9, 1, 1) = "", 0, OFFSET('IWP04'!UnitsOfServicePeriod1, 1, 9, 1, 1))</f>
        <v>0</v>
      </c>
      <c r="N213" s="128">
        <f ca="1">OFFSET('IWP04'!UnitsOfServicePeriod1, 1, 10, 1, 1)</f>
        <v>0</v>
      </c>
      <c r="O213" s="128">
        <f ca="1">IF(OFFSET('IWP04'!UnitsOfServicePeriod1, 1, 11, 1, 1) = "", 0, OFFSET('IWP04'!UnitsOfServicePeriod1, 1, 11, 1, 1))</f>
        <v>0</v>
      </c>
      <c r="P213" s="128">
        <f ca="1">OFFSET('IWP04'!UnitsOfServicePeriod1, 1, 12, 1, 1)</f>
        <v>0</v>
      </c>
      <c r="Q213" s="128">
        <f ca="1">IF(OFFSET('IWP04'!UnitsOfServicePeriod1, 1, 13, 1, 1) = "", 0, OFFSET('IWP04'!UnitsOfServicePeriod1, 1, 13, 1, 1))</f>
        <v>0</v>
      </c>
      <c r="R213" s="128">
        <f ca="1">OFFSET('IWP04'!UnitsOfServicePeriod1, 1, 14, 1, 1)</f>
        <v>0</v>
      </c>
      <c r="S213" s="128">
        <f ca="1">IF(OFFSET('IWP04'!UnitsOfServicePeriod1, 1, 15, 1, 1) = "", 0, OFFSET('IWP04'!UnitsOfServicePeriod1, 1, 15, 1, 1))</f>
        <v>0</v>
      </c>
      <c r="T213" s="128">
        <f ca="1">IF(OFFSET('IWP04'!UnitsOfServicePeriod1, 1, 16, 1, 1) = "", 0, OFFSET('IWP04'!UnitsOfServicePeriod1, 1, 16, 1, 1))</f>
        <v>0</v>
      </c>
      <c r="U213" s="128">
        <f ca="1">OFFSET('IWP04'!UnitsOfServicePeriod1, 1, 17, 1, 1)</f>
        <v>0</v>
      </c>
      <c r="V213" s="128">
        <f ca="1">IF(OFFSET('IWP04'!UnitsOfServicePeriod1, 1, 19, 1, 1) = "", 0, OFFSET('IWP04'!UnitsOfServicePeriod1, 1, 19, 1, 1))</f>
        <v>0</v>
      </c>
      <c r="W213" s="128">
        <f ca="1">OFFSET('IWP04'!UnitsOfServicePeriod1, 1, 20, 1, 1)</f>
        <v>0</v>
      </c>
      <c r="X213" s="128">
        <f ca="1">IF(OFFSET('IWP04'!UnitsOfServicePeriod1, 1, 21, 1, 1) = "", 0, OFFSET('IWP04'!UnitsOfServicePeriod1, 1, 21, 1, 1))</f>
        <v>0</v>
      </c>
      <c r="Y213" s="137">
        <f ca="1">OFFSET('IWP04'!UnitsOfServicePeriod1, 1, 22, 1, 1)</f>
        <v>0</v>
      </c>
    </row>
    <row r="214" spans="1:25">
      <c r="A214" s="125" t="s">
        <v>477</v>
      </c>
      <c r="B214" s="128">
        <v>1</v>
      </c>
      <c r="C214" s="128">
        <v>3</v>
      </c>
      <c r="D214" s="107">
        <f ca="1">IF(OFFSET('IWP04'!UnitsOfServicePeriod1, 2, 0, 1, 1)=DATE(1900,1,0), DATE(1900,1,1),OFFSET('IWP04'!UnitsOfServicePeriod1, 2, 0, 1, 1))</f>
        <v>1</v>
      </c>
      <c r="E214" s="107">
        <f ca="1">IF(OFFSET('IWP04'!UnitsOfServicePeriod1, 2, 1, 1, 1)=DATE(1900,1,0), DATE(1900,1,1),OFFSET('IWP04'!UnitsOfServicePeriod1, 2, 1, 1, 1))</f>
        <v>1</v>
      </c>
      <c r="F214" s="128">
        <f ca="1">OFFSET('IWP04'!UnitsOfServicePeriod1, 2, 2, 1, 1)</f>
        <v>0</v>
      </c>
      <c r="G214" s="128">
        <f ca="1">IF(OFFSET('IWP04'!UnitsOfServicePeriod1, 2, 3, 1, 1) = "", 0, OFFSET('IWP04'!UnitsOfServicePeriod1, 2, 3, 1, 1))</f>
        <v>0</v>
      </c>
      <c r="H214" s="128">
        <f ca="1">OFFSET('IWP04'!UnitsOfServicePeriod1, 2, 4, 1, 1)</f>
        <v>0</v>
      </c>
      <c r="I214" s="128">
        <f ca="1">IF(OFFSET('IWP04'!UnitsOfServicePeriod1, 2, 5, 1, 1) = "", 0, OFFSET('IWP04'!UnitsOfServicePeriod1, 2, 5, 1, 1))</f>
        <v>0</v>
      </c>
      <c r="J214" s="128">
        <f ca="1">OFFSET('IWP04'!UnitsOfServicePeriod1, 2, 6, 1, 1)</f>
        <v>0</v>
      </c>
      <c r="K214" s="128">
        <f ca="1">IF(OFFSET('IWP04'!UnitsOfServicePeriod1, 2, 7, 1, 1) = "", 0, OFFSET('IWP04'!UnitsOfServicePeriod1, 2, 7, 1, 1))</f>
        <v>0</v>
      </c>
      <c r="L214" s="128">
        <f ca="1">OFFSET('IWP04'!UnitsOfServicePeriod1, 2, 8, 1, 1)</f>
        <v>0</v>
      </c>
      <c r="M214" s="128">
        <f ca="1">IF(OFFSET('IWP04'!UnitsOfServicePeriod1, 2, 9, 1, 1) = "", 0, OFFSET('IWP04'!UnitsOfServicePeriod1, 2, 9, 1, 1))</f>
        <v>0</v>
      </c>
      <c r="N214" s="128">
        <f ca="1">OFFSET('IWP04'!UnitsOfServicePeriod1, 2, 10, 1, 1)</f>
        <v>0</v>
      </c>
      <c r="O214" s="128">
        <f ca="1">IF(OFFSET('IWP04'!UnitsOfServicePeriod1, 2, 11, 1, 1) = "", 0, OFFSET('IWP04'!UnitsOfServicePeriod1, 2, 11, 1, 1))</f>
        <v>0</v>
      </c>
      <c r="P214" s="128">
        <f ca="1">OFFSET('IWP04'!UnitsOfServicePeriod1, 2, 12, 1, 1)</f>
        <v>0</v>
      </c>
      <c r="Q214" s="128">
        <f ca="1">IF(OFFSET('IWP04'!UnitsOfServicePeriod1, 2, 13, 1, 1) = "", 0, OFFSET('IWP04'!UnitsOfServicePeriod1, 2, 13, 1, 1))</f>
        <v>0</v>
      </c>
      <c r="R214" s="128">
        <f ca="1">OFFSET('IWP04'!UnitsOfServicePeriod1, 2, 14, 1, 1)</f>
        <v>0</v>
      </c>
      <c r="S214" s="128">
        <f ca="1">IF(OFFSET('IWP04'!UnitsOfServicePeriod1, 2, 15, 1, 1) = "", 0, OFFSET('IWP04'!UnitsOfServicePeriod1, 2, 15, 1, 1))</f>
        <v>0</v>
      </c>
      <c r="T214" s="128">
        <f ca="1">IF(OFFSET('IWP04'!UnitsOfServicePeriod1, 2, 16, 1, 1) = "", 0, OFFSET('IWP04'!UnitsOfServicePeriod1, 2, 16, 1, 1))</f>
        <v>0</v>
      </c>
      <c r="U214" s="128">
        <f ca="1">OFFSET('IWP04'!UnitsOfServicePeriod1, 2, 17, 1, 1)</f>
        <v>0</v>
      </c>
      <c r="V214" s="128">
        <f ca="1">IF(OFFSET('IWP04'!UnitsOfServicePeriod1, 2, 19, 1, 1) = "", 0, OFFSET('IWP04'!UnitsOfServicePeriod1, 2, 19, 1, 1))</f>
        <v>0</v>
      </c>
      <c r="W214" s="128">
        <f ca="1">OFFSET('IWP04'!UnitsOfServicePeriod1, 2, 20, 1, 1)</f>
        <v>0</v>
      </c>
      <c r="X214" s="128">
        <f ca="1">IF(OFFSET('IWP04'!UnitsOfServicePeriod1, 2, 21, 1, 1) = "", 0, OFFSET('IWP04'!UnitsOfServicePeriod1, 2, 21, 1, 1))</f>
        <v>0</v>
      </c>
      <c r="Y214" s="137">
        <f ca="1">OFFSET('IWP04'!UnitsOfServicePeriod1, 2, 22, 1, 1)</f>
        <v>0</v>
      </c>
    </row>
    <row r="215" spans="1:25">
      <c r="A215" s="125" t="s">
        <v>477</v>
      </c>
      <c r="B215" s="128">
        <v>1</v>
      </c>
      <c r="C215" s="128">
        <v>4</v>
      </c>
      <c r="D215" s="107">
        <f ca="1">IF(OFFSET('IWP04'!UnitsOfServicePeriod1, 3, 0, 1, 1)=DATE(1900,1,0), DATE(1900,1,1),OFFSET('IWP04'!UnitsOfServicePeriod1, 3, 0, 1, 1))</f>
        <v>1</v>
      </c>
      <c r="E215" s="107">
        <f ca="1">IF(OFFSET('IWP04'!UnitsOfServicePeriod1, 3, 1, 1, 1)=DATE(1900,1,0), DATE(1900,1,1),OFFSET('IWP04'!UnitsOfServicePeriod1, 3, 1, 1, 1))</f>
        <v>1</v>
      </c>
      <c r="F215" s="128">
        <f ca="1">OFFSET('IWP04'!UnitsOfServicePeriod1, 3, 2, 1, 1)</f>
        <v>0</v>
      </c>
      <c r="G215" s="128">
        <f ca="1">IF(OFFSET('IWP04'!UnitsOfServicePeriod1, 3, 3, 1, 1) = "", 0, OFFSET('IWP04'!UnitsOfServicePeriod1, 3, 3, 1, 1))</f>
        <v>0</v>
      </c>
      <c r="H215" s="128">
        <f ca="1">OFFSET('IWP04'!UnitsOfServicePeriod1, 3, 4, 1, 1)</f>
        <v>0</v>
      </c>
      <c r="I215" s="128">
        <f ca="1">IF(OFFSET('IWP04'!UnitsOfServicePeriod1, 3, 5, 1, 1) = "", 0, OFFSET('IWP04'!UnitsOfServicePeriod1, 3, 5, 1, 1))</f>
        <v>0</v>
      </c>
      <c r="J215" s="128">
        <f ca="1">OFFSET('IWP04'!UnitsOfServicePeriod1, 3, 6, 1, 1)</f>
        <v>0</v>
      </c>
      <c r="K215" s="128">
        <f ca="1">IF(OFFSET('IWP04'!UnitsOfServicePeriod1, 3, 7, 1, 1) = "", 0, OFFSET('IWP04'!UnitsOfServicePeriod1, 3, 7, 1, 1))</f>
        <v>0</v>
      </c>
      <c r="L215" s="128">
        <f ca="1">OFFSET('IWP04'!UnitsOfServicePeriod1, 3, 8, 1, 1)</f>
        <v>0</v>
      </c>
      <c r="M215" s="128">
        <f ca="1">IF(OFFSET('IWP04'!UnitsOfServicePeriod1, 3, 9, 1, 1) = "", 0, OFFSET('IWP04'!UnitsOfServicePeriod1, 3, 9, 1, 1))</f>
        <v>0</v>
      </c>
      <c r="N215" s="128">
        <f ca="1">OFFSET('IWP04'!UnitsOfServicePeriod1, 3, 10, 1, 1)</f>
        <v>0</v>
      </c>
      <c r="O215" s="128">
        <f ca="1">IF(OFFSET('IWP04'!UnitsOfServicePeriod1, 3, 11, 1, 1) = "", 0, OFFSET('IWP04'!UnitsOfServicePeriod1, 3, 11, 1, 1))</f>
        <v>0</v>
      </c>
      <c r="P215" s="128">
        <f ca="1">OFFSET('IWP04'!UnitsOfServicePeriod1, 3, 12, 1, 1)</f>
        <v>0</v>
      </c>
      <c r="Q215" s="128">
        <f ca="1">IF(OFFSET('IWP04'!UnitsOfServicePeriod1, 3, 13, 1, 1) = "", 0, OFFSET('IWP04'!UnitsOfServicePeriod1, 3, 13, 1, 1))</f>
        <v>0</v>
      </c>
      <c r="R215" s="128">
        <f ca="1">OFFSET('IWP04'!UnitsOfServicePeriod1, 3, 14, 1, 1)</f>
        <v>0</v>
      </c>
      <c r="S215" s="128">
        <f ca="1">IF(OFFSET('IWP04'!UnitsOfServicePeriod1, 3, 15, 1, 1) = "", 0, OFFSET('IWP04'!UnitsOfServicePeriod1, 3, 15, 1, 1))</f>
        <v>0</v>
      </c>
      <c r="T215" s="128">
        <f ca="1">IF(OFFSET('IWP04'!UnitsOfServicePeriod1, 3, 16, 1, 1) = "", 0, OFFSET('IWP04'!UnitsOfServicePeriod1, 3, 16, 1, 1))</f>
        <v>0</v>
      </c>
      <c r="U215" s="128">
        <f ca="1">OFFSET('IWP04'!UnitsOfServicePeriod1, 3, 17, 1, 1)</f>
        <v>0</v>
      </c>
      <c r="V215" s="128">
        <f ca="1">IF(OFFSET('IWP04'!UnitsOfServicePeriod1, 3, 19, 1, 1) = "", 0, OFFSET('IWP04'!UnitsOfServicePeriod1, 3, 19, 1, 1))</f>
        <v>0</v>
      </c>
      <c r="W215" s="128">
        <f ca="1">OFFSET('IWP04'!UnitsOfServicePeriod1, 3, 20, 1, 1)</f>
        <v>0</v>
      </c>
      <c r="X215" s="128">
        <f ca="1">IF(OFFSET('IWP04'!UnitsOfServicePeriod1, 3, 21, 1, 1) = "", 0, OFFSET('IWP04'!UnitsOfServicePeriod1, 3, 21, 1, 1))</f>
        <v>0</v>
      </c>
      <c r="Y215" s="137">
        <f ca="1">OFFSET('IWP04'!UnitsOfServicePeriod1, 3, 22, 1, 1)</f>
        <v>0</v>
      </c>
    </row>
    <row r="216" spans="1:25">
      <c r="A216" s="125" t="s">
        <v>477</v>
      </c>
      <c r="B216" s="128">
        <v>1</v>
      </c>
      <c r="C216" s="128">
        <v>5</v>
      </c>
      <c r="D216" s="107">
        <f ca="1">IF(OFFSET('IWP04'!UnitsOfServicePeriod1, 4, 0, 1, 1)=DATE(1900,1,0), DATE(1900,1,1),OFFSET('IWP04'!UnitsOfServicePeriod1, 4, 0, 1, 1))</f>
        <v>1</v>
      </c>
      <c r="E216" s="107">
        <f ca="1">IF(OFFSET('IWP04'!UnitsOfServicePeriod1, 4, 1, 1, 1)=DATE(1900,1,0), DATE(1900,1,1),OFFSET('IWP04'!UnitsOfServicePeriod1, 4, 1, 1, 1))</f>
        <v>1</v>
      </c>
      <c r="F216" s="128">
        <f ca="1">OFFSET('IWP04'!UnitsOfServicePeriod1, 4, 2, 1, 1)</f>
        <v>0</v>
      </c>
      <c r="G216" s="128">
        <f ca="1">IF(OFFSET('IWP04'!UnitsOfServicePeriod1, 4, 3, 1, 1) = "", 0, OFFSET('IWP04'!UnitsOfServicePeriod1, 4, 3, 1, 1))</f>
        <v>0</v>
      </c>
      <c r="H216" s="128">
        <f ca="1">OFFSET('IWP04'!UnitsOfServicePeriod1, 4, 4, 1, 1)</f>
        <v>0</v>
      </c>
      <c r="I216" s="128">
        <f ca="1">IF(OFFSET('IWP04'!UnitsOfServicePeriod1, 4, 5, 1, 1) = "", 0, OFFSET('IWP04'!UnitsOfServicePeriod1, 4, 5, 1, 1))</f>
        <v>0</v>
      </c>
      <c r="J216" s="128">
        <f ca="1">OFFSET('IWP04'!UnitsOfServicePeriod1, 4, 6, 1, 1)</f>
        <v>0</v>
      </c>
      <c r="K216" s="128">
        <f ca="1">IF(OFFSET('IWP04'!UnitsOfServicePeriod1, 4, 7, 1, 1) = "", 0, OFFSET('IWP04'!UnitsOfServicePeriod1, 4, 7, 1, 1))</f>
        <v>0</v>
      </c>
      <c r="L216" s="128">
        <f ca="1">OFFSET('IWP04'!UnitsOfServicePeriod1, 4, 8, 1, 1)</f>
        <v>0</v>
      </c>
      <c r="M216" s="128">
        <f ca="1">IF(OFFSET('IWP04'!UnitsOfServicePeriod1, 4, 9, 1, 1) = "", 0, OFFSET('IWP04'!UnitsOfServicePeriod1, 4, 9, 1, 1))</f>
        <v>0</v>
      </c>
      <c r="N216" s="128">
        <f ca="1">OFFSET('IWP04'!UnitsOfServicePeriod1, 4, 10, 1, 1)</f>
        <v>0</v>
      </c>
      <c r="O216" s="128">
        <f ca="1">IF(OFFSET('IWP04'!UnitsOfServicePeriod1, 4, 11, 1, 1) = "", 0, OFFSET('IWP04'!UnitsOfServicePeriod1, 4, 11, 1, 1))</f>
        <v>0</v>
      </c>
      <c r="P216" s="128">
        <f ca="1">OFFSET('IWP04'!UnitsOfServicePeriod1, 4, 12, 1, 1)</f>
        <v>0</v>
      </c>
      <c r="Q216" s="128">
        <f ca="1">IF(OFFSET('IWP04'!UnitsOfServicePeriod1, 4, 13, 1, 1) = "", 0, OFFSET('IWP04'!UnitsOfServicePeriod1, 4, 13, 1, 1))</f>
        <v>0</v>
      </c>
      <c r="R216" s="128">
        <f ca="1">OFFSET('IWP04'!UnitsOfServicePeriod1, 4, 14, 1, 1)</f>
        <v>0</v>
      </c>
      <c r="S216" s="128">
        <f ca="1">IF(OFFSET('IWP04'!UnitsOfServicePeriod1, 4, 15, 1, 1) = "", 0, OFFSET('IWP04'!UnitsOfServicePeriod1, 4, 15, 1, 1))</f>
        <v>0</v>
      </c>
      <c r="T216" s="128">
        <f ca="1">IF(OFFSET('IWP04'!UnitsOfServicePeriod1, 4, 16, 1, 1) = "", 0, OFFSET('IWP04'!UnitsOfServicePeriod1, 4, 16, 1, 1))</f>
        <v>0</v>
      </c>
      <c r="U216" s="128">
        <f ca="1">OFFSET('IWP04'!UnitsOfServicePeriod1, 4, 17, 1, 1)</f>
        <v>0</v>
      </c>
      <c r="V216" s="128">
        <f ca="1">IF(OFFSET('IWP04'!UnitsOfServicePeriod1, 4, 19, 1, 1) = "", 0, OFFSET('IWP04'!UnitsOfServicePeriod1, 4, 19, 1, 1))</f>
        <v>0</v>
      </c>
      <c r="W216" s="128">
        <f ca="1">OFFSET('IWP04'!UnitsOfServicePeriod1, 4, 20, 1, 1)</f>
        <v>0</v>
      </c>
      <c r="X216" s="128">
        <f ca="1">IF(OFFSET('IWP04'!UnitsOfServicePeriod1, 4, 21, 1, 1) = "", 0, OFFSET('IWP04'!UnitsOfServicePeriod1, 4, 21, 1, 1))</f>
        <v>0</v>
      </c>
      <c r="Y216" s="137">
        <f ca="1">OFFSET('IWP04'!UnitsOfServicePeriod1, 4, 22, 1, 1)</f>
        <v>0</v>
      </c>
    </row>
    <row r="217" spans="1:25">
      <c r="A217" s="125" t="s">
        <v>477</v>
      </c>
      <c r="B217" s="128">
        <v>1</v>
      </c>
      <c r="C217" s="128">
        <v>6</v>
      </c>
      <c r="D217" s="107">
        <f ca="1">IF(OFFSET('IWP04'!UnitsOfServicePeriod1, 5, 0, 1, 1)=DATE(1900,1,0), DATE(1900,1,1),OFFSET('IWP04'!UnitsOfServicePeriod1, 5, 0, 1, 1))</f>
        <v>1</v>
      </c>
      <c r="E217" s="107">
        <f ca="1">IF(OFFSET('IWP04'!UnitsOfServicePeriod1, 5, 1, 1, 1)=DATE(1900,1,0), DATE(1900,1,1),OFFSET('IWP04'!UnitsOfServicePeriod1, 5, 1, 1, 1))</f>
        <v>1</v>
      </c>
      <c r="F217" s="128">
        <f ca="1">OFFSET('IWP04'!UnitsOfServicePeriod1, 5, 2, 1, 1)</f>
        <v>0</v>
      </c>
      <c r="G217" s="128">
        <f ca="1">IF(OFFSET('IWP04'!UnitsOfServicePeriod1, 5, 3, 1, 1) = "", 0, OFFSET('IWP04'!UnitsOfServicePeriod1, 5, 3, 1, 1))</f>
        <v>0</v>
      </c>
      <c r="H217" s="128">
        <f ca="1">OFFSET('IWP04'!UnitsOfServicePeriod1, 5, 4, 1, 1)</f>
        <v>0</v>
      </c>
      <c r="I217" s="128">
        <f ca="1">IF(OFFSET('IWP04'!UnitsOfServicePeriod1, 5, 5, 1, 1) = "", 0, OFFSET('IWP04'!UnitsOfServicePeriod1, 5, 5, 1, 1))</f>
        <v>0</v>
      </c>
      <c r="J217" s="128">
        <f ca="1">OFFSET('IWP04'!UnitsOfServicePeriod1, 5, 6, 1, 1)</f>
        <v>0</v>
      </c>
      <c r="K217" s="128">
        <f ca="1">IF(OFFSET('IWP04'!UnitsOfServicePeriod1, 5, 7, 1, 1) = "", 0, OFFSET('IWP04'!UnitsOfServicePeriod1, 5, 7, 1, 1))</f>
        <v>0</v>
      </c>
      <c r="L217" s="128">
        <f ca="1">OFFSET('IWP04'!UnitsOfServicePeriod1, 5, 8, 1, 1)</f>
        <v>0</v>
      </c>
      <c r="M217" s="128">
        <f ca="1">IF(OFFSET('IWP04'!UnitsOfServicePeriod1, 5, 9, 1, 1) = "", 0, OFFSET('IWP04'!UnitsOfServicePeriod1, 5, 9, 1, 1))</f>
        <v>0</v>
      </c>
      <c r="N217" s="128">
        <f ca="1">OFFSET('IWP04'!UnitsOfServicePeriod1, 5, 10, 1, 1)</f>
        <v>0</v>
      </c>
      <c r="O217" s="128">
        <f ca="1">IF(OFFSET('IWP04'!UnitsOfServicePeriod1, 5, 11, 1, 1) = "", 0, OFFSET('IWP04'!UnitsOfServicePeriod1, 5, 11, 1, 1))</f>
        <v>0</v>
      </c>
      <c r="P217" s="128">
        <f ca="1">OFFSET('IWP04'!UnitsOfServicePeriod1, 5, 12, 1, 1)</f>
        <v>0</v>
      </c>
      <c r="Q217" s="128">
        <f ca="1">IF(OFFSET('IWP04'!UnitsOfServicePeriod1, 5, 13, 1, 1) = "", 0, OFFSET('IWP04'!UnitsOfServicePeriod1, 5, 13, 1, 1))</f>
        <v>0</v>
      </c>
      <c r="R217" s="128">
        <f ca="1">OFFSET('IWP04'!UnitsOfServicePeriod1, 5, 14, 1, 1)</f>
        <v>0</v>
      </c>
      <c r="S217" s="128">
        <f ca="1">IF(OFFSET('IWP04'!UnitsOfServicePeriod1, 5, 15, 1, 1) = "", 0, OFFSET('IWP04'!UnitsOfServicePeriod1, 5, 15, 1, 1))</f>
        <v>0</v>
      </c>
      <c r="T217" s="128">
        <f ca="1">IF(OFFSET('IWP04'!UnitsOfServicePeriod1, 5, 16, 1, 1) = "", 0, OFFSET('IWP04'!UnitsOfServicePeriod1, 5, 16, 1, 1))</f>
        <v>0</v>
      </c>
      <c r="U217" s="128">
        <f ca="1">OFFSET('IWP04'!UnitsOfServicePeriod1, 5, 17, 1, 1)</f>
        <v>0</v>
      </c>
      <c r="V217" s="128">
        <f ca="1">IF(OFFSET('IWP04'!UnitsOfServicePeriod1, 5, 19, 1, 1) = "", 0, OFFSET('IWP04'!UnitsOfServicePeriod1, 5, 19, 1, 1))</f>
        <v>0</v>
      </c>
      <c r="W217" s="128">
        <f ca="1">OFFSET('IWP04'!UnitsOfServicePeriod1, 5, 20, 1, 1)</f>
        <v>0</v>
      </c>
      <c r="X217" s="128">
        <f ca="1">IF(OFFSET('IWP04'!UnitsOfServicePeriod1, 5, 21, 1, 1) = "", 0, OFFSET('IWP04'!UnitsOfServicePeriod1, 5, 21, 1, 1))</f>
        <v>0</v>
      </c>
      <c r="Y217" s="137">
        <f ca="1">OFFSET('IWP04'!UnitsOfServicePeriod1, 5, 22, 1, 1)</f>
        <v>0</v>
      </c>
    </row>
    <row r="218" spans="1:25">
      <c r="A218" s="125" t="s">
        <v>477</v>
      </c>
      <c r="B218" s="128">
        <v>2</v>
      </c>
      <c r="C218" s="128">
        <v>1</v>
      </c>
      <c r="D218" s="107">
        <f ca="1">IF(OFFSET('IWP04'!UnitsOfServicePeriod2, 0, 0, 1, 1)=DATE(1900,1,0), DATE(1900,1,1),OFFSET('IWP04'!UnitsOfServicePeriod2, 0, 0, 1, 1))</f>
        <v>1</v>
      </c>
      <c r="E218" s="107">
        <f ca="1">IF(OFFSET('IWP04'!UnitsOfServicePeriod2, 0, 1, 1, 1)=DATE(1900,1,0), DATE(1900,1,1),OFFSET('IWP04'!UnitsOfServicePeriod2, 0, 1, 1, 1))</f>
        <v>1</v>
      </c>
      <c r="F218" s="128">
        <f ca="1">OFFSET('IWP04'!UnitsOfServicePeriod2, 0, 2, 1, 1)</f>
        <v>0</v>
      </c>
      <c r="G218" s="128">
        <f ca="1">IF(OFFSET('IWP04'!UnitsOfServicePeriod2, 0, 3, 1, 1) = "", 0, OFFSET('IWP04'!UnitsOfServicePeriod2, 0, 3, 1, 1))</f>
        <v>0</v>
      </c>
      <c r="H218" s="128">
        <f ca="1">OFFSET('IWP04'!UnitsOfServicePeriod2, 0, 4, 1, 1)</f>
        <v>0</v>
      </c>
      <c r="I218" s="128">
        <f ca="1">IF(OFFSET('IWP04'!UnitsOfServicePeriod2, 0, 5, 1, 1) = "", 0, OFFSET('IWP04'!UnitsOfServicePeriod2, 0, 5, 1, 1))</f>
        <v>0</v>
      </c>
      <c r="J218" s="128">
        <f ca="1">OFFSET('IWP04'!UnitsOfServicePeriod2, 0, 6, 1, 1)</f>
        <v>0</v>
      </c>
      <c r="K218" s="128">
        <f ca="1">IF(OFFSET('IWP04'!UnitsOfServicePeriod2, 0, 7, 1, 1) = "", 0, OFFSET('IWP04'!UnitsOfServicePeriod2, 0, 7, 1, 1))</f>
        <v>0</v>
      </c>
      <c r="L218" s="128">
        <f ca="1">OFFSET('IWP04'!UnitsOfServicePeriod2, 0, 8, 1, 1)</f>
        <v>0</v>
      </c>
      <c r="M218" s="128">
        <f ca="1">IF(OFFSET('IWP04'!UnitsOfServicePeriod2, 0, 9, 1, 1) = "", 0, OFFSET('IWP04'!UnitsOfServicePeriod2, 0, 9, 1, 1))</f>
        <v>0</v>
      </c>
      <c r="N218" s="128">
        <f ca="1">OFFSET('IWP04'!UnitsOfServicePeriod2, 0, 10, 1, 1)</f>
        <v>0</v>
      </c>
      <c r="O218" s="128">
        <f ca="1">IF(OFFSET('IWP04'!UnitsOfServicePeriod2, 0, 11, 1, 1) = "", 0, OFFSET('IWP04'!UnitsOfServicePeriod2, 0, 11, 1, 1))</f>
        <v>0</v>
      </c>
      <c r="P218" s="128">
        <f ca="1">OFFSET('IWP04'!UnitsOfServicePeriod2, 0, 12, 1, 1)</f>
        <v>0</v>
      </c>
      <c r="Q218" s="128">
        <f ca="1">IF(OFFSET('IWP04'!UnitsOfServicePeriod2, 0, 13, 1, 1) = "", 0, OFFSET('IWP04'!UnitsOfServicePeriod2, 0, 13, 1, 1))</f>
        <v>0</v>
      </c>
      <c r="R218" s="128">
        <f ca="1">OFFSET('IWP04'!UnitsOfServicePeriod2, 0, 14, 1, 1)</f>
        <v>0</v>
      </c>
      <c r="S218" s="128">
        <f ca="1">IF(OFFSET('IWP04'!UnitsOfServicePeriod2, 0, 15, 1, 1) = "", 0, OFFSET('IWP04'!UnitsOfServicePeriod2, 0, 15, 1, 1))</f>
        <v>0</v>
      </c>
      <c r="T218" s="128">
        <f ca="1">IF(OFFSET('IWP04'!UnitsOfServicePeriod2, 0, 16, 1, 1) = "", 0, OFFSET('IWP04'!UnitsOfServicePeriod2, 0, 16, 1, 1))</f>
        <v>0</v>
      </c>
      <c r="U218" s="128">
        <f ca="1">OFFSET('IWP04'!UnitsOfServicePeriod2, 0, 17, 1, 1)</f>
        <v>0</v>
      </c>
      <c r="V218" s="128">
        <f ca="1">IF(OFFSET('IWP04'!UnitsOfServicePeriod2, 0, 19, 1, 1) = "", 0, OFFSET('IWP04'!UnitsOfServicePeriod2, 0, 19, 1, 1))</f>
        <v>0</v>
      </c>
      <c r="W218" s="128">
        <f ca="1">OFFSET('IWP04'!UnitsOfServicePeriod2, 0, 20, 1, 1)</f>
        <v>0</v>
      </c>
      <c r="X218" s="128">
        <f ca="1">IF(OFFSET('IWP04'!UnitsOfServicePeriod2, 0, 21, 1, 1) = "", 0, OFFSET('IWP04'!UnitsOfServicePeriod2, 0, 21, 1, 1))</f>
        <v>0</v>
      </c>
      <c r="Y218" s="137">
        <f ca="1">OFFSET('IWP04'!UnitsOfServicePeriod2, 0, 22, 1, 1)</f>
        <v>0</v>
      </c>
    </row>
    <row r="219" spans="1:25">
      <c r="A219" s="125" t="s">
        <v>477</v>
      </c>
      <c r="B219" s="128">
        <v>2</v>
      </c>
      <c r="C219" s="128">
        <v>2</v>
      </c>
      <c r="D219" s="107">
        <f ca="1">IF(OFFSET('IWP04'!UnitsOfServicePeriod2, 1, 0, 1, 1)=DATE(1900,1,0), DATE(1900,1,1),OFFSET('IWP04'!UnitsOfServicePeriod2, 1, 0, 1, 1))</f>
        <v>1</v>
      </c>
      <c r="E219" s="107">
        <f ca="1">IF(OFFSET('IWP04'!UnitsOfServicePeriod2, 1, 1, 1, 1)=DATE(1900,1,0), DATE(1900,1,1),OFFSET('IWP04'!UnitsOfServicePeriod2, 1, 1, 1, 1))</f>
        <v>1</v>
      </c>
      <c r="F219" s="128">
        <f ca="1">OFFSET('IWP04'!UnitsOfServicePeriod2, 1, 2, 1, 1)</f>
        <v>0</v>
      </c>
      <c r="G219" s="128">
        <f ca="1">IF(OFFSET('IWP04'!UnitsOfServicePeriod2, 1, 3, 1, 1) = "", 0, OFFSET('IWP04'!UnitsOfServicePeriod2, 1, 3, 1, 1))</f>
        <v>0</v>
      </c>
      <c r="H219" s="128">
        <f ca="1">OFFSET('IWP04'!UnitsOfServicePeriod2, 1, 4, 1, 1)</f>
        <v>0</v>
      </c>
      <c r="I219" s="128">
        <f ca="1">IF(OFFSET('IWP04'!UnitsOfServicePeriod2, 1, 5, 1, 1) = "", 0, OFFSET('IWP04'!UnitsOfServicePeriod2, 1, 5, 1, 1))</f>
        <v>0</v>
      </c>
      <c r="J219" s="128">
        <f ca="1">OFFSET('IWP04'!UnitsOfServicePeriod2, 1, 6, 1, 1)</f>
        <v>0</v>
      </c>
      <c r="K219" s="128">
        <f ca="1">IF(OFFSET('IWP04'!UnitsOfServicePeriod2, 1, 7, 1, 1) = "", 0, OFFSET('IWP04'!UnitsOfServicePeriod2, 1, 7, 1, 1))</f>
        <v>0</v>
      </c>
      <c r="L219" s="128">
        <f ca="1">OFFSET('IWP04'!UnitsOfServicePeriod2, 1, 8, 1, 1)</f>
        <v>0</v>
      </c>
      <c r="M219" s="128">
        <f ca="1">IF(OFFSET('IWP04'!UnitsOfServicePeriod2, 1, 9, 1, 1) = "", 0, OFFSET('IWP04'!UnitsOfServicePeriod2, 1, 9, 1, 1))</f>
        <v>0</v>
      </c>
      <c r="N219" s="128">
        <f ca="1">OFFSET('IWP04'!UnitsOfServicePeriod2, 1, 10, 1, 1)</f>
        <v>0</v>
      </c>
      <c r="O219" s="128">
        <f ca="1">IF(OFFSET('IWP04'!UnitsOfServicePeriod2, 1, 11, 1, 1) = "", 0, OFFSET('IWP04'!UnitsOfServicePeriod2, 1, 11, 1, 1))</f>
        <v>0</v>
      </c>
      <c r="P219" s="128">
        <f ca="1">OFFSET('IWP04'!UnitsOfServicePeriod2, 1, 12, 1, 1)</f>
        <v>0</v>
      </c>
      <c r="Q219" s="128">
        <f ca="1">IF(OFFSET('IWP04'!UnitsOfServicePeriod2, 1, 13, 1, 1) = "", 0, OFFSET('IWP04'!UnitsOfServicePeriod2, 1, 13, 1, 1))</f>
        <v>0</v>
      </c>
      <c r="R219" s="128">
        <f ca="1">OFFSET('IWP04'!UnitsOfServicePeriod2, 1, 14, 1, 1)</f>
        <v>0</v>
      </c>
      <c r="S219" s="128">
        <f ca="1">IF(OFFSET('IWP04'!UnitsOfServicePeriod2, 1, 15, 1, 1) = "", 0, OFFSET('IWP04'!UnitsOfServicePeriod2, 1, 15, 1, 1))</f>
        <v>0</v>
      </c>
      <c r="T219" s="128">
        <f ca="1">IF(OFFSET('IWP04'!UnitsOfServicePeriod2, 1, 16, 1, 1) = "", 0, OFFSET('IWP04'!UnitsOfServicePeriod2, 1, 16, 1, 1))</f>
        <v>0</v>
      </c>
      <c r="U219" s="128">
        <f ca="1">OFFSET('IWP04'!UnitsOfServicePeriod2, 1, 17, 1, 1)</f>
        <v>0</v>
      </c>
      <c r="V219" s="128">
        <f ca="1">IF(OFFSET('IWP04'!UnitsOfServicePeriod2, 1, 19, 1, 1) = "", 0, OFFSET('IWP04'!UnitsOfServicePeriod2, 1, 19, 1, 1))</f>
        <v>0</v>
      </c>
      <c r="W219" s="128">
        <f ca="1">OFFSET('IWP04'!UnitsOfServicePeriod2, 1, 20, 1, 1)</f>
        <v>0</v>
      </c>
      <c r="X219" s="128">
        <f ca="1">IF(OFFSET('IWP04'!UnitsOfServicePeriod2, 1, 21, 1, 1) = "", 0, OFFSET('IWP04'!UnitsOfServicePeriod2, 1, 21, 1, 1))</f>
        <v>0</v>
      </c>
      <c r="Y219" s="137">
        <f ca="1">OFFSET('IWP04'!UnitsOfServicePeriod2, 1, 22, 1, 1)</f>
        <v>0</v>
      </c>
    </row>
    <row r="220" spans="1:25">
      <c r="A220" s="125" t="s">
        <v>477</v>
      </c>
      <c r="B220" s="128">
        <v>2</v>
      </c>
      <c r="C220" s="128">
        <v>3</v>
      </c>
      <c r="D220" s="107">
        <f ca="1">IF(OFFSET('IWP04'!UnitsOfServicePeriod2, 2, 0, 1, 1)=DATE(1900,1,0), DATE(1900,1,1),OFFSET('IWP04'!UnitsOfServicePeriod2, 2, 0, 1, 1))</f>
        <v>1</v>
      </c>
      <c r="E220" s="107">
        <f ca="1">IF(OFFSET('IWP04'!UnitsOfServicePeriod2, 2, 1, 1, 1)=DATE(1900,1,0), DATE(1900,1,1),OFFSET('IWP04'!UnitsOfServicePeriod2, 2, 1, 1, 1))</f>
        <v>1</v>
      </c>
      <c r="F220" s="128">
        <f ca="1">OFFSET('IWP04'!UnitsOfServicePeriod2, 2, 2, 1, 1)</f>
        <v>0</v>
      </c>
      <c r="G220" s="128">
        <f ca="1">IF(OFFSET('IWP04'!UnitsOfServicePeriod2, 2, 3, 1, 1) = "", 0, OFFSET('IWP04'!UnitsOfServicePeriod2, 2, 3, 1, 1))</f>
        <v>0</v>
      </c>
      <c r="H220" s="128">
        <f ca="1">OFFSET('IWP04'!UnitsOfServicePeriod2, 2, 4, 1, 1)</f>
        <v>0</v>
      </c>
      <c r="I220" s="128">
        <f ca="1">IF(OFFSET('IWP04'!UnitsOfServicePeriod2, 2, 5, 1, 1) = "", 0, OFFSET('IWP04'!UnitsOfServicePeriod2, 2, 5, 1, 1))</f>
        <v>0</v>
      </c>
      <c r="J220" s="128">
        <f ca="1">OFFSET('IWP04'!UnitsOfServicePeriod2, 2, 6, 1, 1)</f>
        <v>0</v>
      </c>
      <c r="K220" s="128">
        <f ca="1">IF(OFFSET('IWP04'!UnitsOfServicePeriod2, 2, 7, 1, 1) = "", 0, OFFSET('IWP04'!UnitsOfServicePeriod2, 2, 7, 1, 1))</f>
        <v>0</v>
      </c>
      <c r="L220" s="128">
        <f ca="1">OFFSET('IWP04'!UnitsOfServicePeriod2, 2, 8, 1, 1)</f>
        <v>0</v>
      </c>
      <c r="M220" s="128">
        <f ca="1">IF(OFFSET('IWP04'!UnitsOfServicePeriod2, 2, 9, 1, 1) = "", 0, OFFSET('IWP04'!UnitsOfServicePeriod2, 2, 9, 1, 1))</f>
        <v>0</v>
      </c>
      <c r="N220" s="128">
        <f ca="1">OFFSET('IWP04'!UnitsOfServicePeriod2, 2, 10, 1, 1)</f>
        <v>0</v>
      </c>
      <c r="O220" s="128">
        <f ca="1">IF(OFFSET('IWP04'!UnitsOfServicePeriod2, 2, 11, 1, 1) = "", 0, OFFSET('IWP04'!UnitsOfServicePeriod2, 2, 11, 1, 1))</f>
        <v>0</v>
      </c>
      <c r="P220" s="128">
        <f ca="1">OFFSET('IWP04'!UnitsOfServicePeriod2, 2, 12, 1, 1)</f>
        <v>0</v>
      </c>
      <c r="Q220" s="128">
        <f ca="1">IF(OFFSET('IWP04'!UnitsOfServicePeriod2, 2, 13, 1, 1) = "", 0, OFFSET('IWP04'!UnitsOfServicePeriod2, 2, 13, 1, 1))</f>
        <v>0</v>
      </c>
      <c r="R220" s="128">
        <f ca="1">OFFSET('IWP04'!UnitsOfServicePeriod2, 2, 14, 1, 1)</f>
        <v>0</v>
      </c>
      <c r="S220" s="128">
        <f ca="1">IF(OFFSET('IWP04'!UnitsOfServicePeriod2, 2, 15, 1, 1) = "", 0, OFFSET('IWP04'!UnitsOfServicePeriod2, 2, 15, 1, 1))</f>
        <v>0</v>
      </c>
      <c r="T220" s="128">
        <f ca="1">IF(OFFSET('IWP04'!UnitsOfServicePeriod2, 2, 16, 1, 1) = "", 0, OFFSET('IWP04'!UnitsOfServicePeriod2, 2, 16, 1, 1))</f>
        <v>0</v>
      </c>
      <c r="U220" s="128">
        <f ca="1">OFFSET('IWP04'!UnitsOfServicePeriod2, 2, 17, 1, 1)</f>
        <v>0</v>
      </c>
      <c r="V220" s="128">
        <f ca="1">IF(OFFSET('IWP04'!UnitsOfServicePeriod2, 2, 19, 1, 1) = "", 0, OFFSET('IWP04'!UnitsOfServicePeriod2, 2, 19, 1, 1))</f>
        <v>0</v>
      </c>
      <c r="W220" s="128">
        <f ca="1">OFFSET('IWP04'!UnitsOfServicePeriod2, 2, 20, 1, 1)</f>
        <v>0</v>
      </c>
      <c r="X220" s="128">
        <f ca="1">IF(OFFSET('IWP04'!UnitsOfServicePeriod2, 2, 21, 1, 1) = "", 0, OFFSET('IWP04'!UnitsOfServicePeriod2, 2, 21, 1, 1))</f>
        <v>0</v>
      </c>
      <c r="Y220" s="137">
        <f ca="1">OFFSET('IWP04'!UnitsOfServicePeriod2, 2, 22, 1, 1)</f>
        <v>0</v>
      </c>
    </row>
    <row r="221" spans="1:25">
      <c r="A221" s="125" t="s">
        <v>477</v>
      </c>
      <c r="B221" s="128">
        <v>2</v>
      </c>
      <c r="C221" s="128">
        <v>4</v>
      </c>
      <c r="D221" s="107">
        <f ca="1">IF(OFFSET('IWP04'!UnitsOfServicePeriod2, 3, 0, 1, 1)=DATE(1900,1,0), DATE(1900,1,1),OFFSET('IWP04'!UnitsOfServicePeriod2, 3, 0, 1, 1))</f>
        <v>1</v>
      </c>
      <c r="E221" s="107">
        <f ca="1">IF(OFFSET('IWP04'!UnitsOfServicePeriod2, 3, 1, 1, 1)=DATE(1900,1,0), DATE(1900,1,1),OFFSET('IWP04'!UnitsOfServicePeriod2, 3, 1, 1, 1))</f>
        <v>1</v>
      </c>
      <c r="F221" s="128">
        <f ca="1">OFFSET('IWP04'!UnitsOfServicePeriod2, 3, 2, 1, 1)</f>
        <v>0</v>
      </c>
      <c r="G221" s="128">
        <f ca="1">IF(OFFSET('IWP04'!UnitsOfServicePeriod2, 3, 3, 1, 1) = "", 0, OFFSET('IWP04'!UnitsOfServicePeriod2, 3, 3, 1, 1))</f>
        <v>0</v>
      </c>
      <c r="H221" s="128">
        <f ca="1">OFFSET('IWP04'!UnitsOfServicePeriod2, 3, 4, 1, 1)</f>
        <v>0</v>
      </c>
      <c r="I221" s="128">
        <f ca="1">IF(OFFSET('IWP04'!UnitsOfServicePeriod2, 3, 5, 1, 1) = "", 0, OFFSET('IWP04'!UnitsOfServicePeriod2, 3, 5, 1, 1))</f>
        <v>0</v>
      </c>
      <c r="J221" s="128">
        <f ca="1">OFFSET('IWP04'!UnitsOfServicePeriod2, 3, 6, 1, 1)</f>
        <v>0</v>
      </c>
      <c r="K221" s="128">
        <f ca="1">IF(OFFSET('IWP04'!UnitsOfServicePeriod2, 3, 7, 1, 1) = "", 0, OFFSET('IWP04'!UnitsOfServicePeriod2, 3, 7, 1, 1))</f>
        <v>0</v>
      </c>
      <c r="L221" s="128">
        <f ca="1">OFFSET('IWP04'!UnitsOfServicePeriod2, 3, 8, 1, 1)</f>
        <v>0</v>
      </c>
      <c r="M221" s="128">
        <f ca="1">IF(OFFSET('IWP04'!UnitsOfServicePeriod2, 3, 9, 1, 1) = "", 0, OFFSET('IWP04'!UnitsOfServicePeriod2, 3, 9, 1, 1))</f>
        <v>0</v>
      </c>
      <c r="N221" s="128">
        <f ca="1">OFFSET('IWP04'!UnitsOfServicePeriod2, 3, 10, 1, 1)</f>
        <v>0</v>
      </c>
      <c r="O221" s="128">
        <f ca="1">IF(OFFSET('IWP04'!UnitsOfServicePeriod2, 3, 11, 1, 1) = "", 0, OFFSET('IWP04'!UnitsOfServicePeriod2, 3, 11, 1, 1))</f>
        <v>0</v>
      </c>
      <c r="P221" s="128">
        <f ca="1">OFFSET('IWP04'!UnitsOfServicePeriod2, 3, 12, 1, 1)</f>
        <v>0</v>
      </c>
      <c r="Q221" s="128">
        <f ca="1">IF(OFFSET('IWP04'!UnitsOfServicePeriod2, 3, 13, 1, 1) = "", 0, OFFSET('IWP04'!UnitsOfServicePeriod2, 3, 13, 1, 1))</f>
        <v>0</v>
      </c>
      <c r="R221" s="128">
        <f ca="1">OFFSET('IWP04'!UnitsOfServicePeriod2, 3, 14, 1, 1)</f>
        <v>0</v>
      </c>
      <c r="S221" s="128">
        <f ca="1">IF(OFFSET('IWP04'!UnitsOfServicePeriod2, 3, 15, 1, 1) = "", 0, OFFSET('IWP04'!UnitsOfServicePeriod2, 3, 15, 1, 1))</f>
        <v>0</v>
      </c>
      <c r="T221" s="128">
        <f ca="1">IF(OFFSET('IWP04'!UnitsOfServicePeriod2, 3, 16, 1, 1) = "", 0, OFFSET('IWP04'!UnitsOfServicePeriod2, 3, 16, 1, 1))</f>
        <v>0</v>
      </c>
      <c r="U221" s="128">
        <f ca="1">OFFSET('IWP04'!UnitsOfServicePeriod2, 3, 17, 1, 1)</f>
        <v>0</v>
      </c>
      <c r="V221" s="128">
        <f ca="1">IF(OFFSET('IWP04'!UnitsOfServicePeriod2, 3, 19, 1, 1) = "", 0, OFFSET('IWP04'!UnitsOfServicePeriod2, 3, 19, 1, 1))</f>
        <v>0</v>
      </c>
      <c r="W221" s="128">
        <f ca="1">OFFSET('IWP04'!UnitsOfServicePeriod2, 3, 20, 1, 1)</f>
        <v>0</v>
      </c>
      <c r="X221" s="128">
        <f ca="1">IF(OFFSET('IWP04'!UnitsOfServicePeriod2, 3, 21, 1, 1) = "", 0, OFFSET('IWP04'!UnitsOfServicePeriod2, 3, 21, 1, 1))</f>
        <v>0</v>
      </c>
      <c r="Y221" s="137">
        <f ca="1">OFFSET('IWP04'!UnitsOfServicePeriod2, 3, 22, 1, 1)</f>
        <v>0</v>
      </c>
    </row>
    <row r="222" spans="1:25">
      <c r="A222" s="125" t="s">
        <v>477</v>
      </c>
      <c r="B222" s="128">
        <v>2</v>
      </c>
      <c r="C222" s="128">
        <v>5</v>
      </c>
      <c r="D222" s="107">
        <f ca="1">IF(OFFSET('IWP04'!UnitsOfServicePeriod2, 4, 0, 1, 1)=DATE(1900,1,0), DATE(1900,1,1),OFFSET('IWP04'!UnitsOfServicePeriod2, 4, 0, 1, 1))</f>
        <v>1</v>
      </c>
      <c r="E222" s="107">
        <f ca="1">IF(OFFSET('IWP04'!UnitsOfServicePeriod2, 4, 1, 1, 1)=DATE(1900,1,0), DATE(1900,1,1),OFFSET('IWP04'!UnitsOfServicePeriod2, 4, 1, 1, 1))</f>
        <v>1</v>
      </c>
      <c r="F222" s="128">
        <f ca="1">OFFSET('IWP04'!UnitsOfServicePeriod2, 4, 2, 1, 1)</f>
        <v>0</v>
      </c>
      <c r="G222" s="128">
        <f ca="1">IF(OFFSET('IWP04'!UnitsOfServicePeriod2, 4, 3, 1, 1) = "", 0, OFFSET('IWP04'!UnitsOfServicePeriod2, 4, 3, 1, 1))</f>
        <v>0</v>
      </c>
      <c r="H222" s="128">
        <f ca="1">OFFSET('IWP04'!UnitsOfServicePeriod2, 4, 4, 1, 1)</f>
        <v>0</v>
      </c>
      <c r="I222" s="128">
        <f ca="1">IF(OFFSET('IWP04'!UnitsOfServicePeriod2, 4, 5, 1, 1) = "", 0, OFFSET('IWP04'!UnitsOfServicePeriod2, 4, 5, 1, 1))</f>
        <v>0</v>
      </c>
      <c r="J222" s="128">
        <f ca="1">OFFSET('IWP04'!UnitsOfServicePeriod2, 4, 6, 1, 1)</f>
        <v>0</v>
      </c>
      <c r="K222" s="128">
        <f ca="1">IF(OFFSET('IWP04'!UnitsOfServicePeriod2, 4, 7, 1, 1) = "", 0, OFFSET('IWP04'!UnitsOfServicePeriod2, 4, 7, 1, 1))</f>
        <v>0</v>
      </c>
      <c r="L222" s="128">
        <f ca="1">OFFSET('IWP04'!UnitsOfServicePeriod2, 4, 8, 1, 1)</f>
        <v>0</v>
      </c>
      <c r="M222" s="128">
        <f ca="1">IF(OFFSET('IWP04'!UnitsOfServicePeriod2, 4, 9, 1, 1) = "", 0, OFFSET('IWP04'!UnitsOfServicePeriod2, 4, 9, 1, 1))</f>
        <v>0</v>
      </c>
      <c r="N222" s="128">
        <f ca="1">OFFSET('IWP04'!UnitsOfServicePeriod2, 4, 10, 1, 1)</f>
        <v>0</v>
      </c>
      <c r="O222" s="128">
        <f ca="1">IF(OFFSET('IWP04'!UnitsOfServicePeriod2, 4, 11, 1, 1) = "", 0, OFFSET('IWP04'!UnitsOfServicePeriod2, 4, 11, 1, 1))</f>
        <v>0</v>
      </c>
      <c r="P222" s="128">
        <f ca="1">OFFSET('IWP04'!UnitsOfServicePeriod2, 4, 12, 1, 1)</f>
        <v>0</v>
      </c>
      <c r="Q222" s="128">
        <f ca="1">IF(OFFSET('IWP04'!UnitsOfServicePeriod2, 4, 13, 1, 1) = "", 0, OFFSET('IWP04'!UnitsOfServicePeriod2, 4, 13, 1, 1))</f>
        <v>0</v>
      </c>
      <c r="R222" s="128">
        <f ca="1">OFFSET('IWP04'!UnitsOfServicePeriod2, 4, 14, 1, 1)</f>
        <v>0</v>
      </c>
      <c r="S222" s="128">
        <f ca="1">IF(OFFSET('IWP04'!UnitsOfServicePeriod2, 4, 15, 1, 1) = "", 0, OFFSET('IWP04'!UnitsOfServicePeriod2, 4, 15, 1, 1))</f>
        <v>0</v>
      </c>
      <c r="T222" s="128">
        <f ca="1">IF(OFFSET('IWP04'!UnitsOfServicePeriod2, 4, 16, 1, 1) = "", 0, OFFSET('IWP04'!UnitsOfServicePeriod2, 4, 16, 1, 1))</f>
        <v>0</v>
      </c>
      <c r="U222" s="128">
        <f ca="1">OFFSET('IWP04'!UnitsOfServicePeriod2, 4, 17, 1, 1)</f>
        <v>0</v>
      </c>
      <c r="V222" s="128">
        <f ca="1">IF(OFFSET('IWP04'!UnitsOfServicePeriod2, 4, 19, 1, 1) = "", 0, OFFSET('IWP04'!UnitsOfServicePeriod2, 4, 19, 1, 1))</f>
        <v>0</v>
      </c>
      <c r="W222" s="128">
        <f ca="1">OFFSET('IWP04'!UnitsOfServicePeriod2, 4, 20, 1, 1)</f>
        <v>0</v>
      </c>
      <c r="X222" s="128">
        <f ca="1">IF(OFFSET('IWP04'!UnitsOfServicePeriod2, 4, 21, 1, 1) = "", 0, OFFSET('IWP04'!UnitsOfServicePeriod2, 4, 21, 1, 1))</f>
        <v>0</v>
      </c>
      <c r="Y222" s="137">
        <f ca="1">OFFSET('IWP04'!UnitsOfServicePeriod2, 4, 22, 1, 1)</f>
        <v>0</v>
      </c>
    </row>
    <row r="223" spans="1:25">
      <c r="A223" s="125" t="s">
        <v>477</v>
      </c>
      <c r="B223" s="128">
        <v>2</v>
      </c>
      <c r="C223" s="128">
        <v>6</v>
      </c>
      <c r="D223" s="107">
        <f ca="1">IF(OFFSET('IWP04'!UnitsOfServicePeriod2, 5, 0, 1, 1)=DATE(1900,1,0), DATE(1900,1,1),OFFSET('IWP04'!UnitsOfServicePeriod2, 5, 0, 1, 1))</f>
        <v>1</v>
      </c>
      <c r="E223" s="107">
        <f ca="1">IF(OFFSET('IWP04'!UnitsOfServicePeriod2, 5, 1, 1, 1)=DATE(1900,1,0), DATE(1900,1,1),OFFSET('IWP04'!UnitsOfServicePeriod2, 5, 1, 1, 1))</f>
        <v>1</v>
      </c>
      <c r="F223" s="128">
        <f ca="1">OFFSET('IWP04'!UnitsOfServicePeriod2, 5, 2, 1, 1)</f>
        <v>0</v>
      </c>
      <c r="G223" s="128">
        <f ca="1">IF(OFFSET('IWP04'!UnitsOfServicePeriod2, 5, 3, 1, 1) = "", 0, OFFSET('IWP04'!UnitsOfServicePeriod2, 5, 3, 1, 1))</f>
        <v>0</v>
      </c>
      <c r="H223" s="128">
        <f ca="1">OFFSET('IWP04'!UnitsOfServicePeriod2, 5, 4, 1, 1)</f>
        <v>0</v>
      </c>
      <c r="I223" s="128">
        <f ca="1">IF(OFFSET('IWP04'!UnitsOfServicePeriod2, 5, 5, 1, 1) = "", 0, OFFSET('IWP04'!UnitsOfServicePeriod2, 5, 5, 1, 1))</f>
        <v>0</v>
      </c>
      <c r="J223" s="128">
        <f ca="1">OFFSET('IWP04'!UnitsOfServicePeriod2, 5, 6, 1, 1)</f>
        <v>0</v>
      </c>
      <c r="K223" s="128">
        <f ca="1">IF(OFFSET('IWP04'!UnitsOfServicePeriod2, 5, 7, 1, 1) = "", 0, OFFSET('IWP04'!UnitsOfServicePeriod2, 5, 7, 1, 1))</f>
        <v>0</v>
      </c>
      <c r="L223" s="128">
        <f ca="1">OFFSET('IWP04'!UnitsOfServicePeriod2, 5, 8, 1, 1)</f>
        <v>0</v>
      </c>
      <c r="M223" s="128">
        <f ca="1">IF(OFFSET('IWP04'!UnitsOfServicePeriod2, 5, 9, 1, 1) = "", 0, OFFSET('IWP04'!UnitsOfServicePeriod2, 5, 9, 1, 1))</f>
        <v>0</v>
      </c>
      <c r="N223" s="128">
        <f ca="1">OFFSET('IWP04'!UnitsOfServicePeriod2, 5, 10, 1, 1)</f>
        <v>0</v>
      </c>
      <c r="O223" s="128">
        <f ca="1">IF(OFFSET('IWP04'!UnitsOfServicePeriod2, 5, 11, 1, 1) = "", 0, OFFSET('IWP04'!UnitsOfServicePeriod2, 5, 11, 1, 1))</f>
        <v>0</v>
      </c>
      <c r="P223" s="128">
        <f ca="1">OFFSET('IWP04'!UnitsOfServicePeriod2, 5, 12, 1, 1)</f>
        <v>0</v>
      </c>
      <c r="Q223" s="128">
        <f ca="1">IF(OFFSET('IWP04'!UnitsOfServicePeriod2, 5, 13, 1, 1) = "", 0, OFFSET('IWP04'!UnitsOfServicePeriod2, 5, 13, 1, 1))</f>
        <v>0</v>
      </c>
      <c r="R223" s="128">
        <f ca="1">OFFSET('IWP04'!UnitsOfServicePeriod2, 5, 14, 1, 1)</f>
        <v>0</v>
      </c>
      <c r="S223" s="128">
        <f ca="1">IF(OFFSET('IWP04'!UnitsOfServicePeriod2, 5, 15, 1, 1) = "", 0, OFFSET('IWP04'!UnitsOfServicePeriod2, 5, 15, 1, 1))</f>
        <v>0</v>
      </c>
      <c r="T223" s="128">
        <f ca="1">IF(OFFSET('IWP04'!UnitsOfServicePeriod2, 5, 16, 1, 1) = "", 0, OFFSET('IWP04'!UnitsOfServicePeriod2, 5, 16, 1, 1))</f>
        <v>0</v>
      </c>
      <c r="U223" s="128">
        <f ca="1">OFFSET('IWP04'!UnitsOfServicePeriod2, 5, 17, 1, 1)</f>
        <v>0</v>
      </c>
      <c r="V223" s="128">
        <f ca="1">IF(OFFSET('IWP04'!UnitsOfServicePeriod2, 5, 19, 1, 1) = "", 0, OFFSET('IWP04'!UnitsOfServicePeriod2, 5, 19, 1, 1))</f>
        <v>0</v>
      </c>
      <c r="W223" s="128">
        <f ca="1">OFFSET('IWP04'!UnitsOfServicePeriod2, 5, 20, 1, 1)</f>
        <v>0</v>
      </c>
      <c r="X223" s="128">
        <f ca="1">IF(OFFSET('IWP04'!UnitsOfServicePeriod2, 5, 21, 1, 1) = "", 0, OFFSET('IWP04'!UnitsOfServicePeriod2, 5, 21, 1, 1))</f>
        <v>0</v>
      </c>
      <c r="Y223" s="137">
        <f ca="1">OFFSET('IWP04'!UnitsOfServicePeriod2, 5, 22, 1, 1)</f>
        <v>0</v>
      </c>
    </row>
    <row r="224" spans="1:25">
      <c r="A224" s="125" t="s">
        <v>478</v>
      </c>
      <c r="B224" s="128">
        <v>1</v>
      </c>
      <c r="C224" s="128">
        <v>1</v>
      </c>
      <c r="D224" s="107">
        <f ca="1">IF(OFFSET('IWP05'!UnitsOfServicePeriod1, 0, 0, 1, 1)=DATE(1900,1,0), DATE(1900,1,1),OFFSET('IWP05'!UnitsOfServicePeriod1, 0, 0, 1, 1))</f>
        <v>1</v>
      </c>
      <c r="E224" s="107">
        <f ca="1">IF(OFFSET('IWP05'!UnitsOfServicePeriod1, 0, 1, 1, 1)=DATE(1900,1,0), DATE(1900,1,1),OFFSET('IWP05'!UnitsOfServicePeriod1, 0, 1, 1, 1))</f>
        <v>1</v>
      </c>
      <c r="F224" s="128">
        <f ca="1">OFFSET('IWP05'!UnitsOfServicePeriod1, 0, 2, 1, 1)</f>
        <v>0</v>
      </c>
      <c r="G224" s="128">
        <f ca="1">IF(OFFSET('IWP05'!UnitsOfServicePeriod1, 0, 3, 1, 1) = "", 0, OFFSET('IWP05'!UnitsOfServicePeriod1, 0, 3, 1, 1))</f>
        <v>0</v>
      </c>
      <c r="H224" s="128">
        <f ca="1">OFFSET('IWP05'!UnitsOfServicePeriod1, 0, 4, 1, 1)</f>
        <v>0</v>
      </c>
      <c r="I224" s="128">
        <f ca="1">IF(OFFSET('IWP05'!UnitsOfServicePeriod1, 0, 5, 1, 1) = "", 0, OFFSET('IWP05'!UnitsOfServicePeriod1, 0, 5, 1, 1))</f>
        <v>0</v>
      </c>
      <c r="J224" s="128">
        <f ca="1">OFFSET('IWP05'!UnitsOfServicePeriod1, 0, 6, 1, 1)</f>
        <v>0</v>
      </c>
      <c r="K224" s="128">
        <f ca="1">IF(OFFSET('IWP05'!UnitsOfServicePeriod1, 0, 7, 1, 1) = "", 0, OFFSET('IWP05'!UnitsOfServicePeriod1, 0, 7, 1, 1))</f>
        <v>0</v>
      </c>
      <c r="L224" s="128">
        <f ca="1">OFFSET('IWP05'!UnitsOfServicePeriod1, 0, 8, 1, 1)</f>
        <v>0</v>
      </c>
      <c r="M224" s="128">
        <f ca="1">IF(OFFSET('IWP05'!UnitsOfServicePeriod1, 0, 9, 1, 1) = "", 0, OFFSET('IWP05'!UnitsOfServicePeriod1, 0, 9, 1, 1))</f>
        <v>0</v>
      </c>
      <c r="N224" s="128">
        <f ca="1">OFFSET('IWP05'!UnitsOfServicePeriod1, 0, 10, 1, 1)</f>
        <v>0</v>
      </c>
      <c r="O224" s="128">
        <f ca="1">IF(OFFSET('IWP05'!UnitsOfServicePeriod1, 0, 11, 1, 1) = "", 0, OFFSET('IWP05'!UnitsOfServicePeriod1, 0, 11, 1, 1))</f>
        <v>0</v>
      </c>
      <c r="P224" s="128">
        <f ca="1">OFFSET('IWP05'!UnitsOfServicePeriod1, 0, 12, 1, 1)</f>
        <v>0</v>
      </c>
      <c r="Q224" s="128">
        <f ca="1">IF(OFFSET('IWP05'!UnitsOfServicePeriod1, 0, 13, 1, 1) = "", 0, OFFSET('IWP05'!UnitsOfServicePeriod1, 0, 13, 1, 1))</f>
        <v>0</v>
      </c>
      <c r="R224" s="128">
        <f ca="1">OFFSET('IWP05'!UnitsOfServicePeriod1, 0, 14, 1, 1)</f>
        <v>0</v>
      </c>
      <c r="S224" s="128">
        <f ca="1">IF(OFFSET('IWP05'!UnitsOfServicePeriod1, 0, 15, 1, 1) = "", 0, OFFSET('IWP05'!UnitsOfServicePeriod1, 0, 15, 1, 1))</f>
        <v>0</v>
      </c>
      <c r="T224" s="128">
        <f ca="1">IF(OFFSET('IWP05'!UnitsOfServicePeriod1, 0, 16, 1, 1) = "", 0, OFFSET('IWP05'!UnitsOfServicePeriod1, 0, 16, 1, 1))</f>
        <v>0</v>
      </c>
      <c r="U224" s="128">
        <f ca="1">OFFSET('IWP05'!UnitsOfServicePeriod1, 0, 17, 1, 1)</f>
        <v>0</v>
      </c>
      <c r="V224" s="128">
        <f ca="1">IF(OFFSET('IWP05'!UnitsOfServicePeriod1, 0, 19, 1, 1) = "", 0, OFFSET('IWP05'!UnitsOfServicePeriod1, 0, 19, 1, 1))</f>
        <v>0</v>
      </c>
      <c r="W224" s="128">
        <f ca="1">OFFSET('IWP05'!UnitsOfServicePeriod1, 0, 20, 1, 1)</f>
        <v>0</v>
      </c>
      <c r="X224" s="128">
        <f ca="1">IF(OFFSET('IWP05'!UnitsOfServicePeriod1, 0, 21, 1, 1) = "", 0, OFFSET('IWP05'!UnitsOfServicePeriod1, 0, 21, 1, 1))</f>
        <v>0</v>
      </c>
      <c r="Y224" s="137">
        <f ca="1">OFFSET('IWP05'!UnitsOfServicePeriod1, 0, 22, 1, 1)</f>
        <v>0</v>
      </c>
    </row>
    <row r="225" spans="1:25">
      <c r="A225" s="125" t="s">
        <v>478</v>
      </c>
      <c r="B225" s="128">
        <v>1</v>
      </c>
      <c r="C225" s="128">
        <v>2</v>
      </c>
      <c r="D225" s="107">
        <f ca="1">IF(OFFSET('IWP05'!UnitsOfServicePeriod1, 1, 0, 1, 1)=DATE(1900,1,0), DATE(1900,1,1),OFFSET('IWP05'!UnitsOfServicePeriod1, 1, 0, 1, 1))</f>
        <v>1</v>
      </c>
      <c r="E225" s="107">
        <f ca="1">IF(OFFSET('IWP05'!UnitsOfServicePeriod1, 1, 1, 1, 1)=DATE(1900,1,0), DATE(1900,1,1),OFFSET('IWP05'!UnitsOfServicePeriod1, 1, 1, 1, 1))</f>
        <v>1</v>
      </c>
      <c r="F225" s="128">
        <f ca="1">OFFSET('IWP05'!UnitsOfServicePeriod1, 1, 2, 1, 1)</f>
        <v>0</v>
      </c>
      <c r="G225" s="128">
        <f ca="1">IF(OFFSET('IWP05'!UnitsOfServicePeriod1, 1, 3, 1, 1) = "", 0, OFFSET('IWP05'!UnitsOfServicePeriod1, 1, 3, 1, 1))</f>
        <v>0</v>
      </c>
      <c r="H225" s="128">
        <f ca="1">OFFSET('IWP05'!UnitsOfServicePeriod1, 1, 4, 1, 1)</f>
        <v>0</v>
      </c>
      <c r="I225" s="128">
        <f ca="1">IF(OFFSET('IWP05'!UnitsOfServicePeriod1, 1, 5, 1, 1) = "", 0, OFFSET('IWP05'!UnitsOfServicePeriod1, 1, 5, 1, 1))</f>
        <v>0</v>
      </c>
      <c r="J225" s="128">
        <f ca="1">OFFSET('IWP05'!UnitsOfServicePeriod1, 1, 6, 1, 1)</f>
        <v>0</v>
      </c>
      <c r="K225" s="128">
        <f ca="1">IF(OFFSET('IWP05'!UnitsOfServicePeriod1, 1, 7, 1, 1) = "", 0, OFFSET('IWP05'!UnitsOfServicePeriod1, 1, 7, 1, 1))</f>
        <v>0</v>
      </c>
      <c r="L225" s="128">
        <f ca="1">OFFSET('IWP05'!UnitsOfServicePeriod1, 1, 8, 1, 1)</f>
        <v>0</v>
      </c>
      <c r="M225" s="128">
        <f ca="1">IF(OFFSET('IWP05'!UnitsOfServicePeriod1, 1, 9, 1, 1) = "", 0, OFFSET('IWP05'!UnitsOfServicePeriod1, 1, 9, 1, 1))</f>
        <v>0</v>
      </c>
      <c r="N225" s="128">
        <f ca="1">OFFSET('IWP05'!UnitsOfServicePeriod1, 1, 10, 1, 1)</f>
        <v>0</v>
      </c>
      <c r="O225" s="128">
        <f ca="1">IF(OFFSET('IWP05'!UnitsOfServicePeriod1, 1, 11, 1, 1) = "", 0, OFFSET('IWP05'!UnitsOfServicePeriod1, 1, 11, 1, 1))</f>
        <v>0</v>
      </c>
      <c r="P225" s="128">
        <f ca="1">OFFSET('IWP05'!UnitsOfServicePeriod1, 1, 12, 1, 1)</f>
        <v>0</v>
      </c>
      <c r="Q225" s="128">
        <f ca="1">IF(OFFSET('IWP05'!UnitsOfServicePeriod1, 1, 13, 1, 1) = "", 0, OFFSET('IWP05'!UnitsOfServicePeriod1, 1, 13, 1, 1))</f>
        <v>0</v>
      </c>
      <c r="R225" s="128">
        <f ca="1">OFFSET('IWP05'!UnitsOfServicePeriod1, 1, 14, 1, 1)</f>
        <v>0</v>
      </c>
      <c r="S225" s="128">
        <f ca="1">IF(OFFSET('IWP05'!UnitsOfServicePeriod1, 1, 15, 1, 1) = "", 0, OFFSET('IWP05'!UnitsOfServicePeriod1, 1, 15, 1, 1))</f>
        <v>0</v>
      </c>
      <c r="T225" s="128">
        <f ca="1">IF(OFFSET('IWP05'!UnitsOfServicePeriod1, 1, 16, 1, 1) = "", 0, OFFSET('IWP05'!UnitsOfServicePeriod1, 1, 16, 1, 1))</f>
        <v>0</v>
      </c>
      <c r="U225" s="128">
        <f ca="1">OFFSET('IWP05'!UnitsOfServicePeriod1, 1, 17, 1, 1)</f>
        <v>0</v>
      </c>
      <c r="V225" s="128">
        <f ca="1">IF(OFFSET('IWP05'!UnitsOfServicePeriod1, 1, 19, 1, 1) = "", 0, OFFSET('IWP05'!UnitsOfServicePeriod1, 1, 19, 1, 1))</f>
        <v>0</v>
      </c>
      <c r="W225" s="128">
        <f ca="1">OFFSET('IWP05'!UnitsOfServicePeriod1, 1, 20, 1, 1)</f>
        <v>0</v>
      </c>
      <c r="X225" s="128">
        <f ca="1">IF(OFFSET('IWP05'!UnitsOfServicePeriod1, 1, 21, 1, 1) = "", 0, OFFSET('IWP05'!UnitsOfServicePeriod1, 1, 21, 1, 1))</f>
        <v>0</v>
      </c>
      <c r="Y225" s="137">
        <f ca="1">OFFSET('IWP05'!UnitsOfServicePeriod1, 1, 22, 1, 1)</f>
        <v>0</v>
      </c>
    </row>
    <row r="226" spans="1:25">
      <c r="A226" s="125" t="s">
        <v>478</v>
      </c>
      <c r="B226" s="128">
        <v>1</v>
      </c>
      <c r="C226" s="128">
        <v>3</v>
      </c>
      <c r="D226" s="107">
        <f ca="1">IF(OFFSET('IWP05'!UnitsOfServicePeriod1, 2, 0, 1, 1)=DATE(1900,1,0), DATE(1900,1,1),OFFSET('IWP05'!UnitsOfServicePeriod1, 2, 0, 1, 1))</f>
        <v>1</v>
      </c>
      <c r="E226" s="107">
        <f ca="1">IF(OFFSET('IWP05'!UnitsOfServicePeriod1, 2, 1, 1, 1)=DATE(1900,1,0), DATE(1900,1,1),OFFSET('IWP05'!UnitsOfServicePeriod1, 2, 1, 1, 1))</f>
        <v>1</v>
      </c>
      <c r="F226" s="128">
        <f ca="1">OFFSET('IWP05'!UnitsOfServicePeriod1, 2, 2, 1, 1)</f>
        <v>0</v>
      </c>
      <c r="G226" s="128">
        <f ca="1">IF(OFFSET('IWP05'!UnitsOfServicePeriod1, 2, 3, 1, 1) = "", 0, OFFSET('IWP05'!UnitsOfServicePeriod1, 2, 3, 1, 1))</f>
        <v>0</v>
      </c>
      <c r="H226" s="128">
        <f ca="1">OFFSET('IWP05'!UnitsOfServicePeriod1, 2, 4, 1, 1)</f>
        <v>0</v>
      </c>
      <c r="I226" s="128">
        <f ca="1">IF(OFFSET('IWP05'!UnitsOfServicePeriod1, 2, 5, 1, 1) = "", 0, OFFSET('IWP05'!UnitsOfServicePeriod1, 2, 5, 1, 1))</f>
        <v>0</v>
      </c>
      <c r="J226" s="128">
        <f ca="1">OFFSET('IWP05'!UnitsOfServicePeriod1, 2, 6, 1, 1)</f>
        <v>0</v>
      </c>
      <c r="K226" s="128">
        <f ca="1">IF(OFFSET('IWP05'!UnitsOfServicePeriod1, 2, 7, 1, 1) = "", 0, OFFSET('IWP05'!UnitsOfServicePeriod1, 2, 7, 1, 1))</f>
        <v>0</v>
      </c>
      <c r="L226" s="128">
        <f ca="1">OFFSET('IWP05'!UnitsOfServicePeriod1, 2, 8, 1, 1)</f>
        <v>0</v>
      </c>
      <c r="M226" s="128">
        <f ca="1">IF(OFFSET('IWP05'!UnitsOfServicePeriod1, 2, 9, 1, 1) = "", 0, OFFSET('IWP05'!UnitsOfServicePeriod1, 2, 9, 1, 1))</f>
        <v>0</v>
      </c>
      <c r="N226" s="128">
        <f ca="1">OFFSET('IWP05'!UnitsOfServicePeriod1, 2, 10, 1, 1)</f>
        <v>0</v>
      </c>
      <c r="O226" s="128">
        <f ca="1">IF(OFFSET('IWP05'!UnitsOfServicePeriod1, 2, 11, 1, 1) = "", 0, OFFSET('IWP05'!UnitsOfServicePeriod1, 2, 11, 1, 1))</f>
        <v>0</v>
      </c>
      <c r="P226" s="128">
        <f ca="1">OFFSET('IWP05'!UnitsOfServicePeriod1, 2, 12, 1, 1)</f>
        <v>0</v>
      </c>
      <c r="Q226" s="128">
        <f ca="1">IF(OFFSET('IWP05'!UnitsOfServicePeriod1, 2, 13, 1, 1) = "", 0, OFFSET('IWP05'!UnitsOfServicePeriod1, 2, 13, 1, 1))</f>
        <v>0</v>
      </c>
      <c r="R226" s="128">
        <f ca="1">OFFSET('IWP05'!UnitsOfServicePeriod1, 2, 14, 1, 1)</f>
        <v>0</v>
      </c>
      <c r="S226" s="128">
        <f ca="1">IF(OFFSET('IWP05'!UnitsOfServicePeriod1, 2, 15, 1, 1) = "", 0, OFFSET('IWP05'!UnitsOfServicePeriod1, 2, 15, 1, 1))</f>
        <v>0</v>
      </c>
      <c r="T226" s="128">
        <f ca="1">IF(OFFSET('IWP05'!UnitsOfServicePeriod1, 2, 16, 1, 1) = "", 0, OFFSET('IWP05'!UnitsOfServicePeriod1, 2, 16, 1, 1))</f>
        <v>0</v>
      </c>
      <c r="U226" s="128">
        <f ca="1">OFFSET('IWP05'!UnitsOfServicePeriod1, 2, 17, 1, 1)</f>
        <v>0</v>
      </c>
      <c r="V226" s="128">
        <f ca="1">IF(OFFSET('IWP05'!UnitsOfServicePeriod1, 2, 19, 1, 1) = "", 0, OFFSET('IWP05'!UnitsOfServicePeriod1, 2, 19, 1, 1))</f>
        <v>0</v>
      </c>
      <c r="W226" s="128">
        <f ca="1">OFFSET('IWP05'!UnitsOfServicePeriod1, 2, 20, 1, 1)</f>
        <v>0</v>
      </c>
      <c r="X226" s="128">
        <f ca="1">IF(OFFSET('IWP05'!UnitsOfServicePeriod1, 2, 21, 1, 1) = "", 0, OFFSET('IWP05'!UnitsOfServicePeriod1, 2, 21, 1, 1))</f>
        <v>0</v>
      </c>
      <c r="Y226" s="137">
        <f ca="1">OFFSET('IWP05'!UnitsOfServicePeriod1, 2, 22, 1, 1)</f>
        <v>0</v>
      </c>
    </row>
    <row r="227" spans="1:25">
      <c r="A227" s="125" t="s">
        <v>478</v>
      </c>
      <c r="B227" s="128">
        <v>1</v>
      </c>
      <c r="C227" s="128">
        <v>4</v>
      </c>
      <c r="D227" s="107">
        <f ca="1">IF(OFFSET('IWP05'!UnitsOfServicePeriod1, 3, 0, 1, 1)=DATE(1900,1,0), DATE(1900,1,1),OFFSET('IWP05'!UnitsOfServicePeriod1, 3, 0, 1, 1))</f>
        <v>1</v>
      </c>
      <c r="E227" s="107">
        <f ca="1">IF(OFFSET('IWP05'!UnitsOfServicePeriod1, 3, 1, 1, 1)=DATE(1900,1,0), DATE(1900,1,1),OFFSET('IWP05'!UnitsOfServicePeriod1, 3, 1, 1, 1))</f>
        <v>1</v>
      </c>
      <c r="F227" s="128">
        <f ca="1">OFFSET('IWP05'!UnitsOfServicePeriod1, 3, 2, 1, 1)</f>
        <v>0</v>
      </c>
      <c r="G227" s="128">
        <f ca="1">IF(OFFSET('IWP05'!UnitsOfServicePeriod1, 3, 3, 1, 1) = "", 0, OFFSET('IWP05'!UnitsOfServicePeriod1, 3, 3, 1, 1))</f>
        <v>0</v>
      </c>
      <c r="H227" s="128">
        <f ca="1">OFFSET('IWP05'!UnitsOfServicePeriod1, 3, 4, 1, 1)</f>
        <v>0</v>
      </c>
      <c r="I227" s="128">
        <f ca="1">IF(OFFSET('IWP05'!UnitsOfServicePeriod1, 3, 5, 1, 1) = "", 0, OFFSET('IWP05'!UnitsOfServicePeriod1, 3, 5, 1, 1))</f>
        <v>0</v>
      </c>
      <c r="J227" s="128">
        <f ca="1">OFFSET('IWP05'!UnitsOfServicePeriod1, 3, 6, 1, 1)</f>
        <v>0</v>
      </c>
      <c r="K227" s="128">
        <f ca="1">IF(OFFSET('IWP05'!UnitsOfServicePeriod1, 3, 7, 1, 1) = "", 0, OFFSET('IWP05'!UnitsOfServicePeriod1, 3, 7, 1, 1))</f>
        <v>0</v>
      </c>
      <c r="L227" s="128">
        <f ca="1">OFFSET('IWP05'!UnitsOfServicePeriod1, 3, 8, 1, 1)</f>
        <v>0</v>
      </c>
      <c r="M227" s="128">
        <f ca="1">IF(OFFSET('IWP05'!UnitsOfServicePeriod1, 3, 9, 1, 1) = "", 0, OFFSET('IWP05'!UnitsOfServicePeriod1, 3, 9, 1, 1))</f>
        <v>0</v>
      </c>
      <c r="N227" s="128">
        <f ca="1">OFFSET('IWP05'!UnitsOfServicePeriod1, 3, 10, 1, 1)</f>
        <v>0</v>
      </c>
      <c r="O227" s="128">
        <f ca="1">IF(OFFSET('IWP05'!UnitsOfServicePeriod1, 3, 11, 1, 1) = "", 0, OFFSET('IWP05'!UnitsOfServicePeriod1, 3, 11, 1, 1))</f>
        <v>0</v>
      </c>
      <c r="P227" s="128">
        <f ca="1">OFFSET('IWP05'!UnitsOfServicePeriod1, 3, 12, 1, 1)</f>
        <v>0</v>
      </c>
      <c r="Q227" s="128">
        <f ca="1">IF(OFFSET('IWP05'!UnitsOfServicePeriod1, 3, 13, 1, 1) = "", 0, OFFSET('IWP05'!UnitsOfServicePeriod1, 3, 13, 1, 1))</f>
        <v>0</v>
      </c>
      <c r="R227" s="128">
        <f ca="1">OFFSET('IWP05'!UnitsOfServicePeriod1, 3, 14, 1, 1)</f>
        <v>0</v>
      </c>
      <c r="S227" s="128">
        <f ca="1">IF(OFFSET('IWP05'!UnitsOfServicePeriod1, 3, 15, 1, 1) = "", 0, OFFSET('IWP05'!UnitsOfServicePeriod1, 3, 15, 1, 1))</f>
        <v>0</v>
      </c>
      <c r="T227" s="128">
        <f ca="1">IF(OFFSET('IWP05'!UnitsOfServicePeriod1, 3, 16, 1, 1) = "", 0, OFFSET('IWP05'!UnitsOfServicePeriod1, 3, 16, 1, 1))</f>
        <v>0</v>
      </c>
      <c r="U227" s="128">
        <f ca="1">OFFSET('IWP05'!UnitsOfServicePeriod1, 3, 17, 1, 1)</f>
        <v>0</v>
      </c>
      <c r="V227" s="128">
        <f ca="1">IF(OFFSET('IWP05'!UnitsOfServicePeriod1, 3, 19, 1, 1) = "", 0, OFFSET('IWP05'!UnitsOfServicePeriod1, 3, 19, 1, 1))</f>
        <v>0</v>
      </c>
      <c r="W227" s="128">
        <f ca="1">OFFSET('IWP05'!UnitsOfServicePeriod1, 3, 20, 1, 1)</f>
        <v>0</v>
      </c>
      <c r="X227" s="128">
        <f ca="1">IF(OFFSET('IWP05'!UnitsOfServicePeriod1, 3, 21, 1, 1) = "", 0, OFFSET('IWP05'!UnitsOfServicePeriod1, 3, 21, 1, 1))</f>
        <v>0</v>
      </c>
      <c r="Y227" s="137">
        <f ca="1">OFFSET('IWP05'!UnitsOfServicePeriod1, 3, 22, 1, 1)</f>
        <v>0</v>
      </c>
    </row>
    <row r="228" spans="1:25">
      <c r="A228" s="125" t="s">
        <v>478</v>
      </c>
      <c r="B228" s="128">
        <v>1</v>
      </c>
      <c r="C228" s="128">
        <v>5</v>
      </c>
      <c r="D228" s="107">
        <f ca="1">IF(OFFSET('IWP05'!UnitsOfServicePeriod1, 4, 0, 1, 1)=DATE(1900,1,0), DATE(1900,1,1),OFFSET('IWP05'!UnitsOfServicePeriod1, 4, 0, 1, 1))</f>
        <v>1</v>
      </c>
      <c r="E228" s="107">
        <f ca="1">IF(OFFSET('IWP05'!UnitsOfServicePeriod1, 4, 1, 1, 1)=DATE(1900,1,0), DATE(1900,1,1),OFFSET('IWP05'!UnitsOfServicePeriod1, 4, 1, 1, 1))</f>
        <v>1</v>
      </c>
      <c r="F228" s="128">
        <f ca="1">OFFSET('IWP05'!UnitsOfServicePeriod1, 4, 2, 1, 1)</f>
        <v>0</v>
      </c>
      <c r="G228" s="128">
        <f ca="1">IF(OFFSET('IWP05'!UnitsOfServicePeriod1, 4, 3, 1, 1) = "", 0, OFFSET('IWP05'!UnitsOfServicePeriod1, 4, 3, 1, 1))</f>
        <v>0</v>
      </c>
      <c r="H228" s="128">
        <f ca="1">OFFSET('IWP05'!UnitsOfServicePeriod1, 4, 4, 1, 1)</f>
        <v>0</v>
      </c>
      <c r="I228" s="128">
        <f ca="1">IF(OFFSET('IWP05'!UnitsOfServicePeriod1, 4, 5, 1, 1) = "", 0, OFFSET('IWP05'!UnitsOfServicePeriod1, 4, 5, 1, 1))</f>
        <v>0</v>
      </c>
      <c r="J228" s="128">
        <f ca="1">OFFSET('IWP05'!UnitsOfServicePeriod1, 4, 6, 1, 1)</f>
        <v>0</v>
      </c>
      <c r="K228" s="128">
        <f ca="1">IF(OFFSET('IWP05'!UnitsOfServicePeriod1, 4, 7, 1, 1) = "", 0, OFFSET('IWP05'!UnitsOfServicePeriod1, 4, 7, 1, 1))</f>
        <v>0</v>
      </c>
      <c r="L228" s="128">
        <f ca="1">OFFSET('IWP05'!UnitsOfServicePeriod1, 4, 8, 1, 1)</f>
        <v>0</v>
      </c>
      <c r="M228" s="128">
        <f ca="1">IF(OFFSET('IWP05'!UnitsOfServicePeriod1, 4, 9, 1, 1) = "", 0, OFFSET('IWP05'!UnitsOfServicePeriod1, 4, 9, 1, 1))</f>
        <v>0</v>
      </c>
      <c r="N228" s="128">
        <f ca="1">OFFSET('IWP05'!UnitsOfServicePeriod1, 4, 10, 1, 1)</f>
        <v>0</v>
      </c>
      <c r="O228" s="128">
        <f ca="1">IF(OFFSET('IWP05'!UnitsOfServicePeriod1, 4, 11, 1, 1) = "", 0, OFFSET('IWP05'!UnitsOfServicePeriod1, 4, 11, 1, 1))</f>
        <v>0</v>
      </c>
      <c r="P228" s="128">
        <f ca="1">OFFSET('IWP05'!UnitsOfServicePeriod1, 4, 12, 1, 1)</f>
        <v>0</v>
      </c>
      <c r="Q228" s="128">
        <f ca="1">IF(OFFSET('IWP05'!UnitsOfServicePeriod1, 4, 13, 1, 1) = "", 0, OFFSET('IWP05'!UnitsOfServicePeriod1, 4, 13, 1, 1))</f>
        <v>0</v>
      </c>
      <c r="R228" s="128">
        <f ca="1">OFFSET('IWP05'!UnitsOfServicePeriod1, 4, 14, 1, 1)</f>
        <v>0</v>
      </c>
      <c r="S228" s="128">
        <f ca="1">IF(OFFSET('IWP05'!UnitsOfServicePeriod1, 4, 15, 1, 1) = "", 0, OFFSET('IWP05'!UnitsOfServicePeriod1, 4, 15, 1, 1))</f>
        <v>0</v>
      </c>
      <c r="T228" s="128">
        <f ca="1">IF(OFFSET('IWP05'!UnitsOfServicePeriod1, 4, 16, 1, 1) = "", 0, OFFSET('IWP05'!UnitsOfServicePeriod1, 4, 16, 1, 1))</f>
        <v>0</v>
      </c>
      <c r="U228" s="128">
        <f ca="1">OFFSET('IWP05'!UnitsOfServicePeriod1, 4, 17, 1, 1)</f>
        <v>0</v>
      </c>
      <c r="V228" s="128">
        <f ca="1">IF(OFFSET('IWP05'!UnitsOfServicePeriod1, 4, 19, 1, 1) = "", 0, OFFSET('IWP05'!UnitsOfServicePeriod1, 4, 19, 1, 1))</f>
        <v>0</v>
      </c>
      <c r="W228" s="128">
        <f ca="1">OFFSET('IWP05'!UnitsOfServicePeriod1, 4, 20, 1, 1)</f>
        <v>0</v>
      </c>
      <c r="X228" s="128">
        <f ca="1">IF(OFFSET('IWP05'!UnitsOfServicePeriod1, 4, 21, 1, 1) = "", 0, OFFSET('IWP05'!UnitsOfServicePeriod1, 4, 21, 1, 1))</f>
        <v>0</v>
      </c>
      <c r="Y228" s="137">
        <f ca="1">OFFSET('IWP05'!UnitsOfServicePeriod1, 4, 22, 1, 1)</f>
        <v>0</v>
      </c>
    </row>
    <row r="229" spans="1:25">
      <c r="A229" s="125" t="s">
        <v>478</v>
      </c>
      <c r="B229" s="128">
        <v>1</v>
      </c>
      <c r="C229" s="128">
        <v>6</v>
      </c>
      <c r="D229" s="107">
        <f ca="1">IF(OFFSET('IWP05'!UnitsOfServicePeriod1, 5, 0, 1, 1)=DATE(1900,1,0), DATE(1900,1,1),OFFSET('IWP05'!UnitsOfServicePeriod1, 5, 0, 1, 1))</f>
        <v>1</v>
      </c>
      <c r="E229" s="107">
        <f ca="1">IF(OFFSET('IWP05'!UnitsOfServicePeriod1, 5, 1, 1, 1)=DATE(1900,1,0), DATE(1900,1,1),OFFSET('IWP05'!UnitsOfServicePeriod1, 5, 1, 1, 1))</f>
        <v>1</v>
      </c>
      <c r="F229" s="128">
        <f ca="1">OFFSET('IWP05'!UnitsOfServicePeriod1, 5, 2, 1, 1)</f>
        <v>0</v>
      </c>
      <c r="G229" s="128">
        <f ca="1">IF(OFFSET('IWP05'!UnitsOfServicePeriod1, 5, 3, 1, 1) = "", 0, OFFSET('IWP05'!UnitsOfServicePeriod1, 5, 3, 1, 1))</f>
        <v>0</v>
      </c>
      <c r="H229" s="128">
        <f ca="1">OFFSET('IWP05'!UnitsOfServicePeriod1, 5, 4, 1, 1)</f>
        <v>0</v>
      </c>
      <c r="I229" s="128">
        <f ca="1">IF(OFFSET('IWP05'!UnitsOfServicePeriod1, 5, 5, 1, 1) = "", 0, OFFSET('IWP05'!UnitsOfServicePeriod1, 5, 5, 1, 1))</f>
        <v>0</v>
      </c>
      <c r="J229" s="128">
        <f ca="1">OFFSET('IWP05'!UnitsOfServicePeriod1, 5, 6, 1, 1)</f>
        <v>0</v>
      </c>
      <c r="K229" s="128">
        <f ca="1">IF(OFFSET('IWP05'!UnitsOfServicePeriod1, 5, 7, 1, 1) = "", 0, OFFSET('IWP05'!UnitsOfServicePeriod1, 5, 7, 1, 1))</f>
        <v>0</v>
      </c>
      <c r="L229" s="128">
        <f ca="1">OFFSET('IWP05'!UnitsOfServicePeriod1, 5, 8, 1, 1)</f>
        <v>0</v>
      </c>
      <c r="M229" s="128">
        <f ca="1">IF(OFFSET('IWP05'!UnitsOfServicePeriod1, 5, 9, 1, 1) = "", 0, OFFSET('IWP05'!UnitsOfServicePeriod1, 5, 9, 1, 1))</f>
        <v>0</v>
      </c>
      <c r="N229" s="128">
        <f ca="1">OFFSET('IWP05'!UnitsOfServicePeriod1, 5, 10, 1, 1)</f>
        <v>0</v>
      </c>
      <c r="O229" s="128">
        <f ca="1">IF(OFFSET('IWP05'!UnitsOfServicePeriod1, 5, 11, 1, 1) = "", 0, OFFSET('IWP05'!UnitsOfServicePeriod1, 5, 11, 1, 1))</f>
        <v>0</v>
      </c>
      <c r="P229" s="128">
        <f ca="1">OFFSET('IWP05'!UnitsOfServicePeriod1, 5, 12, 1, 1)</f>
        <v>0</v>
      </c>
      <c r="Q229" s="128">
        <f ca="1">IF(OFFSET('IWP05'!UnitsOfServicePeriod1, 5, 13, 1, 1) = "", 0, OFFSET('IWP05'!UnitsOfServicePeriod1, 5, 13, 1, 1))</f>
        <v>0</v>
      </c>
      <c r="R229" s="128">
        <f ca="1">OFFSET('IWP05'!UnitsOfServicePeriod1, 5, 14, 1, 1)</f>
        <v>0</v>
      </c>
      <c r="S229" s="128">
        <f ca="1">IF(OFFSET('IWP05'!UnitsOfServicePeriod1, 5, 15, 1, 1) = "", 0, OFFSET('IWP05'!UnitsOfServicePeriod1, 5, 15, 1, 1))</f>
        <v>0</v>
      </c>
      <c r="T229" s="128">
        <f ca="1">IF(OFFSET('IWP05'!UnitsOfServicePeriod1, 5, 16, 1, 1) = "", 0, OFFSET('IWP05'!UnitsOfServicePeriod1, 5, 16, 1, 1))</f>
        <v>0</v>
      </c>
      <c r="U229" s="128">
        <f ca="1">OFFSET('IWP05'!UnitsOfServicePeriod1, 5, 17, 1, 1)</f>
        <v>0</v>
      </c>
      <c r="V229" s="128">
        <f ca="1">IF(OFFSET('IWP05'!UnitsOfServicePeriod1, 5, 19, 1, 1) = "", 0, OFFSET('IWP05'!UnitsOfServicePeriod1, 5, 19, 1, 1))</f>
        <v>0</v>
      </c>
      <c r="W229" s="128">
        <f ca="1">OFFSET('IWP05'!UnitsOfServicePeriod1, 5, 20, 1, 1)</f>
        <v>0</v>
      </c>
      <c r="X229" s="128">
        <f ca="1">IF(OFFSET('IWP05'!UnitsOfServicePeriod1, 5, 21, 1, 1) = "", 0, OFFSET('IWP05'!UnitsOfServicePeriod1, 5, 21, 1, 1))</f>
        <v>0</v>
      </c>
      <c r="Y229" s="137">
        <f ca="1">OFFSET('IWP05'!UnitsOfServicePeriod1, 5, 22, 1, 1)</f>
        <v>0</v>
      </c>
    </row>
    <row r="230" spans="1:25">
      <c r="A230" s="125" t="s">
        <v>478</v>
      </c>
      <c r="B230" s="128">
        <v>2</v>
      </c>
      <c r="C230" s="128">
        <v>1</v>
      </c>
      <c r="D230" s="107">
        <f ca="1">IF(OFFSET('IWP05'!UnitsOfServicePeriod2, 0, 0, 1, 1)=DATE(1900,1,0), DATE(1900,1,1),OFFSET('IWP05'!UnitsOfServicePeriod2, 0, 0, 1, 1))</f>
        <v>1</v>
      </c>
      <c r="E230" s="107">
        <f ca="1">IF(OFFSET('IWP05'!UnitsOfServicePeriod2, 0, 1, 1, 1)=DATE(1900,1,0), DATE(1900,1,1),OFFSET('IWP05'!UnitsOfServicePeriod2, 0, 1, 1, 1))</f>
        <v>1</v>
      </c>
      <c r="F230" s="128">
        <f ca="1">OFFSET('IWP05'!UnitsOfServicePeriod2, 0, 2, 1, 1)</f>
        <v>0</v>
      </c>
      <c r="G230" s="128">
        <f ca="1">IF(OFFSET('IWP05'!UnitsOfServicePeriod2, 0, 3, 1, 1) = "", 0, OFFSET('IWP05'!UnitsOfServicePeriod2, 0, 3, 1, 1))</f>
        <v>0</v>
      </c>
      <c r="H230" s="128">
        <f ca="1">OFFSET('IWP05'!UnitsOfServicePeriod2, 0, 4, 1, 1)</f>
        <v>0</v>
      </c>
      <c r="I230" s="128">
        <f ca="1">IF(OFFSET('IWP05'!UnitsOfServicePeriod2, 0, 5, 1, 1) = "", 0, OFFSET('IWP05'!UnitsOfServicePeriod2, 0, 5, 1, 1))</f>
        <v>0</v>
      </c>
      <c r="J230" s="128">
        <f ca="1">OFFSET('IWP05'!UnitsOfServicePeriod2, 0, 6, 1, 1)</f>
        <v>0</v>
      </c>
      <c r="K230" s="128">
        <f ca="1">IF(OFFSET('IWP05'!UnitsOfServicePeriod2, 0, 7, 1, 1) = "", 0, OFFSET('IWP05'!UnitsOfServicePeriod2, 0, 7, 1, 1))</f>
        <v>0</v>
      </c>
      <c r="L230" s="128">
        <f ca="1">OFFSET('IWP05'!UnitsOfServicePeriod2, 0, 8, 1, 1)</f>
        <v>0</v>
      </c>
      <c r="M230" s="128">
        <f ca="1">IF(OFFSET('IWP05'!UnitsOfServicePeriod2, 0, 9, 1, 1) = "", 0, OFFSET('IWP05'!UnitsOfServicePeriod2, 0, 9, 1, 1))</f>
        <v>0</v>
      </c>
      <c r="N230" s="128">
        <f ca="1">OFFSET('IWP05'!UnitsOfServicePeriod2, 0, 10, 1, 1)</f>
        <v>0</v>
      </c>
      <c r="O230" s="128">
        <f ca="1">IF(OFFSET('IWP05'!UnitsOfServicePeriod2, 0, 11, 1, 1) = "", 0, OFFSET('IWP05'!UnitsOfServicePeriod2, 0, 11, 1, 1))</f>
        <v>0</v>
      </c>
      <c r="P230" s="128">
        <f ca="1">OFFSET('IWP05'!UnitsOfServicePeriod2, 0, 12, 1, 1)</f>
        <v>0</v>
      </c>
      <c r="Q230" s="128">
        <f ca="1">IF(OFFSET('IWP05'!UnitsOfServicePeriod2, 0, 13, 1, 1) = "", 0, OFFSET('IWP05'!UnitsOfServicePeriod2, 0, 13, 1, 1))</f>
        <v>0</v>
      </c>
      <c r="R230" s="128">
        <f ca="1">OFFSET('IWP05'!UnitsOfServicePeriod2, 0, 14, 1, 1)</f>
        <v>0</v>
      </c>
      <c r="S230" s="128">
        <f ca="1">IF(OFFSET('IWP05'!UnitsOfServicePeriod2, 0, 15, 1, 1) = "", 0, OFFSET('IWP05'!UnitsOfServicePeriod2, 0, 15, 1, 1))</f>
        <v>0</v>
      </c>
      <c r="T230" s="128">
        <f ca="1">IF(OFFSET('IWP05'!UnitsOfServicePeriod2, 0, 16, 1, 1) = "", 0, OFFSET('IWP05'!UnitsOfServicePeriod2, 0, 16, 1, 1))</f>
        <v>0</v>
      </c>
      <c r="U230" s="128">
        <f ca="1">OFFSET('IWP05'!UnitsOfServicePeriod2, 0, 17, 1, 1)</f>
        <v>0</v>
      </c>
      <c r="V230" s="128">
        <f ca="1">IF(OFFSET('IWP05'!UnitsOfServicePeriod2, 0, 19, 1, 1) = "", 0, OFFSET('IWP05'!UnitsOfServicePeriod2, 0, 19, 1, 1))</f>
        <v>0</v>
      </c>
      <c r="W230" s="128">
        <f ca="1">OFFSET('IWP05'!UnitsOfServicePeriod2, 0, 20, 1, 1)</f>
        <v>0</v>
      </c>
      <c r="X230" s="128">
        <f ca="1">IF(OFFSET('IWP05'!UnitsOfServicePeriod2, 0, 21, 1, 1) = "", 0, OFFSET('IWP05'!UnitsOfServicePeriod2, 0, 21, 1, 1))</f>
        <v>0</v>
      </c>
      <c r="Y230" s="137">
        <f ca="1">OFFSET('IWP05'!UnitsOfServicePeriod2, 0, 22, 1, 1)</f>
        <v>0</v>
      </c>
    </row>
    <row r="231" spans="1:25">
      <c r="A231" s="125" t="s">
        <v>478</v>
      </c>
      <c r="B231" s="128">
        <v>2</v>
      </c>
      <c r="C231" s="128">
        <v>2</v>
      </c>
      <c r="D231" s="107">
        <f ca="1">IF(OFFSET('IWP05'!UnitsOfServicePeriod2, 1, 0, 1, 1)=DATE(1900,1,0), DATE(1900,1,1),OFFSET('IWP05'!UnitsOfServicePeriod2, 1, 0, 1, 1))</f>
        <v>1</v>
      </c>
      <c r="E231" s="107">
        <f ca="1">IF(OFFSET('IWP05'!UnitsOfServicePeriod2, 1, 1, 1, 1)=DATE(1900,1,0), DATE(1900,1,1),OFFSET('IWP05'!UnitsOfServicePeriod2, 1, 1, 1, 1))</f>
        <v>1</v>
      </c>
      <c r="F231" s="128">
        <f ca="1">OFFSET('IWP05'!UnitsOfServicePeriod2, 1, 2, 1, 1)</f>
        <v>0</v>
      </c>
      <c r="G231" s="128">
        <f ca="1">IF(OFFSET('IWP05'!UnitsOfServicePeriod2, 1, 3, 1, 1) = "", 0, OFFSET('IWP05'!UnitsOfServicePeriod2, 1, 3, 1, 1))</f>
        <v>0</v>
      </c>
      <c r="H231" s="128">
        <f ca="1">OFFSET('IWP05'!UnitsOfServicePeriod2, 1, 4, 1, 1)</f>
        <v>0</v>
      </c>
      <c r="I231" s="128">
        <f ca="1">IF(OFFSET('IWP05'!UnitsOfServicePeriod2, 1, 5, 1, 1) = "", 0, OFFSET('IWP05'!UnitsOfServicePeriod2, 1, 5, 1, 1))</f>
        <v>0</v>
      </c>
      <c r="J231" s="128">
        <f ca="1">OFFSET('IWP05'!UnitsOfServicePeriod2, 1, 6, 1, 1)</f>
        <v>0</v>
      </c>
      <c r="K231" s="128">
        <f ca="1">IF(OFFSET('IWP05'!UnitsOfServicePeriod2, 1, 7, 1, 1) = "", 0, OFFSET('IWP05'!UnitsOfServicePeriod2, 1, 7, 1, 1))</f>
        <v>0</v>
      </c>
      <c r="L231" s="128">
        <f ca="1">OFFSET('IWP05'!UnitsOfServicePeriod2, 1, 8, 1, 1)</f>
        <v>0</v>
      </c>
      <c r="M231" s="128">
        <f ca="1">IF(OFFSET('IWP05'!UnitsOfServicePeriod2, 1, 9, 1, 1) = "", 0, OFFSET('IWP05'!UnitsOfServicePeriod2, 1, 9, 1, 1))</f>
        <v>0</v>
      </c>
      <c r="N231" s="128">
        <f ca="1">OFFSET('IWP05'!UnitsOfServicePeriod2, 1, 10, 1, 1)</f>
        <v>0</v>
      </c>
      <c r="O231" s="128">
        <f ca="1">IF(OFFSET('IWP05'!UnitsOfServicePeriod2, 1, 11, 1, 1) = "", 0, OFFSET('IWP05'!UnitsOfServicePeriod2, 1, 11, 1, 1))</f>
        <v>0</v>
      </c>
      <c r="P231" s="128">
        <f ca="1">OFFSET('IWP05'!UnitsOfServicePeriod2, 1, 12, 1, 1)</f>
        <v>0</v>
      </c>
      <c r="Q231" s="128">
        <f ca="1">IF(OFFSET('IWP05'!UnitsOfServicePeriod2, 1, 13, 1, 1) = "", 0, OFFSET('IWP05'!UnitsOfServicePeriod2, 1, 13, 1, 1))</f>
        <v>0</v>
      </c>
      <c r="R231" s="128">
        <f ca="1">OFFSET('IWP05'!UnitsOfServicePeriod2, 1, 14, 1, 1)</f>
        <v>0</v>
      </c>
      <c r="S231" s="128">
        <f ca="1">IF(OFFSET('IWP05'!UnitsOfServicePeriod2, 1, 15, 1, 1) = "", 0, OFFSET('IWP05'!UnitsOfServicePeriod2, 1, 15, 1, 1))</f>
        <v>0</v>
      </c>
      <c r="T231" s="128">
        <f ca="1">IF(OFFSET('IWP05'!UnitsOfServicePeriod2, 1, 16, 1, 1) = "", 0, OFFSET('IWP05'!UnitsOfServicePeriod2, 1, 16, 1, 1))</f>
        <v>0</v>
      </c>
      <c r="U231" s="128">
        <f ca="1">OFFSET('IWP05'!UnitsOfServicePeriod2, 1, 17, 1, 1)</f>
        <v>0</v>
      </c>
      <c r="V231" s="128">
        <f ca="1">IF(OFFSET('IWP05'!UnitsOfServicePeriod2, 1, 19, 1, 1) = "", 0, OFFSET('IWP05'!UnitsOfServicePeriod2, 1, 19, 1, 1))</f>
        <v>0</v>
      </c>
      <c r="W231" s="128">
        <f ca="1">OFFSET('IWP05'!UnitsOfServicePeriod2, 1, 20, 1, 1)</f>
        <v>0</v>
      </c>
      <c r="X231" s="128">
        <f ca="1">IF(OFFSET('IWP05'!UnitsOfServicePeriod2, 1, 21, 1, 1) = "", 0, OFFSET('IWP05'!UnitsOfServicePeriod2, 1, 21, 1, 1))</f>
        <v>0</v>
      </c>
      <c r="Y231" s="137">
        <f ca="1">OFFSET('IWP05'!UnitsOfServicePeriod2, 1, 22, 1, 1)</f>
        <v>0</v>
      </c>
    </row>
    <row r="232" spans="1:25">
      <c r="A232" s="125" t="s">
        <v>478</v>
      </c>
      <c r="B232" s="128">
        <v>2</v>
      </c>
      <c r="C232" s="128">
        <v>3</v>
      </c>
      <c r="D232" s="107">
        <f ca="1">IF(OFFSET('IWP05'!UnitsOfServicePeriod2, 2, 0, 1, 1)=DATE(1900,1,0), DATE(1900,1,1),OFFSET('IWP05'!UnitsOfServicePeriod2, 2, 0, 1, 1))</f>
        <v>1</v>
      </c>
      <c r="E232" s="107">
        <f ca="1">IF(OFFSET('IWP05'!UnitsOfServicePeriod2, 2, 1, 1, 1)=DATE(1900,1,0), DATE(1900,1,1),OFFSET('IWP05'!UnitsOfServicePeriod2, 2, 1, 1, 1))</f>
        <v>1</v>
      </c>
      <c r="F232" s="128">
        <f ca="1">OFFSET('IWP05'!UnitsOfServicePeriod2, 2, 2, 1, 1)</f>
        <v>0</v>
      </c>
      <c r="G232" s="128">
        <f ca="1">IF(OFFSET('IWP05'!UnitsOfServicePeriod2, 2, 3, 1, 1) = "", 0, OFFSET('IWP05'!UnitsOfServicePeriod2, 2, 3, 1, 1))</f>
        <v>0</v>
      </c>
      <c r="H232" s="128">
        <f ca="1">OFFSET('IWP05'!UnitsOfServicePeriod2, 2, 4, 1, 1)</f>
        <v>0</v>
      </c>
      <c r="I232" s="128">
        <f ca="1">IF(OFFSET('IWP05'!UnitsOfServicePeriod2, 2, 5, 1, 1) = "", 0, OFFSET('IWP05'!UnitsOfServicePeriod2, 2, 5, 1, 1))</f>
        <v>0</v>
      </c>
      <c r="J232" s="128">
        <f ca="1">OFFSET('IWP05'!UnitsOfServicePeriod2, 2, 6, 1, 1)</f>
        <v>0</v>
      </c>
      <c r="K232" s="128">
        <f ca="1">IF(OFFSET('IWP05'!UnitsOfServicePeriod2, 2, 7, 1, 1) = "", 0, OFFSET('IWP05'!UnitsOfServicePeriod2, 2, 7, 1, 1))</f>
        <v>0</v>
      </c>
      <c r="L232" s="128">
        <f ca="1">OFFSET('IWP05'!UnitsOfServicePeriod2, 2, 8, 1, 1)</f>
        <v>0</v>
      </c>
      <c r="M232" s="128">
        <f ca="1">IF(OFFSET('IWP05'!UnitsOfServicePeriod2, 2, 9, 1, 1) = "", 0, OFFSET('IWP05'!UnitsOfServicePeriod2, 2, 9, 1, 1))</f>
        <v>0</v>
      </c>
      <c r="N232" s="128">
        <f ca="1">OFFSET('IWP05'!UnitsOfServicePeriod2, 2, 10, 1, 1)</f>
        <v>0</v>
      </c>
      <c r="O232" s="128">
        <f ca="1">IF(OFFSET('IWP05'!UnitsOfServicePeriod2, 2, 11, 1, 1) = "", 0, OFFSET('IWP05'!UnitsOfServicePeriod2, 2, 11, 1, 1))</f>
        <v>0</v>
      </c>
      <c r="P232" s="128">
        <f ca="1">OFFSET('IWP05'!UnitsOfServicePeriod2, 2, 12, 1, 1)</f>
        <v>0</v>
      </c>
      <c r="Q232" s="128">
        <f ca="1">IF(OFFSET('IWP05'!UnitsOfServicePeriod2, 2, 13, 1, 1) = "", 0, OFFSET('IWP05'!UnitsOfServicePeriod2, 2, 13, 1, 1))</f>
        <v>0</v>
      </c>
      <c r="R232" s="128">
        <f ca="1">OFFSET('IWP05'!UnitsOfServicePeriod2, 2, 14, 1, 1)</f>
        <v>0</v>
      </c>
      <c r="S232" s="128">
        <f ca="1">IF(OFFSET('IWP05'!UnitsOfServicePeriod2, 2, 15, 1, 1) = "", 0, OFFSET('IWP05'!UnitsOfServicePeriod2, 2, 15, 1, 1))</f>
        <v>0</v>
      </c>
      <c r="T232" s="128">
        <f ca="1">IF(OFFSET('IWP05'!UnitsOfServicePeriod2, 2, 16, 1, 1) = "", 0, OFFSET('IWP05'!UnitsOfServicePeriod2, 2, 16, 1, 1))</f>
        <v>0</v>
      </c>
      <c r="U232" s="128">
        <f ca="1">OFFSET('IWP05'!UnitsOfServicePeriod2, 2, 17, 1, 1)</f>
        <v>0</v>
      </c>
      <c r="V232" s="128">
        <f ca="1">IF(OFFSET('IWP05'!UnitsOfServicePeriod2, 2, 19, 1, 1) = "", 0, OFFSET('IWP05'!UnitsOfServicePeriod2, 2, 19, 1, 1))</f>
        <v>0</v>
      </c>
      <c r="W232" s="128">
        <f ca="1">OFFSET('IWP05'!UnitsOfServicePeriod2, 2, 20, 1, 1)</f>
        <v>0</v>
      </c>
      <c r="X232" s="128">
        <f ca="1">IF(OFFSET('IWP05'!UnitsOfServicePeriod2, 2, 21, 1, 1) = "", 0, OFFSET('IWP05'!UnitsOfServicePeriod2, 2, 21, 1, 1))</f>
        <v>0</v>
      </c>
      <c r="Y232" s="137">
        <f ca="1">OFFSET('IWP05'!UnitsOfServicePeriod2, 2, 22, 1, 1)</f>
        <v>0</v>
      </c>
    </row>
    <row r="233" spans="1:25">
      <c r="A233" s="125" t="s">
        <v>478</v>
      </c>
      <c r="B233" s="128">
        <v>2</v>
      </c>
      <c r="C233" s="128">
        <v>4</v>
      </c>
      <c r="D233" s="107">
        <f ca="1">IF(OFFSET('IWP05'!UnitsOfServicePeriod2, 3, 0, 1, 1)=DATE(1900,1,0), DATE(1900,1,1),OFFSET('IWP05'!UnitsOfServicePeriod2, 3, 0, 1, 1))</f>
        <v>1</v>
      </c>
      <c r="E233" s="107">
        <f ca="1">IF(OFFSET('IWP05'!UnitsOfServicePeriod2, 3, 1, 1, 1)=DATE(1900,1,0), DATE(1900,1,1),OFFSET('IWP05'!UnitsOfServicePeriod2, 3, 1, 1, 1))</f>
        <v>1</v>
      </c>
      <c r="F233" s="128">
        <f ca="1">OFFSET('IWP05'!UnitsOfServicePeriod2, 3, 2, 1, 1)</f>
        <v>0</v>
      </c>
      <c r="G233" s="128">
        <f ca="1">IF(OFFSET('IWP05'!UnitsOfServicePeriod2, 3, 3, 1, 1) = "", 0, OFFSET('IWP05'!UnitsOfServicePeriod2, 3, 3, 1, 1))</f>
        <v>0</v>
      </c>
      <c r="H233" s="128">
        <f ca="1">OFFSET('IWP05'!UnitsOfServicePeriod2, 3, 4, 1, 1)</f>
        <v>0</v>
      </c>
      <c r="I233" s="128">
        <f ca="1">IF(OFFSET('IWP05'!UnitsOfServicePeriod2, 3, 5, 1, 1) = "", 0, OFFSET('IWP05'!UnitsOfServicePeriod2, 3, 5, 1, 1))</f>
        <v>0</v>
      </c>
      <c r="J233" s="128">
        <f ca="1">OFFSET('IWP05'!UnitsOfServicePeriod2, 3, 6, 1, 1)</f>
        <v>0</v>
      </c>
      <c r="K233" s="128">
        <f ca="1">IF(OFFSET('IWP05'!UnitsOfServicePeriod2, 3, 7, 1, 1) = "", 0, OFFSET('IWP05'!UnitsOfServicePeriod2, 3, 7, 1, 1))</f>
        <v>0</v>
      </c>
      <c r="L233" s="128">
        <f ca="1">OFFSET('IWP05'!UnitsOfServicePeriod2, 3, 8, 1, 1)</f>
        <v>0</v>
      </c>
      <c r="M233" s="128">
        <f ca="1">IF(OFFSET('IWP05'!UnitsOfServicePeriod2, 3, 9, 1, 1) = "", 0, OFFSET('IWP05'!UnitsOfServicePeriod2, 3, 9, 1, 1))</f>
        <v>0</v>
      </c>
      <c r="N233" s="128">
        <f ca="1">OFFSET('IWP05'!UnitsOfServicePeriod2, 3, 10, 1, 1)</f>
        <v>0</v>
      </c>
      <c r="O233" s="128">
        <f ca="1">IF(OFFSET('IWP05'!UnitsOfServicePeriod2, 3, 11, 1, 1) = "", 0, OFFSET('IWP05'!UnitsOfServicePeriod2, 3, 11, 1, 1))</f>
        <v>0</v>
      </c>
      <c r="P233" s="128">
        <f ca="1">OFFSET('IWP05'!UnitsOfServicePeriod2, 3, 12, 1, 1)</f>
        <v>0</v>
      </c>
      <c r="Q233" s="128">
        <f ca="1">IF(OFFSET('IWP05'!UnitsOfServicePeriod2, 3, 13, 1, 1) = "", 0, OFFSET('IWP05'!UnitsOfServicePeriod2, 3, 13, 1, 1))</f>
        <v>0</v>
      </c>
      <c r="R233" s="128">
        <f ca="1">OFFSET('IWP05'!UnitsOfServicePeriod2, 3, 14, 1, 1)</f>
        <v>0</v>
      </c>
      <c r="S233" s="128">
        <f ca="1">IF(OFFSET('IWP05'!UnitsOfServicePeriod2, 3, 15, 1, 1) = "", 0, OFFSET('IWP05'!UnitsOfServicePeriod2, 3, 15, 1, 1))</f>
        <v>0</v>
      </c>
      <c r="T233" s="128">
        <f ca="1">IF(OFFSET('IWP05'!UnitsOfServicePeriod2, 3, 16, 1, 1) = "", 0, OFFSET('IWP05'!UnitsOfServicePeriod2, 3, 16, 1, 1))</f>
        <v>0</v>
      </c>
      <c r="U233" s="128">
        <f ca="1">OFFSET('IWP05'!UnitsOfServicePeriod2, 3, 17, 1, 1)</f>
        <v>0</v>
      </c>
      <c r="V233" s="128">
        <f ca="1">IF(OFFSET('IWP05'!UnitsOfServicePeriod2, 3, 19, 1, 1) = "", 0, OFFSET('IWP05'!UnitsOfServicePeriod2, 3, 19, 1, 1))</f>
        <v>0</v>
      </c>
      <c r="W233" s="128">
        <f ca="1">OFFSET('IWP05'!UnitsOfServicePeriod2, 3, 20, 1, 1)</f>
        <v>0</v>
      </c>
      <c r="X233" s="128">
        <f ca="1">IF(OFFSET('IWP05'!UnitsOfServicePeriod2, 3, 21, 1, 1) = "", 0, OFFSET('IWP05'!UnitsOfServicePeriod2, 3, 21, 1, 1))</f>
        <v>0</v>
      </c>
      <c r="Y233" s="137">
        <f ca="1">OFFSET('IWP05'!UnitsOfServicePeriod2, 3, 22, 1, 1)</f>
        <v>0</v>
      </c>
    </row>
    <row r="234" spans="1:25">
      <c r="A234" s="125" t="s">
        <v>478</v>
      </c>
      <c r="B234" s="128">
        <v>2</v>
      </c>
      <c r="C234" s="128">
        <v>5</v>
      </c>
      <c r="D234" s="107">
        <f ca="1">IF(OFFSET('IWP05'!UnitsOfServicePeriod2, 4, 0, 1, 1)=DATE(1900,1,0), DATE(1900,1,1),OFFSET('IWP05'!UnitsOfServicePeriod2, 4, 0, 1, 1))</f>
        <v>1</v>
      </c>
      <c r="E234" s="107">
        <f ca="1">IF(OFFSET('IWP05'!UnitsOfServicePeriod2, 4, 1, 1, 1)=DATE(1900,1,0), DATE(1900,1,1),OFFSET('IWP05'!UnitsOfServicePeriod2, 4, 1, 1, 1))</f>
        <v>1</v>
      </c>
      <c r="F234" s="128">
        <f ca="1">OFFSET('IWP05'!UnitsOfServicePeriod2, 4, 2, 1, 1)</f>
        <v>0</v>
      </c>
      <c r="G234" s="128">
        <f ca="1">IF(OFFSET('IWP05'!UnitsOfServicePeriod2, 4, 3, 1, 1) = "", 0, OFFSET('IWP05'!UnitsOfServicePeriod2, 4, 3, 1, 1))</f>
        <v>0</v>
      </c>
      <c r="H234" s="128">
        <f ca="1">OFFSET('IWP05'!UnitsOfServicePeriod2, 4, 4, 1, 1)</f>
        <v>0</v>
      </c>
      <c r="I234" s="128">
        <f ca="1">IF(OFFSET('IWP05'!UnitsOfServicePeriod2, 4, 5, 1, 1) = "", 0, OFFSET('IWP05'!UnitsOfServicePeriod2, 4, 5, 1, 1))</f>
        <v>0</v>
      </c>
      <c r="J234" s="128">
        <f ca="1">OFFSET('IWP05'!UnitsOfServicePeriod2, 4, 6, 1, 1)</f>
        <v>0</v>
      </c>
      <c r="K234" s="128">
        <f ca="1">IF(OFFSET('IWP05'!UnitsOfServicePeriod2, 4, 7, 1, 1) = "", 0, OFFSET('IWP05'!UnitsOfServicePeriod2, 4, 7, 1, 1))</f>
        <v>0</v>
      </c>
      <c r="L234" s="128">
        <f ca="1">OFFSET('IWP05'!UnitsOfServicePeriod2, 4, 8, 1, 1)</f>
        <v>0</v>
      </c>
      <c r="M234" s="128">
        <f ca="1">IF(OFFSET('IWP05'!UnitsOfServicePeriod2, 4, 9, 1, 1) = "", 0, OFFSET('IWP05'!UnitsOfServicePeriod2, 4, 9, 1, 1))</f>
        <v>0</v>
      </c>
      <c r="N234" s="128">
        <f ca="1">OFFSET('IWP05'!UnitsOfServicePeriod2, 4, 10, 1, 1)</f>
        <v>0</v>
      </c>
      <c r="O234" s="128">
        <f ca="1">IF(OFFSET('IWP05'!UnitsOfServicePeriod2, 4, 11, 1, 1) = "", 0, OFFSET('IWP05'!UnitsOfServicePeriod2, 4, 11, 1, 1))</f>
        <v>0</v>
      </c>
      <c r="P234" s="128">
        <f ca="1">OFFSET('IWP05'!UnitsOfServicePeriod2, 4, 12, 1, 1)</f>
        <v>0</v>
      </c>
      <c r="Q234" s="128">
        <f ca="1">IF(OFFSET('IWP05'!UnitsOfServicePeriod2, 4, 13, 1, 1) = "", 0, OFFSET('IWP05'!UnitsOfServicePeriod2, 4, 13, 1, 1))</f>
        <v>0</v>
      </c>
      <c r="R234" s="128">
        <f ca="1">OFFSET('IWP05'!UnitsOfServicePeriod2, 4, 14, 1, 1)</f>
        <v>0</v>
      </c>
      <c r="S234" s="128">
        <f ca="1">IF(OFFSET('IWP05'!UnitsOfServicePeriod2, 4, 15, 1, 1) = "", 0, OFFSET('IWP05'!UnitsOfServicePeriod2, 4, 15, 1, 1))</f>
        <v>0</v>
      </c>
      <c r="T234" s="128">
        <f ca="1">IF(OFFSET('IWP05'!UnitsOfServicePeriod2, 4, 16, 1, 1) = "", 0, OFFSET('IWP05'!UnitsOfServicePeriod2, 4, 16, 1, 1))</f>
        <v>0</v>
      </c>
      <c r="U234" s="128">
        <f ca="1">OFFSET('IWP05'!UnitsOfServicePeriod2, 4, 17, 1, 1)</f>
        <v>0</v>
      </c>
      <c r="V234" s="128">
        <f ca="1">IF(OFFSET('IWP05'!UnitsOfServicePeriod2, 4, 19, 1, 1) = "", 0, OFFSET('IWP05'!UnitsOfServicePeriod2, 4, 19, 1, 1))</f>
        <v>0</v>
      </c>
      <c r="W234" s="128">
        <f ca="1">OFFSET('IWP05'!UnitsOfServicePeriod2, 4, 20, 1, 1)</f>
        <v>0</v>
      </c>
      <c r="X234" s="128">
        <f ca="1">IF(OFFSET('IWP05'!UnitsOfServicePeriod2, 4, 21, 1, 1) = "", 0, OFFSET('IWP05'!UnitsOfServicePeriod2, 4, 21, 1, 1))</f>
        <v>0</v>
      </c>
      <c r="Y234" s="137">
        <f ca="1">OFFSET('IWP05'!UnitsOfServicePeriod2, 4, 22, 1, 1)</f>
        <v>0</v>
      </c>
    </row>
    <row r="235" spans="1:25">
      <c r="A235" s="125" t="s">
        <v>478</v>
      </c>
      <c r="B235" s="128">
        <v>2</v>
      </c>
      <c r="C235" s="128">
        <v>6</v>
      </c>
      <c r="D235" s="107">
        <f ca="1">IF(OFFSET('IWP05'!UnitsOfServicePeriod2, 5, 0, 1, 1)=DATE(1900,1,0), DATE(1900,1,1),OFFSET('IWP05'!UnitsOfServicePeriod2, 5, 0, 1, 1))</f>
        <v>1</v>
      </c>
      <c r="E235" s="107">
        <f ca="1">IF(OFFSET('IWP05'!UnitsOfServicePeriod2, 5, 1, 1, 1)=DATE(1900,1,0), DATE(1900,1,1),OFFSET('IWP05'!UnitsOfServicePeriod2, 5, 1, 1, 1))</f>
        <v>1</v>
      </c>
      <c r="F235" s="128">
        <f ca="1">OFFSET('IWP05'!UnitsOfServicePeriod2, 5, 2, 1, 1)</f>
        <v>0</v>
      </c>
      <c r="G235" s="128">
        <f ca="1">IF(OFFSET('IWP05'!UnitsOfServicePeriod2, 5, 3, 1, 1) = "", 0, OFFSET('IWP05'!UnitsOfServicePeriod2, 5, 3, 1, 1))</f>
        <v>0</v>
      </c>
      <c r="H235" s="128">
        <f ca="1">OFFSET('IWP05'!UnitsOfServicePeriod2, 5, 4, 1, 1)</f>
        <v>0</v>
      </c>
      <c r="I235" s="128">
        <f ca="1">IF(OFFSET('IWP05'!UnitsOfServicePeriod2, 5, 5, 1, 1) = "", 0, OFFSET('IWP05'!UnitsOfServicePeriod2, 5, 5, 1, 1))</f>
        <v>0</v>
      </c>
      <c r="J235" s="128">
        <f ca="1">OFFSET('IWP05'!UnitsOfServicePeriod2, 5, 6, 1, 1)</f>
        <v>0</v>
      </c>
      <c r="K235" s="128">
        <f ca="1">IF(OFFSET('IWP05'!UnitsOfServicePeriod2, 5, 7, 1, 1) = "", 0, OFFSET('IWP05'!UnitsOfServicePeriod2, 5, 7, 1, 1))</f>
        <v>0</v>
      </c>
      <c r="L235" s="128">
        <f ca="1">OFFSET('IWP05'!UnitsOfServicePeriod2, 5, 8, 1, 1)</f>
        <v>0</v>
      </c>
      <c r="M235" s="128">
        <f ca="1">IF(OFFSET('IWP05'!UnitsOfServicePeriod2, 5, 9, 1, 1) = "", 0, OFFSET('IWP05'!UnitsOfServicePeriod2, 5, 9, 1, 1))</f>
        <v>0</v>
      </c>
      <c r="N235" s="128">
        <f ca="1">OFFSET('IWP05'!UnitsOfServicePeriod2, 5, 10, 1, 1)</f>
        <v>0</v>
      </c>
      <c r="O235" s="128">
        <f ca="1">IF(OFFSET('IWP05'!UnitsOfServicePeriod2, 5, 11, 1, 1) = "", 0, OFFSET('IWP05'!UnitsOfServicePeriod2, 5, 11, 1, 1))</f>
        <v>0</v>
      </c>
      <c r="P235" s="128">
        <f ca="1">OFFSET('IWP05'!UnitsOfServicePeriod2, 5, 12, 1, 1)</f>
        <v>0</v>
      </c>
      <c r="Q235" s="128">
        <f ca="1">IF(OFFSET('IWP05'!UnitsOfServicePeriod2, 5, 13, 1, 1) = "", 0, OFFSET('IWP05'!UnitsOfServicePeriod2, 5, 13, 1, 1))</f>
        <v>0</v>
      </c>
      <c r="R235" s="128">
        <f ca="1">OFFSET('IWP05'!UnitsOfServicePeriod2, 5, 14, 1, 1)</f>
        <v>0</v>
      </c>
      <c r="S235" s="128">
        <f ca="1">IF(OFFSET('IWP05'!UnitsOfServicePeriod2, 5, 15, 1, 1) = "", 0, OFFSET('IWP05'!UnitsOfServicePeriod2, 5, 15, 1, 1))</f>
        <v>0</v>
      </c>
      <c r="T235" s="128">
        <f ca="1">IF(OFFSET('IWP05'!UnitsOfServicePeriod2, 5, 16, 1, 1) = "", 0, OFFSET('IWP05'!UnitsOfServicePeriod2, 5, 16, 1, 1))</f>
        <v>0</v>
      </c>
      <c r="U235" s="128">
        <f ca="1">OFFSET('IWP05'!UnitsOfServicePeriod2, 5, 17, 1, 1)</f>
        <v>0</v>
      </c>
      <c r="V235" s="128">
        <f ca="1">IF(OFFSET('IWP05'!UnitsOfServicePeriod2, 5, 19, 1, 1) = "", 0, OFFSET('IWP05'!UnitsOfServicePeriod2, 5, 19, 1, 1))</f>
        <v>0</v>
      </c>
      <c r="W235" s="128">
        <f ca="1">OFFSET('IWP05'!UnitsOfServicePeriod2, 5, 20, 1, 1)</f>
        <v>0</v>
      </c>
      <c r="X235" s="128">
        <f ca="1">IF(OFFSET('IWP05'!UnitsOfServicePeriod2, 5, 21, 1, 1) = "", 0, OFFSET('IWP05'!UnitsOfServicePeriod2, 5, 21, 1, 1))</f>
        <v>0</v>
      </c>
      <c r="Y235" s="137">
        <f ca="1">OFFSET('IWP05'!UnitsOfServicePeriod2, 5, 22, 1, 1)</f>
        <v>0</v>
      </c>
    </row>
    <row r="236" spans="1:25">
      <c r="A236" s="125" t="s">
        <v>479</v>
      </c>
      <c r="B236" s="128">
        <v>1</v>
      </c>
      <c r="C236" s="128">
        <v>1</v>
      </c>
      <c r="D236" s="107">
        <f ca="1">IF(OFFSET('IWP06'!UnitsOfServicePeriod1, 0, 0, 1, 1)=DATE(1900,1,0), DATE(1900,1,1),OFFSET('IWP06'!UnitsOfServicePeriod1, 0, 0, 1, 1))</f>
        <v>1</v>
      </c>
      <c r="E236" s="107">
        <f ca="1">IF(OFFSET('IWP06'!UnitsOfServicePeriod1, 0, 1, 1, 1)=DATE(1900,1,0), DATE(1900,1,1),OFFSET('IWP06'!UnitsOfServicePeriod1, 0, 1, 1, 1))</f>
        <v>1</v>
      </c>
      <c r="F236" s="128">
        <f ca="1">OFFSET('IWP06'!UnitsOfServicePeriod1, 0, 2, 1, 1)</f>
        <v>0</v>
      </c>
      <c r="G236" s="128">
        <f ca="1">IF(OFFSET('IWP06'!UnitsOfServicePeriod1, 0, 3, 1, 1) = "", 0, OFFSET('IWP06'!UnitsOfServicePeriod1, 0, 3, 1, 1))</f>
        <v>0</v>
      </c>
      <c r="H236" s="128">
        <f ca="1">OFFSET('IWP06'!UnitsOfServicePeriod1, 0, 4, 1, 1)</f>
        <v>0</v>
      </c>
      <c r="I236" s="128">
        <f ca="1">IF(OFFSET('IWP06'!UnitsOfServicePeriod1, 0, 5, 1, 1) = "", 0, OFFSET('IWP06'!UnitsOfServicePeriod1, 0, 5, 1, 1))</f>
        <v>0</v>
      </c>
      <c r="J236" s="128">
        <f ca="1">OFFSET('IWP06'!UnitsOfServicePeriod1, 0, 6, 1, 1)</f>
        <v>0</v>
      </c>
      <c r="K236" s="128">
        <f ca="1">IF(OFFSET('IWP06'!UnitsOfServicePeriod1, 0, 7, 1, 1) = "", 0, OFFSET('IWP06'!UnitsOfServicePeriod1, 0, 7, 1, 1))</f>
        <v>0</v>
      </c>
      <c r="L236" s="128">
        <f ca="1">OFFSET('IWP06'!UnitsOfServicePeriod1, 0, 8, 1, 1)</f>
        <v>0</v>
      </c>
      <c r="M236" s="128">
        <f ca="1">IF(OFFSET('IWP06'!UnitsOfServicePeriod1, 0, 9, 1, 1) = "", 0, OFFSET('IWP06'!UnitsOfServicePeriod1, 0, 9, 1, 1))</f>
        <v>0</v>
      </c>
      <c r="N236" s="128">
        <f ca="1">OFFSET('IWP06'!UnitsOfServicePeriod1, 0, 10, 1, 1)</f>
        <v>0</v>
      </c>
      <c r="O236" s="128">
        <f ca="1">IF(OFFSET('IWP06'!UnitsOfServicePeriod1, 0, 11, 1, 1) = "", 0, OFFSET('IWP06'!UnitsOfServicePeriod1, 0, 11, 1, 1))</f>
        <v>0</v>
      </c>
      <c r="P236" s="128">
        <f ca="1">OFFSET('IWP06'!UnitsOfServicePeriod1, 0, 12, 1, 1)</f>
        <v>0</v>
      </c>
      <c r="Q236" s="128">
        <f ca="1">IF(OFFSET('IWP06'!UnitsOfServicePeriod1, 0, 13, 1, 1) = "", 0, OFFSET('IWP06'!UnitsOfServicePeriod1, 0, 13, 1, 1))</f>
        <v>0</v>
      </c>
      <c r="R236" s="128">
        <f ca="1">OFFSET('IWP06'!UnitsOfServicePeriod1, 0, 14, 1, 1)</f>
        <v>0</v>
      </c>
      <c r="S236" s="128">
        <f ca="1">IF(OFFSET('IWP06'!UnitsOfServicePeriod1, 0, 15, 1, 1) = "", 0, OFFSET('IWP06'!UnitsOfServicePeriod1, 0, 15, 1, 1))</f>
        <v>0</v>
      </c>
      <c r="T236" s="128">
        <f ca="1">IF(OFFSET('IWP06'!UnitsOfServicePeriod1, 0, 16, 1, 1) = "", 0, OFFSET('IWP06'!UnitsOfServicePeriod1, 0, 16, 1, 1))</f>
        <v>0</v>
      </c>
      <c r="U236" s="128">
        <f ca="1">OFFSET('IWP06'!UnitsOfServicePeriod1, 0, 17, 1, 1)</f>
        <v>0</v>
      </c>
      <c r="V236" s="128">
        <f ca="1">IF(OFFSET('IWP06'!UnitsOfServicePeriod1, 0, 19, 1, 1) = "", 0, OFFSET('IWP06'!UnitsOfServicePeriod1, 0, 19, 1, 1))</f>
        <v>0</v>
      </c>
      <c r="W236" s="128">
        <f ca="1">OFFSET('IWP06'!UnitsOfServicePeriod1, 0, 20, 1, 1)</f>
        <v>0</v>
      </c>
      <c r="X236" s="128">
        <f ca="1">IF(OFFSET('IWP06'!UnitsOfServicePeriod1, 0, 21, 1, 1) = "", 0, OFFSET('IWP06'!UnitsOfServicePeriod1, 0, 21, 1, 1))</f>
        <v>0</v>
      </c>
      <c r="Y236" s="137">
        <f ca="1">OFFSET('IWP06'!UnitsOfServicePeriod1, 0, 22, 1, 1)</f>
        <v>0</v>
      </c>
    </row>
    <row r="237" spans="1:25">
      <c r="A237" s="125" t="s">
        <v>479</v>
      </c>
      <c r="B237" s="128">
        <v>1</v>
      </c>
      <c r="C237" s="128">
        <v>2</v>
      </c>
      <c r="D237" s="107">
        <f ca="1">IF(OFFSET('IWP06'!UnitsOfServicePeriod1, 1, 0, 1, 1)=DATE(1900,1,0), DATE(1900,1,1),OFFSET('IWP06'!UnitsOfServicePeriod1, 1, 0, 1, 1))</f>
        <v>1</v>
      </c>
      <c r="E237" s="107">
        <f ca="1">IF(OFFSET('IWP06'!UnitsOfServicePeriod1, 1, 1, 1, 1)=DATE(1900,1,0), DATE(1900,1,1),OFFSET('IWP06'!UnitsOfServicePeriod1, 1, 1, 1, 1))</f>
        <v>1</v>
      </c>
      <c r="F237" s="128">
        <f ca="1">OFFSET('IWP06'!UnitsOfServicePeriod1, 1, 2, 1, 1)</f>
        <v>0</v>
      </c>
      <c r="G237" s="128">
        <f ca="1">IF(OFFSET('IWP06'!UnitsOfServicePeriod1, 1, 3, 1, 1) = "", 0, OFFSET('IWP06'!UnitsOfServicePeriod1, 1, 3, 1, 1))</f>
        <v>0</v>
      </c>
      <c r="H237" s="128">
        <f ca="1">OFFSET('IWP06'!UnitsOfServicePeriod1, 1, 4, 1, 1)</f>
        <v>0</v>
      </c>
      <c r="I237" s="128">
        <f ca="1">IF(OFFSET('IWP06'!UnitsOfServicePeriod1, 1, 5, 1, 1) = "", 0, OFFSET('IWP06'!UnitsOfServicePeriod1, 1, 5, 1, 1))</f>
        <v>0</v>
      </c>
      <c r="J237" s="128">
        <f ca="1">OFFSET('IWP06'!UnitsOfServicePeriod1, 1, 6, 1, 1)</f>
        <v>0</v>
      </c>
      <c r="K237" s="128">
        <f ca="1">IF(OFFSET('IWP06'!UnitsOfServicePeriod1, 1, 7, 1, 1) = "", 0, OFFSET('IWP06'!UnitsOfServicePeriod1, 1, 7, 1, 1))</f>
        <v>0</v>
      </c>
      <c r="L237" s="128">
        <f ca="1">OFFSET('IWP06'!UnitsOfServicePeriod1, 1, 8, 1, 1)</f>
        <v>0</v>
      </c>
      <c r="M237" s="128">
        <f ca="1">IF(OFFSET('IWP06'!UnitsOfServicePeriod1, 1, 9, 1, 1) = "", 0, OFFSET('IWP06'!UnitsOfServicePeriod1, 1, 9, 1, 1))</f>
        <v>0</v>
      </c>
      <c r="N237" s="128">
        <f ca="1">OFFSET('IWP06'!UnitsOfServicePeriod1, 1, 10, 1, 1)</f>
        <v>0</v>
      </c>
      <c r="O237" s="128">
        <f ca="1">IF(OFFSET('IWP06'!UnitsOfServicePeriod1, 1, 11, 1, 1) = "", 0, OFFSET('IWP06'!UnitsOfServicePeriod1, 1, 11, 1, 1))</f>
        <v>0</v>
      </c>
      <c r="P237" s="128">
        <f ca="1">OFFSET('IWP06'!UnitsOfServicePeriod1, 1, 12, 1, 1)</f>
        <v>0</v>
      </c>
      <c r="Q237" s="128">
        <f ca="1">IF(OFFSET('IWP06'!UnitsOfServicePeriod1, 1, 13, 1, 1) = "", 0, OFFSET('IWP06'!UnitsOfServicePeriod1, 1, 13, 1, 1))</f>
        <v>0</v>
      </c>
      <c r="R237" s="128">
        <f ca="1">OFFSET('IWP06'!UnitsOfServicePeriod1, 1, 14, 1, 1)</f>
        <v>0</v>
      </c>
      <c r="S237" s="128">
        <f ca="1">IF(OFFSET('IWP06'!UnitsOfServicePeriod1, 1, 15, 1, 1) = "", 0, OFFSET('IWP06'!UnitsOfServicePeriod1, 1, 15, 1, 1))</f>
        <v>0</v>
      </c>
      <c r="T237" s="128">
        <f ca="1">IF(OFFSET('IWP06'!UnitsOfServicePeriod1, 1, 16, 1, 1) = "", 0, OFFSET('IWP06'!UnitsOfServicePeriod1, 1, 16, 1, 1))</f>
        <v>0</v>
      </c>
      <c r="U237" s="128">
        <f ca="1">OFFSET('IWP06'!UnitsOfServicePeriod1, 1, 17, 1, 1)</f>
        <v>0</v>
      </c>
      <c r="V237" s="128">
        <f ca="1">IF(OFFSET('IWP06'!UnitsOfServicePeriod1, 1, 19, 1, 1) = "", 0, OFFSET('IWP06'!UnitsOfServicePeriod1, 1, 19, 1, 1))</f>
        <v>0</v>
      </c>
      <c r="W237" s="128">
        <f ca="1">OFFSET('IWP06'!UnitsOfServicePeriod1, 1, 20, 1, 1)</f>
        <v>0</v>
      </c>
      <c r="X237" s="128">
        <f ca="1">IF(OFFSET('IWP06'!UnitsOfServicePeriod1, 1, 21, 1, 1) = "", 0, OFFSET('IWP06'!UnitsOfServicePeriod1, 1, 21, 1, 1))</f>
        <v>0</v>
      </c>
      <c r="Y237" s="137">
        <f ca="1">OFFSET('IWP06'!UnitsOfServicePeriod1, 1, 22, 1, 1)</f>
        <v>0</v>
      </c>
    </row>
    <row r="238" spans="1:25">
      <c r="A238" s="125" t="s">
        <v>479</v>
      </c>
      <c r="B238" s="128">
        <v>1</v>
      </c>
      <c r="C238" s="128">
        <v>3</v>
      </c>
      <c r="D238" s="107">
        <f ca="1">IF(OFFSET('IWP06'!UnitsOfServicePeriod1, 2, 0, 1, 1)=DATE(1900,1,0), DATE(1900,1,1),OFFSET('IWP06'!UnitsOfServicePeriod1, 2, 0, 1, 1))</f>
        <v>1</v>
      </c>
      <c r="E238" s="107">
        <f ca="1">IF(OFFSET('IWP06'!UnitsOfServicePeriod1, 2, 1, 1, 1)=DATE(1900,1,0), DATE(1900,1,1),OFFSET('IWP06'!UnitsOfServicePeriod1, 2, 1, 1, 1))</f>
        <v>1</v>
      </c>
      <c r="F238" s="128">
        <f ca="1">OFFSET('IWP06'!UnitsOfServicePeriod1, 2, 2, 1, 1)</f>
        <v>0</v>
      </c>
      <c r="G238" s="128">
        <f ca="1">IF(OFFSET('IWP06'!UnitsOfServicePeriod1, 2, 3, 1, 1) = "", 0, OFFSET('IWP06'!UnitsOfServicePeriod1, 2, 3, 1, 1))</f>
        <v>0</v>
      </c>
      <c r="H238" s="128">
        <f ca="1">OFFSET('IWP06'!UnitsOfServicePeriod1, 2, 4, 1, 1)</f>
        <v>0</v>
      </c>
      <c r="I238" s="128">
        <f ca="1">IF(OFFSET('IWP06'!UnitsOfServicePeriod1, 2, 5, 1, 1) = "", 0, OFFSET('IWP06'!UnitsOfServicePeriod1, 2, 5, 1, 1))</f>
        <v>0</v>
      </c>
      <c r="J238" s="128">
        <f ca="1">OFFSET('IWP06'!UnitsOfServicePeriod1, 2, 6, 1, 1)</f>
        <v>0</v>
      </c>
      <c r="K238" s="128">
        <f ca="1">IF(OFFSET('IWP06'!UnitsOfServicePeriod1, 2, 7, 1, 1) = "", 0, OFFSET('IWP06'!UnitsOfServicePeriod1, 2, 7, 1, 1))</f>
        <v>0</v>
      </c>
      <c r="L238" s="128">
        <f ca="1">OFFSET('IWP06'!UnitsOfServicePeriod1, 2, 8, 1, 1)</f>
        <v>0</v>
      </c>
      <c r="M238" s="128">
        <f ca="1">IF(OFFSET('IWP06'!UnitsOfServicePeriod1, 2, 9, 1, 1) = "", 0, OFFSET('IWP06'!UnitsOfServicePeriod1, 2, 9, 1, 1))</f>
        <v>0</v>
      </c>
      <c r="N238" s="128">
        <f ca="1">OFFSET('IWP06'!UnitsOfServicePeriod1, 2, 10, 1, 1)</f>
        <v>0</v>
      </c>
      <c r="O238" s="128">
        <f ca="1">IF(OFFSET('IWP06'!UnitsOfServicePeriod1, 2, 11, 1, 1) = "", 0, OFFSET('IWP06'!UnitsOfServicePeriod1, 2, 11, 1, 1))</f>
        <v>0</v>
      </c>
      <c r="P238" s="128">
        <f ca="1">OFFSET('IWP06'!UnitsOfServicePeriod1, 2, 12, 1, 1)</f>
        <v>0</v>
      </c>
      <c r="Q238" s="128">
        <f ca="1">IF(OFFSET('IWP06'!UnitsOfServicePeriod1, 2, 13, 1, 1) = "", 0, OFFSET('IWP06'!UnitsOfServicePeriod1, 2, 13, 1, 1))</f>
        <v>0</v>
      </c>
      <c r="R238" s="128">
        <f ca="1">OFFSET('IWP06'!UnitsOfServicePeriod1, 2, 14, 1, 1)</f>
        <v>0</v>
      </c>
      <c r="S238" s="128">
        <f ca="1">IF(OFFSET('IWP06'!UnitsOfServicePeriod1, 2, 15, 1, 1) = "", 0, OFFSET('IWP06'!UnitsOfServicePeriod1, 2, 15, 1, 1))</f>
        <v>0</v>
      </c>
      <c r="T238" s="128">
        <f ca="1">IF(OFFSET('IWP06'!UnitsOfServicePeriod1, 2, 16, 1, 1) = "", 0, OFFSET('IWP06'!UnitsOfServicePeriod1, 2, 16, 1, 1))</f>
        <v>0</v>
      </c>
      <c r="U238" s="128">
        <f ca="1">OFFSET('IWP06'!UnitsOfServicePeriod1, 2, 17, 1, 1)</f>
        <v>0</v>
      </c>
      <c r="V238" s="128">
        <f ca="1">IF(OFFSET('IWP06'!UnitsOfServicePeriod1, 2, 19, 1, 1) = "", 0, OFFSET('IWP06'!UnitsOfServicePeriod1, 2, 19, 1, 1))</f>
        <v>0</v>
      </c>
      <c r="W238" s="128">
        <f ca="1">OFFSET('IWP06'!UnitsOfServicePeriod1, 2, 20, 1, 1)</f>
        <v>0</v>
      </c>
      <c r="X238" s="128">
        <f ca="1">IF(OFFSET('IWP06'!UnitsOfServicePeriod1, 2, 21, 1, 1) = "", 0, OFFSET('IWP06'!UnitsOfServicePeriod1, 2, 21, 1, 1))</f>
        <v>0</v>
      </c>
      <c r="Y238" s="137">
        <f ca="1">OFFSET('IWP06'!UnitsOfServicePeriod1, 2, 22, 1, 1)</f>
        <v>0</v>
      </c>
    </row>
    <row r="239" spans="1:25">
      <c r="A239" s="125" t="s">
        <v>479</v>
      </c>
      <c r="B239" s="128">
        <v>1</v>
      </c>
      <c r="C239" s="128">
        <v>4</v>
      </c>
      <c r="D239" s="107">
        <f ca="1">IF(OFFSET('IWP06'!UnitsOfServicePeriod1, 3, 0, 1, 1)=DATE(1900,1,0), DATE(1900,1,1),OFFSET('IWP06'!UnitsOfServicePeriod1, 3, 0, 1, 1))</f>
        <v>1</v>
      </c>
      <c r="E239" s="107">
        <f ca="1">IF(OFFSET('IWP06'!UnitsOfServicePeriod1, 3, 1, 1, 1)=DATE(1900,1,0), DATE(1900,1,1),OFFSET('IWP06'!UnitsOfServicePeriod1, 3, 1, 1, 1))</f>
        <v>1</v>
      </c>
      <c r="F239" s="128">
        <f ca="1">OFFSET('IWP06'!UnitsOfServicePeriod1, 3, 2, 1, 1)</f>
        <v>0</v>
      </c>
      <c r="G239" s="128">
        <f ca="1">IF(OFFSET('IWP06'!UnitsOfServicePeriod1, 3, 3, 1, 1) = "", 0, OFFSET('IWP06'!UnitsOfServicePeriod1, 3, 3, 1, 1))</f>
        <v>0</v>
      </c>
      <c r="H239" s="128">
        <f ca="1">OFFSET('IWP06'!UnitsOfServicePeriod1, 3, 4, 1, 1)</f>
        <v>0</v>
      </c>
      <c r="I239" s="128">
        <f ca="1">IF(OFFSET('IWP06'!UnitsOfServicePeriod1, 3, 5, 1, 1) = "", 0, OFFSET('IWP06'!UnitsOfServicePeriod1, 3, 5, 1, 1))</f>
        <v>0</v>
      </c>
      <c r="J239" s="128">
        <f ca="1">OFFSET('IWP06'!UnitsOfServicePeriod1, 3, 6, 1, 1)</f>
        <v>0</v>
      </c>
      <c r="K239" s="128">
        <f ca="1">IF(OFFSET('IWP06'!UnitsOfServicePeriod1, 3, 7, 1, 1) = "", 0, OFFSET('IWP06'!UnitsOfServicePeriod1, 3, 7, 1, 1))</f>
        <v>0</v>
      </c>
      <c r="L239" s="128">
        <f ca="1">OFFSET('IWP06'!UnitsOfServicePeriod1, 3, 8, 1, 1)</f>
        <v>0</v>
      </c>
      <c r="M239" s="128">
        <f ca="1">IF(OFFSET('IWP06'!UnitsOfServicePeriod1, 3, 9, 1, 1) = "", 0, OFFSET('IWP06'!UnitsOfServicePeriod1, 3, 9, 1, 1))</f>
        <v>0</v>
      </c>
      <c r="N239" s="128">
        <f ca="1">OFFSET('IWP06'!UnitsOfServicePeriod1, 3, 10, 1, 1)</f>
        <v>0</v>
      </c>
      <c r="O239" s="128">
        <f ca="1">IF(OFFSET('IWP06'!UnitsOfServicePeriod1, 3, 11, 1, 1) = "", 0, OFFSET('IWP06'!UnitsOfServicePeriod1, 3, 11, 1, 1))</f>
        <v>0</v>
      </c>
      <c r="P239" s="128">
        <f ca="1">OFFSET('IWP06'!UnitsOfServicePeriod1, 3, 12, 1, 1)</f>
        <v>0</v>
      </c>
      <c r="Q239" s="128">
        <f ca="1">IF(OFFSET('IWP06'!UnitsOfServicePeriod1, 3, 13, 1, 1) = "", 0, OFFSET('IWP06'!UnitsOfServicePeriod1, 3, 13, 1, 1))</f>
        <v>0</v>
      </c>
      <c r="R239" s="128">
        <f ca="1">OFFSET('IWP06'!UnitsOfServicePeriod1, 3, 14, 1, 1)</f>
        <v>0</v>
      </c>
      <c r="S239" s="128">
        <f ca="1">IF(OFFSET('IWP06'!UnitsOfServicePeriod1, 3, 15, 1, 1) = "", 0, OFFSET('IWP06'!UnitsOfServicePeriod1, 3, 15, 1, 1))</f>
        <v>0</v>
      </c>
      <c r="T239" s="128">
        <f ca="1">IF(OFFSET('IWP06'!UnitsOfServicePeriod1, 3, 16, 1, 1) = "", 0, OFFSET('IWP06'!UnitsOfServicePeriod1, 3, 16, 1, 1))</f>
        <v>0</v>
      </c>
      <c r="U239" s="128">
        <f ca="1">OFFSET('IWP06'!UnitsOfServicePeriod1, 3, 17, 1, 1)</f>
        <v>0</v>
      </c>
      <c r="V239" s="128">
        <f ca="1">IF(OFFSET('IWP06'!UnitsOfServicePeriod1, 3, 19, 1, 1) = "", 0, OFFSET('IWP06'!UnitsOfServicePeriod1, 3, 19, 1, 1))</f>
        <v>0</v>
      </c>
      <c r="W239" s="128">
        <f ca="1">OFFSET('IWP06'!UnitsOfServicePeriod1, 3, 20, 1, 1)</f>
        <v>0</v>
      </c>
      <c r="X239" s="128">
        <f ca="1">IF(OFFSET('IWP06'!UnitsOfServicePeriod1, 3, 21, 1, 1) = "", 0, OFFSET('IWP06'!UnitsOfServicePeriod1, 3, 21, 1, 1))</f>
        <v>0</v>
      </c>
      <c r="Y239" s="137">
        <f ca="1">OFFSET('IWP06'!UnitsOfServicePeriod1, 3, 22, 1, 1)</f>
        <v>0</v>
      </c>
    </row>
    <row r="240" spans="1:25">
      <c r="A240" s="125" t="s">
        <v>479</v>
      </c>
      <c r="B240" s="128">
        <v>1</v>
      </c>
      <c r="C240" s="128">
        <v>5</v>
      </c>
      <c r="D240" s="107">
        <f ca="1">IF(OFFSET('IWP06'!UnitsOfServicePeriod1, 4, 0, 1, 1)=DATE(1900,1,0), DATE(1900,1,1),OFFSET('IWP06'!UnitsOfServicePeriod1, 4, 0, 1, 1))</f>
        <v>1</v>
      </c>
      <c r="E240" s="107">
        <f ca="1">IF(OFFSET('IWP06'!UnitsOfServicePeriod1, 4, 1, 1, 1)=DATE(1900,1,0), DATE(1900,1,1),OFFSET('IWP06'!UnitsOfServicePeriod1, 4, 1, 1, 1))</f>
        <v>1</v>
      </c>
      <c r="F240" s="128">
        <f ca="1">OFFSET('IWP06'!UnitsOfServicePeriod1, 4, 2, 1, 1)</f>
        <v>0</v>
      </c>
      <c r="G240" s="128">
        <f ca="1">IF(OFFSET('IWP06'!UnitsOfServicePeriod1, 4, 3, 1, 1) = "", 0, OFFSET('IWP06'!UnitsOfServicePeriod1, 4, 3, 1, 1))</f>
        <v>0</v>
      </c>
      <c r="H240" s="128">
        <f ca="1">OFFSET('IWP06'!UnitsOfServicePeriod1, 4, 4, 1, 1)</f>
        <v>0</v>
      </c>
      <c r="I240" s="128">
        <f ca="1">IF(OFFSET('IWP06'!UnitsOfServicePeriod1, 4, 5, 1, 1) = "", 0, OFFSET('IWP06'!UnitsOfServicePeriod1, 4, 5, 1, 1))</f>
        <v>0</v>
      </c>
      <c r="J240" s="128">
        <f ca="1">OFFSET('IWP06'!UnitsOfServicePeriod1, 4, 6, 1, 1)</f>
        <v>0</v>
      </c>
      <c r="K240" s="128">
        <f ca="1">IF(OFFSET('IWP06'!UnitsOfServicePeriod1, 4, 7, 1, 1) = "", 0, OFFSET('IWP06'!UnitsOfServicePeriod1, 4, 7, 1, 1))</f>
        <v>0</v>
      </c>
      <c r="L240" s="128">
        <f ca="1">OFFSET('IWP06'!UnitsOfServicePeriod1, 4, 8, 1, 1)</f>
        <v>0</v>
      </c>
      <c r="M240" s="128">
        <f ca="1">IF(OFFSET('IWP06'!UnitsOfServicePeriod1, 4, 9, 1, 1) = "", 0, OFFSET('IWP06'!UnitsOfServicePeriod1, 4, 9, 1, 1))</f>
        <v>0</v>
      </c>
      <c r="N240" s="128">
        <f ca="1">OFFSET('IWP06'!UnitsOfServicePeriod1, 4, 10, 1, 1)</f>
        <v>0</v>
      </c>
      <c r="O240" s="128">
        <f ca="1">IF(OFFSET('IWP06'!UnitsOfServicePeriod1, 4, 11, 1, 1) = "", 0, OFFSET('IWP06'!UnitsOfServicePeriod1, 4, 11, 1, 1))</f>
        <v>0</v>
      </c>
      <c r="P240" s="128">
        <f ca="1">OFFSET('IWP06'!UnitsOfServicePeriod1, 4, 12, 1, 1)</f>
        <v>0</v>
      </c>
      <c r="Q240" s="128">
        <f ca="1">IF(OFFSET('IWP06'!UnitsOfServicePeriod1, 4, 13, 1, 1) = "", 0, OFFSET('IWP06'!UnitsOfServicePeriod1, 4, 13, 1, 1))</f>
        <v>0</v>
      </c>
      <c r="R240" s="128">
        <f ca="1">OFFSET('IWP06'!UnitsOfServicePeriod1, 4, 14, 1, 1)</f>
        <v>0</v>
      </c>
      <c r="S240" s="128">
        <f ca="1">IF(OFFSET('IWP06'!UnitsOfServicePeriod1, 4, 15, 1, 1) = "", 0, OFFSET('IWP06'!UnitsOfServicePeriod1, 4, 15, 1, 1))</f>
        <v>0</v>
      </c>
      <c r="T240" s="128">
        <f ca="1">IF(OFFSET('IWP06'!UnitsOfServicePeriod1, 4, 16, 1, 1) = "", 0, OFFSET('IWP06'!UnitsOfServicePeriod1, 4, 16, 1, 1))</f>
        <v>0</v>
      </c>
      <c r="U240" s="128">
        <f ca="1">OFFSET('IWP06'!UnitsOfServicePeriod1, 4, 17, 1, 1)</f>
        <v>0</v>
      </c>
      <c r="V240" s="128">
        <f ca="1">IF(OFFSET('IWP06'!UnitsOfServicePeriod1, 4, 19, 1, 1) = "", 0, OFFSET('IWP06'!UnitsOfServicePeriod1, 4, 19, 1, 1))</f>
        <v>0</v>
      </c>
      <c r="W240" s="128">
        <f ca="1">OFFSET('IWP06'!UnitsOfServicePeriod1, 4, 20, 1, 1)</f>
        <v>0</v>
      </c>
      <c r="X240" s="128">
        <f ca="1">IF(OFFSET('IWP06'!UnitsOfServicePeriod1, 4, 21, 1, 1) = "", 0, OFFSET('IWP06'!UnitsOfServicePeriod1, 4, 21, 1, 1))</f>
        <v>0</v>
      </c>
      <c r="Y240" s="137">
        <f ca="1">OFFSET('IWP06'!UnitsOfServicePeriod1, 4, 22, 1, 1)</f>
        <v>0</v>
      </c>
    </row>
    <row r="241" spans="1:25">
      <c r="A241" s="125" t="s">
        <v>479</v>
      </c>
      <c r="B241" s="128">
        <v>1</v>
      </c>
      <c r="C241" s="128">
        <v>6</v>
      </c>
      <c r="D241" s="107">
        <f ca="1">IF(OFFSET('IWP06'!UnitsOfServicePeriod1, 5, 0, 1, 1)=DATE(1900,1,0), DATE(1900,1,1),OFFSET('IWP06'!UnitsOfServicePeriod1, 5, 0, 1, 1))</f>
        <v>1</v>
      </c>
      <c r="E241" s="107">
        <f ca="1">IF(OFFSET('IWP06'!UnitsOfServicePeriod1, 5, 1, 1, 1)=DATE(1900,1,0), DATE(1900,1,1),OFFSET('IWP06'!UnitsOfServicePeriod1, 5, 1, 1, 1))</f>
        <v>1</v>
      </c>
      <c r="F241" s="128">
        <f ca="1">OFFSET('IWP06'!UnitsOfServicePeriod1, 5, 2, 1, 1)</f>
        <v>0</v>
      </c>
      <c r="G241" s="128">
        <f ca="1">IF(OFFSET('IWP06'!UnitsOfServicePeriod1, 5, 3, 1, 1) = "", 0, OFFSET('IWP06'!UnitsOfServicePeriod1, 5, 3, 1, 1))</f>
        <v>0</v>
      </c>
      <c r="H241" s="128">
        <f ca="1">OFFSET('IWP06'!UnitsOfServicePeriod1, 5, 4, 1, 1)</f>
        <v>0</v>
      </c>
      <c r="I241" s="128">
        <f ca="1">IF(OFFSET('IWP06'!UnitsOfServicePeriod1, 5, 5, 1, 1) = "", 0, OFFSET('IWP06'!UnitsOfServicePeriod1, 5, 5, 1, 1))</f>
        <v>0</v>
      </c>
      <c r="J241" s="128">
        <f ca="1">OFFSET('IWP06'!UnitsOfServicePeriod1, 5, 6, 1, 1)</f>
        <v>0</v>
      </c>
      <c r="K241" s="128">
        <f ca="1">IF(OFFSET('IWP06'!UnitsOfServicePeriod1, 5, 7, 1, 1) = "", 0, OFFSET('IWP06'!UnitsOfServicePeriod1, 5, 7, 1, 1))</f>
        <v>0</v>
      </c>
      <c r="L241" s="128">
        <f ca="1">OFFSET('IWP06'!UnitsOfServicePeriod1, 5, 8, 1, 1)</f>
        <v>0</v>
      </c>
      <c r="M241" s="128">
        <f ca="1">IF(OFFSET('IWP06'!UnitsOfServicePeriod1, 5, 9, 1, 1) = "", 0, OFFSET('IWP06'!UnitsOfServicePeriod1, 5, 9, 1, 1))</f>
        <v>0</v>
      </c>
      <c r="N241" s="128">
        <f ca="1">OFFSET('IWP06'!UnitsOfServicePeriod1, 5, 10, 1, 1)</f>
        <v>0</v>
      </c>
      <c r="O241" s="128">
        <f ca="1">IF(OFFSET('IWP06'!UnitsOfServicePeriod1, 5, 11, 1, 1) = "", 0, OFFSET('IWP06'!UnitsOfServicePeriod1, 5, 11, 1, 1))</f>
        <v>0</v>
      </c>
      <c r="P241" s="128">
        <f ca="1">OFFSET('IWP06'!UnitsOfServicePeriod1, 5, 12, 1, 1)</f>
        <v>0</v>
      </c>
      <c r="Q241" s="128">
        <f ca="1">IF(OFFSET('IWP06'!UnitsOfServicePeriod1, 5, 13, 1, 1) = "", 0, OFFSET('IWP06'!UnitsOfServicePeriod1, 5, 13, 1, 1))</f>
        <v>0</v>
      </c>
      <c r="R241" s="128">
        <f ca="1">OFFSET('IWP06'!UnitsOfServicePeriod1, 5, 14, 1, 1)</f>
        <v>0</v>
      </c>
      <c r="S241" s="128">
        <f ca="1">IF(OFFSET('IWP06'!UnitsOfServicePeriod1, 5, 15, 1, 1) = "", 0, OFFSET('IWP06'!UnitsOfServicePeriod1, 5, 15, 1, 1))</f>
        <v>0</v>
      </c>
      <c r="T241" s="128">
        <f ca="1">IF(OFFSET('IWP06'!UnitsOfServicePeriod1, 5, 16, 1, 1) = "", 0, OFFSET('IWP06'!UnitsOfServicePeriod1, 5, 16, 1, 1))</f>
        <v>0</v>
      </c>
      <c r="U241" s="128">
        <f ca="1">OFFSET('IWP06'!UnitsOfServicePeriod1, 5, 17, 1, 1)</f>
        <v>0</v>
      </c>
      <c r="V241" s="128">
        <f ca="1">IF(OFFSET('IWP06'!UnitsOfServicePeriod1, 5, 19, 1, 1) = "", 0, OFFSET('IWP06'!UnitsOfServicePeriod1, 5, 19, 1, 1))</f>
        <v>0</v>
      </c>
      <c r="W241" s="128">
        <f ca="1">OFFSET('IWP06'!UnitsOfServicePeriod1, 5, 20, 1, 1)</f>
        <v>0</v>
      </c>
      <c r="X241" s="128">
        <f ca="1">IF(OFFSET('IWP06'!UnitsOfServicePeriod1, 5, 21, 1, 1) = "", 0, OFFSET('IWP06'!UnitsOfServicePeriod1, 5, 21, 1, 1))</f>
        <v>0</v>
      </c>
      <c r="Y241" s="137">
        <f ca="1">OFFSET('IWP06'!UnitsOfServicePeriod1, 5, 22, 1, 1)</f>
        <v>0</v>
      </c>
    </row>
    <row r="242" spans="1:25">
      <c r="A242" s="125" t="s">
        <v>479</v>
      </c>
      <c r="B242" s="128">
        <v>2</v>
      </c>
      <c r="C242" s="128">
        <v>1</v>
      </c>
      <c r="D242" s="107">
        <f ca="1">IF(OFFSET('IWP06'!UnitsOfServicePeriod2, 0, 0, 1, 1)=DATE(1900,1,0), DATE(1900,1,1),OFFSET('IWP06'!UnitsOfServicePeriod2, 0, 0, 1, 1))</f>
        <v>1</v>
      </c>
      <c r="E242" s="107">
        <f ca="1">IF(OFFSET('IWP06'!UnitsOfServicePeriod2, 0, 1, 1, 1)=DATE(1900,1,0), DATE(1900,1,1),OFFSET('IWP06'!UnitsOfServicePeriod2, 0, 1, 1, 1))</f>
        <v>1</v>
      </c>
      <c r="F242" s="128">
        <f ca="1">OFFSET('IWP06'!UnitsOfServicePeriod2, 0, 2, 1, 1)</f>
        <v>0</v>
      </c>
      <c r="G242" s="128">
        <f ca="1">IF(OFFSET('IWP06'!UnitsOfServicePeriod2, 0, 3, 1, 1) = "", 0, OFFSET('IWP06'!UnitsOfServicePeriod2, 0, 3, 1, 1))</f>
        <v>0</v>
      </c>
      <c r="H242" s="128">
        <f ca="1">OFFSET('IWP06'!UnitsOfServicePeriod2, 0, 4, 1, 1)</f>
        <v>0</v>
      </c>
      <c r="I242" s="128">
        <f ca="1">IF(OFFSET('IWP06'!UnitsOfServicePeriod2, 0, 5, 1, 1) = "", 0, OFFSET('IWP06'!UnitsOfServicePeriod2, 0, 5, 1, 1))</f>
        <v>0</v>
      </c>
      <c r="J242" s="128">
        <f ca="1">OFFSET('IWP06'!UnitsOfServicePeriod2, 0, 6, 1, 1)</f>
        <v>0</v>
      </c>
      <c r="K242" s="128">
        <f ca="1">IF(OFFSET('IWP06'!UnitsOfServicePeriod2, 0, 7, 1, 1) = "", 0, OFFSET('IWP06'!UnitsOfServicePeriod2, 0, 7, 1, 1))</f>
        <v>0</v>
      </c>
      <c r="L242" s="128">
        <f ca="1">OFFSET('IWP06'!UnitsOfServicePeriod2, 0, 8, 1, 1)</f>
        <v>0</v>
      </c>
      <c r="M242" s="128">
        <f ca="1">IF(OFFSET('IWP06'!UnitsOfServicePeriod2, 0, 9, 1, 1) = "", 0, OFFSET('IWP06'!UnitsOfServicePeriod2, 0, 9, 1, 1))</f>
        <v>0</v>
      </c>
      <c r="N242" s="128">
        <f ca="1">OFFSET('IWP06'!UnitsOfServicePeriod2, 0, 10, 1, 1)</f>
        <v>0</v>
      </c>
      <c r="O242" s="128">
        <f ca="1">IF(OFFSET('IWP06'!UnitsOfServicePeriod2, 0, 11, 1, 1) = "", 0, OFFSET('IWP06'!UnitsOfServicePeriod2, 0, 11, 1, 1))</f>
        <v>0</v>
      </c>
      <c r="P242" s="128">
        <f ca="1">OFFSET('IWP06'!UnitsOfServicePeriod2, 0, 12, 1, 1)</f>
        <v>0</v>
      </c>
      <c r="Q242" s="128">
        <f ca="1">IF(OFFSET('IWP06'!UnitsOfServicePeriod2, 0, 13, 1, 1) = "", 0, OFFSET('IWP06'!UnitsOfServicePeriod2, 0, 13, 1, 1))</f>
        <v>0</v>
      </c>
      <c r="R242" s="128">
        <f ca="1">OFFSET('IWP06'!UnitsOfServicePeriod2, 0, 14, 1, 1)</f>
        <v>0</v>
      </c>
      <c r="S242" s="128">
        <f ca="1">IF(OFFSET('IWP06'!UnitsOfServicePeriod2, 0, 15, 1, 1) = "", 0, OFFSET('IWP06'!UnitsOfServicePeriod2, 0, 15, 1, 1))</f>
        <v>0</v>
      </c>
      <c r="T242" s="128">
        <f ca="1">IF(OFFSET('IWP06'!UnitsOfServicePeriod2, 0, 16, 1, 1) = "", 0, OFFSET('IWP06'!UnitsOfServicePeriod2, 0, 16, 1, 1))</f>
        <v>0</v>
      </c>
      <c r="U242" s="128">
        <f ca="1">OFFSET('IWP06'!UnitsOfServicePeriod2, 0, 17, 1, 1)</f>
        <v>0</v>
      </c>
      <c r="V242" s="128">
        <f ca="1">IF(OFFSET('IWP06'!UnitsOfServicePeriod2, 0, 19, 1, 1) = "", 0, OFFSET('IWP06'!UnitsOfServicePeriod2, 0, 19, 1, 1))</f>
        <v>0</v>
      </c>
      <c r="W242" s="128">
        <f ca="1">OFFSET('IWP06'!UnitsOfServicePeriod2, 0, 20, 1, 1)</f>
        <v>0</v>
      </c>
      <c r="X242" s="128">
        <f ca="1">IF(OFFSET('IWP06'!UnitsOfServicePeriod2, 0, 21, 1, 1) = "", 0, OFFSET('IWP06'!UnitsOfServicePeriod2, 0, 21, 1, 1))</f>
        <v>0</v>
      </c>
      <c r="Y242" s="137">
        <f ca="1">OFFSET('IWP06'!UnitsOfServicePeriod2, 0, 22, 1, 1)</f>
        <v>0</v>
      </c>
    </row>
    <row r="243" spans="1:25">
      <c r="A243" s="125" t="s">
        <v>479</v>
      </c>
      <c r="B243" s="128">
        <v>2</v>
      </c>
      <c r="C243" s="128">
        <v>2</v>
      </c>
      <c r="D243" s="107">
        <f ca="1">IF(OFFSET('IWP06'!UnitsOfServicePeriod2, 1, 0, 1, 1)=DATE(1900,1,0), DATE(1900,1,1),OFFSET('IWP06'!UnitsOfServicePeriod2, 1, 0, 1, 1))</f>
        <v>1</v>
      </c>
      <c r="E243" s="107">
        <f ca="1">IF(OFFSET('IWP06'!UnitsOfServicePeriod2, 1, 1, 1, 1)=DATE(1900,1,0), DATE(1900,1,1),OFFSET('IWP06'!UnitsOfServicePeriod2, 1, 1, 1, 1))</f>
        <v>1</v>
      </c>
      <c r="F243" s="128">
        <f ca="1">OFFSET('IWP06'!UnitsOfServicePeriod2, 1, 2, 1, 1)</f>
        <v>0</v>
      </c>
      <c r="G243" s="128">
        <f ca="1">IF(OFFSET('IWP06'!UnitsOfServicePeriod2, 1, 3, 1, 1) = "", 0, OFFSET('IWP06'!UnitsOfServicePeriod2, 1, 3, 1, 1))</f>
        <v>0</v>
      </c>
      <c r="H243" s="128">
        <f ca="1">OFFSET('IWP06'!UnitsOfServicePeriod2, 1, 4, 1, 1)</f>
        <v>0</v>
      </c>
      <c r="I243" s="128">
        <f ca="1">IF(OFFSET('IWP06'!UnitsOfServicePeriod2, 1, 5, 1, 1) = "", 0, OFFSET('IWP06'!UnitsOfServicePeriod2, 1, 5, 1, 1))</f>
        <v>0</v>
      </c>
      <c r="J243" s="128">
        <f ca="1">OFFSET('IWP06'!UnitsOfServicePeriod2, 1, 6, 1, 1)</f>
        <v>0</v>
      </c>
      <c r="K243" s="128">
        <f ca="1">IF(OFFSET('IWP06'!UnitsOfServicePeriod2, 1, 7, 1, 1) = "", 0, OFFSET('IWP06'!UnitsOfServicePeriod2, 1, 7, 1, 1))</f>
        <v>0</v>
      </c>
      <c r="L243" s="128">
        <f ca="1">OFFSET('IWP06'!UnitsOfServicePeriod2, 1, 8, 1, 1)</f>
        <v>0</v>
      </c>
      <c r="M243" s="128">
        <f ca="1">IF(OFFSET('IWP06'!UnitsOfServicePeriod2, 1, 9, 1, 1) = "", 0, OFFSET('IWP06'!UnitsOfServicePeriod2, 1, 9, 1, 1))</f>
        <v>0</v>
      </c>
      <c r="N243" s="128">
        <f ca="1">OFFSET('IWP06'!UnitsOfServicePeriod2, 1, 10, 1, 1)</f>
        <v>0</v>
      </c>
      <c r="O243" s="128">
        <f ca="1">IF(OFFSET('IWP06'!UnitsOfServicePeriod2, 1, 11, 1, 1) = "", 0, OFFSET('IWP06'!UnitsOfServicePeriod2, 1, 11, 1, 1))</f>
        <v>0</v>
      </c>
      <c r="P243" s="128">
        <f ca="1">OFFSET('IWP06'!UnitsOfServicePeriod2, 1, 12, 1, 1)</f>
        <v>0</v>
      </c>
      <c r="Q243" s="128">
        <f ca="1">IF(OFFSET('IWP06'!UnitsOfServicePeriod2, 1, 13, 1, 1) = "", 0, OFFSET('IWP06'!UnitsOfServicePeriod2, 1, 13, 1, 1))</f>
        <v>0</v>
      </c>
      <c r="R243" s="128">
        <f ca="1">OFFSET('IWP06'!UnitsOfServicePeriod2, 1, 14, 1, 1)</f>
        <v>0</v>
      </c>
      <c r="S243" s="128">
        <f ca="1">IF(OFFSET('IWP06'!UnitsOfServicePeriod2, 1, 15, 1, 1) = "", 0, OFFSET('IWP06'!UnitsOfServicePeriod2, 1, 15, 1, 1))</f>
        <v>0</v>
      </c>
      <c r="T243" s="128">
        <f ca="1">IF(OFFSET('IWP06'!UnitsOfServicePeriod2, 1, 16, 1, 1) = "", 0, OFFSET('IWP06'!UnitsOfServicePeriod2, 1, 16, 1, 1))</f>
        <v>0</v>
      </c>
      <c r="U243" s="128">
        <f ca="1">OFFSET('IWP06'!UnitsOfServicePeriod2, 1, 17, 1, 1)</f>
        <v>0</v>
      </c>
      <c r="V243" s="128">
        <f ca="1">IF(OFFSET('IWP06'!UnitsOfServicePeriod2, 1, 19, 1, 1) = "", 0, OFFSET('IWP06'!UnitsOfServicePeriod2, 1, 19, 1, 1))</f>
        <v>0</v>
      </c>
      <c r="W243" s="128">
        <f ca="1">OFFSET('IWP06'!UnitsOfServicePeriod2, 1, 20, 1, 1)</f>
        <v>0</v>
      </c>
      <c r="X243" s="128">
        <f ca="1">IF(OFFSET('IWP06'!UnitsOfServicePeriod2, 1, 21, 1, 1) = "", 0, OFFSET('IWP06'!UnitsOfServicePeriod2, 1, 21, 1, 1))</f>
        <v>0</v>
      </c>
      <c r="Y243" s="137">
        <f ca="1">OFFSET('IWP06'!UnitsOfServicePeriod2, 1, 22, 1, 1)</f>
        <v>0</v>
      </c>
    </row>
    <row r="244" spans="1:25">
      <c r="A244" s="125" t="s">
        <v>479</v>
      </c>
      <c r="B244" s="128">
        <v>2</v>
      </c>
      <c r="C244" s="128">
        <v>3</v>
      </c>
      <c r="D244" s="107">
        <f ca="1">IF(OFFSET('IWP06'!UnitsOfServicePeriod2, 2, 0, 1, 1)=DATE(1900,1,0), DATE(1900,1,1),OFFSET('IWP06'!UnitsOfServicePeriod2, 2, 0, 1, 1))</f>
        <v>1</v>
      </c>
      <c r="E244" s="107">
        <f ca="1">IF(OFFSET('IWP06'!UnitsOfServicePeriod2, 2, 1, 1, 1)=DATE(1900,1,0), DATE(1900,1,1),OFFSET('IWP06'!UnitsOfServicePeriod2, 2, 1, 1, 1))</f>
        <v>1</v>
      </c>
      <c r="F244" s="128">
        <f ca="1">OFFSET('IWP06'!UnitsOfServicePeriod2, 2, 2, 1, 1)</f>
        <v>0</v>
      </c>
      <c r="G244" s="128">
        <f ca="1">IF(OFFSET('IWP06'!UnitsOfServicePeriod2, 2, 3, 1, 1) = "", 0, OFFSET('IWP06'!UnitsOfServicePeriod2, 2, 3, 1, 1))</f>
        <v>0</v>
      </c>
      <c r="H244" s="128">
        <f ca="1">OFFSET('IWP06'!UnitsOfServicePeriod2, 2, 4, 1, 1)</f>
        <v>0</v>
      </c>
      <c r="I244" s="128">
        <f ca="1">IF(OFFSET('IWP06'!UnitsOfServicePeriod2, 2, 5, 1, 1) = "", 0, OFFSET('IWP06'!UnitsOfServicePeriod2, 2, 5, 1, 1))</f>
        <v>0</v>
      </c>
      <c r="J244" s="128">
        <f ca="1">OFFSET('IWP06'!UnitsOfServicePeriod2, 2, 6, 1, 1)</f>
        <v>0</v>
      </c>
      <c r="K244" s="128">
        <f ca="1">IF(OFFSET('IWP06'!UnitsOfServicePeriod2, 2, 7, 1, 1) = "", 0, OFFSET('IWP06'!UnitsOfServicePeriod2, 2, 7, 1, 1))</f>
        <v>0</v>
      </c>
      <c r="L244" s="128">
        <f ca="1">OFFSET('IWP06'!UnitsOfServicePeriod2, 2, 8, 1, 1)</f>
        <v>0</v>
      </c>
      <c r="M244" s="128">
        <f ca="1">IF(OFFSET('IWP06'!UnitsOfServicePeriod2, 2, 9, 1, 1) = "", 0, OFFSET('IWP06'!UnitsOfServicePeriod2, 2, 9, 1, 1))</f>
        <v>0</v>
      </c>
      <c r="N244" s="128">
        <f ca="1">OFFSET('IWP06'!UnitsOfServicePeriod2, 2, 10, 1, 1)</f>
        <v>0</v>
      </c>
      <c r="O244" s="128">
        <f ca="1">IF(OFFSET('IWP06'!UnitsOfServicePeriod2, 2, 11, 1, 1) = "", 0, OFFSET('IWP06'!UnitsOfServicePeriod2, 2, 11, 1, 1))</f>
        <v>0</v>
      </c>
      <c r="P244" s="128">
        <f ca="1">OFFSET('IWP06'!UnitsOfServicePeriod2, 2, 12, 1, 1)</f>
        <v>0</v>
      </c>
      <c r="Q244" s="128">
        <f ca="1">IF(OFFSET('IWP06'!UnitsOfServicePeriod2, 2, 13, 1, 1) = "", 0, OFFSET('IWP06'!UnitsOfServicePeriod2, 2, 13, 1, 1))</f>
        <v>0</v>
      </c>
      <c r="R244" s="128">
        <f ca="1">OFFSET('IWP06'!UnitsOfServicePeriod2, 2, 14, 1, 1)</f>
        <v>0</v>
      </c>
      <c r="S244" s="128">
        <f ca="1">IF(OFFSET('IWP06'!UnitsOfServicePeriod2, 2, 15, 1, 1) = "", 0, OFFSET('IWP06'!UnitsOfServicePeriod2, 2, 15, 1, 1))</f>
        <v>0</v>
      </c>
      <c r="T244" s="128">
        <f ca="1">IF(OFFSET('IWP06'!UnitsOfServicePeriod2, 2, 16, 1, 1) = "", 0, OFFSET('IWP06'!UnitsOfServicePeriod2, 2, 16, 1, 1))</f>
        <v>0</v>
      </c>
      <c r="U244" s="128">
        <f ca="1">OFFSET('IWP06'!UnitsOfServicePeriod2, 2, 17, 1, 1)</f>
        <v>0</v>
      </c>
      <c r="V244" s="128">
        <f ca="1">IF(OFFSET('IWP06'!UnitsOfServicePeriod2, 2, 19, 1, 1) = "", 0, OFFSET('IWP06'!UnitsOfServicePeriod2, 2, 19, 1, 1))</f>
        <v>0</v>
      </c>
      <c r="W244" s="128">
        <f ca="1">OFFSET('IWP06'!UnitsOfServicePeriod2, 2, 20, 1, 1)</f>
        <v>0</v>
      </c>
      <c r="X244" s="128">
        <f ca="1">IF(OFFSET('IWP06'!UnitsOfServicePeriod2, 2, 21, 1, 1) = "", 0, OFFSET('IWP06'!UnitsOfServicePeriod2, 2, 21, 1, 1))</f>
        <v>0</v>
      </c>
      <c r="Y244" s="137">
        <f ca="1">OFFSET('IWP06'!UnitsOfServicePeriod2, 2, 22, 1, 1)</f>
        <v>0</v>
      </c>
    </row>
    <row r="245" spans="1:25">
      <c r="A245" s="125" t="s">
        <v>479</v>
      </c>
      <c r="B245" s="128">
        <v>2</v>
      </c>
      <c r="C245" s="128">
        <v>4</v>
      </c>
      <c r="D245" s="107">
        <f ca="1">IF(OFFSET('IWP06'!UnitsOfServicePeriod2, 3, 0, 1, 1)=DATE(1900,1,0), DATE(1900,1,1),OFFSET('IWP06'!UnitsOfServicePeriod2, 3, 0, 1, 1))</f>
        <v>1</v>
      </c>
      <c r="E245" s="107">
        <f ca="1">IF(OFFSET('IWP06'!UnitsOfServicePeriod2, 3, 1, 1, 1)=DATE(1900,1,0), DATE(1900,1,1),OFFSET('IWP06'!UnitsOfServicePeriod2, 3, 1, 1, 1))</f>
        <v>1</v>
      </c>
      <c r="F245" s="128">
        <f ca="1">OFFSET('IWP06'!UnitsOfServicePeriod2, 3, 2, 1, 1)</f>
        <v>0</v>
      </c>
      <c r="G245" s="128">
        <f ca="1">IF(OFFSET('IWP06'!UnitsOfServicePeriod2, 3, 3, 1, 1) = "", 0, OFFSET('IWP06'!UnitsOfServicePeriod2, 3, 3, 1, 1))</f>
        <v>0</v>
      </c>
      <c r="H245" s="128">
        <f ca="1">OFFSET('IWP06'!UnitsOfServicePeriod2, 3, 4, 1, 1)</f>
        <v>0</v>
      </c>
      <c r="I245" s="128">
        <f ca="1">IF(OFFSET('IWP06'!UnitsOfServicePeriod2, 3, 5, 1, 1) = "", 0, OFFSET('IWP06'!UnitsOfServicePeriod2, 3, 5, 1, 1))</f>
        <v>0</v>
      </c>
      <c r="J245" s="128">
        <f ca="1">OFFSET('IWP06'!UnitsOfServicePeriod2, 3, 6, 1, 1)</f>
        <v>0</v>
      </c>
      <c r="K245" s="128">
        <f ca="1">IF(OFFSET('IWP06'!UnitsOfServicePeriod2, 3, 7, 1, 1) = "", 0, OFFSET('IWP06'!UnitsOfServicePeriod2, 3, 7, 1, 1))</f>
        <v>0</v>
      </c>
      <c r="L245" s="128">
        <f ca="1">OFFSET('IWP06'!UnitsOfServicePeriod2, 3, 8, 1, 1)</f>
        <v>0</v>
      </c>
      <c r="M245" s="128">
        <f ca="1">IF(OFFSET('IWP06'!UnitsOfServicePeriod2, 3, 9, 1, 1) = "", 0, OFFSET('IWP06'!UnitsOfServicePeriod2, 3, 9, 1, 1))</f>
        <v>0</v>
      </c>
      <c r="N245" s="128">
        <f ca="1">OFFSET('IWP06'!UnitsOfServicePeriod2, 3, 10, 1, 1)</f>
        <v>0</v>
      </c>
      <c r="O245" s="128">
        <f ca="1">IF(OFFSET('IWP06'!UnitsOfServicePeriod2, 3, 11, 1, 1) = "", 0, OFFSET('IWP06'!UnitsOfServicePeriod2, 3, 11, 1, 1))</f>
        <v>0</v>
      </c>
      <c r="P245" s="128">
        <f ca="1">OFFSET('IWP06'!UnitsOfServicePeriod2, 3, 12, 1, 1)</f>
        <v>0</v>
      </c>
      <c r="Q245" s="128">
        <f ca="1">IF(OFFSET('IWP06'!UnitsOfServicePeriod2, 3, 13, 1, 1) = "", 0, OFFSET('IWP06'!UnitsOfServicePeriod2, 3, 13, 1, 1))</f>
        <v>0</v>
      </c>
      <c r="R245" s="128">
        <f ca="1">OFFSET('IWP06'!UnitsOfServicePeriod2, 3, 14, 1, 1)</f>
        <v>0</v>
      </c>
      <c r="S245" s="128">
        <f ca="1">IF(OFFSET('IWP06'!UnitsOfServicePeriod2, 3, 15, 1, 1) = "", 0, OFFSET('IWP06'!UnitsOfServicePeriod2, 3, 15, 1, 1))</f>
        <v>0</v>
      </c>
      <c r="T245" s="128">
        <f ca="1">IF(OFFSET('IWP06'!UnitsOfServicePeriod2, 3, 16, 1, 1) = "", 0, OFFSET('IWP06'!UnitsOfServicePeriod2, 3, 16, 1, 1))</f>
        <v>0</v>
      </c>
      <c r="U245" s="128">
        <f ca="1">OFFSET('IWP06'!UnitsOfServicePeriod2, 3, 17, 1, 1)</f>
        <v>0</v>
      </c>
      <c r="V245" s="128">
        <f ca="1">IF(OFFSET('IWP06'!UnitsOfServicePeriod2, 3, 19, 1, 1) = "", 0, OFFSET('IWP06'!UnitsOfServicePeriod2, 3, 19, 1, 1))</f>
        <v>0</v>
      </c>
      <c r="W245" s="128">
        <f ca="1">OFFSET('IWP06'!UnitsOfServicePeriod2, 3, 20, 1, 1)</f>
        <v>0</v>
      </c>
      <c r="X245" s="128">
        <f ca="1">IF(OFFSET('IWP06'!UnitsOfServicePeriod2, 3, 21, 1, 1) = "", 0, OFFSET('IWP06'!UnitsOfServicePeriod2, 3, 21, 1, 1))</f>
        <v>0</v>
      </c>
      <c r="Y245" s="137">
        <f ca="1">OFFSET('IWP06'!UnitsOfServicePeriod2, 3, 22, 1, 1)</f>
        <v>0</v>
      </c>
    </row>
    <row r="246" spans="1:25">
      <c r="A246" s="125" t="s">
        <v>479</v>
      </c>
      <c r="B246" s="128">
        <v>2</v>
      </c>
      <c r="C246" s="128">
        <v>5</v>
      </c>
      <c r="D246" s="107">
        <f ca="1">IF(OFFSET('IWP06'!UnitsOfServicePeriod2, 4, 0, 1, 1)=DATE(1900,1,0), DATE(1900,1,1),OFFSET('IWP06'!UnitsOfServicePeriod2, 4, 0, 1, 1))</f>
        <v>1</v>
      </c>
      <c r="E246" s="107">
        <f ca="1">IF(OFFSET('IWP06'!UnitsOfServicePeriod2, 4, 1, 1, 1)=DATE(1900,1,0), DATE(1900,1,1),OFFSET('IWP06'!UnitsOfServicePeriod2, 4, 1, 1, 1))</f>
        <v>1</v>
      </c>
      <c r="F246" s="128">
        <f ca="1">OFFSET('IWP06'!UnitsOfServicePeriod2, 4, 2, 1, 1)</f>
        <v>0</v>
      </c>
      <c r="G246" s="128">
        <f ca="1">IF(OFFSET('IWP06'!UnitsOfServicePeriod2, 4, 3, 1, 1) = "", 0, OFFSET('IWP06'!UnitsOfServicePeriod2, 4, 3, 1, 1))</f>
        <v>0</v>
      </c>
      <c r="H246" s="128">
        <f ca="1">OFFSET('IWP06'!UnitsOfServicePeriod2, 4, 4, 1, 1)</f>
        <v>0</v>
      </c>
      <c r="I246" s="128">
        <f ca="1">IF(OFFSET('IWP06'!UnitsOfServicePeriod2, 4, 5, 1, 1) = "", 0, OFFSET('IWP06'!UnitsOfServicePeriod2, 4, 5, 1, 1))</f>
        <v>0</v>
      </c>
      <c r="J246" s="128">
        <f ca="1">OFFSET('IWP06'!UnitsOfServicePeriod2, 4, 6, 1, 1)</f>
        <v>0</v>
      </c>
      <c r="K246" s="128">
        <f ca="1">IF(OFFSET('IWP06'!UnitsOfServicePeriod2, 4, 7, 1, 1) = "", 0, OFFSET('IWP06'!UnitsOfServicePeriod2, 4, 7, 1, 1))</f>
        <v>0</v>
      </c>
      <c r="L246" s="128">
        <f ca="1">OFFSET('IWP06'!UnitsOfServicePeriod2, 4, 8, 1, 1)</f>
        <v>0</v>
      </c>
      <c r="M246" s="128">
        <f ca="1">IF(OFFSET('IWP06'!UnitsOfServicePeriod2, 4, 9, 1, 1) = "", 0, OFFSET('IWP06'!UnitsOfServicePeriod2, 4, 9, 1, 1))</f>
        <v>0</v>
      </c>
      <c r="N246" s="128">
        <f ca="1">OFFSET('IWP06'!UnitsOfServicePeriod2, 4, 10, 1, 1)</f>
        <v>0</v>
      </c>
      <c r="O246" s="128">
        <f ca="1">IF(OFFSET('IWP06'!UnitsOfServicePeriod2, 4, 11, 1, 1) = "", 0, OFFSET('IWP06'!UnitsOfServicePeriod2, 4, 11, 1, 1))</f>
        <v>0</v>
      </c>
      <c r="P246" s="128">
        <f ca="1">OFFSET('IWP06'!UnitsOfServicePeriod2, 4, 12, 1, 1)</f>
        <v>0</v>
      </c>
      <c r="Q246" s="128">
        <f ca="1">IF(OFFSET('IWP06'!UnitsOfServicePeriod2, 4, 13, 1, 1) = "", 0, OFFSET('IWP06'!UnitsOfServicePeriod2, 4, 13, 1, 1))</f>
        <v>0</v>
      </c>
      <c r="R246" s="128">
        <f ca="1">OFFSET('IWP06'!UnitsOfServicePeriod2, 4, 14, 1, 1)</f>
        <v>0</v>
      </c>
      <c r="S246" s="128">
        <f ca="1">IF(OFFSET('IWP06'!UnitsOfServicePeriod2, 4, 15, 1, 1) = "", 0, OFFSET('IWP06'!UnitsOfServicePeriod2, 4, 15, 1, 1))</f>
        <v>0</v>
      </c>
      <c r="T246" s="128">
        <f ca="1">IF(OFFSET('IWP06'!UnitsOfServicePeriod2, 4, 16, 1, 1) = "", 0, OFFSET('IWP06'!UnitsOfServicePeriod2, 4, 16, 1, 1))</f>
        <v>0</v>
      </c>
      <c r="U246" s="128">
        <f ca="1">OFFSET('IWP06'!UnitsOfServicePeriod2, 4, 17, 1, 1)</f>
        <v>0</v>
      </c>
      <c r="V246" s="128">
        <f ca="1">IF(OFFSET('IWP06'!UnitsOfServicePeriod2, 4, 19, 1, 1) = "", 0, OFFSET('IWP06'!UnitsOfServicePeriod2, 4, 19, 1, 1))</f>
        <v>0</v>
      </c>
      <c r="W246" s="128">
        <f ca="1">OFFSET('IWP06'!UnitsOfServicePeriod2, 4, 20, 1, 1)</f>
        <v>0</v>
      </c>
      <c r="X246" s="128">
        <f ca="1">IF(OFFSET('IWP06'!UnitsOfServicePeriod2, 4, 21, 1, 1) = "", 0, OFFSET('IWP06'!UnitsOfServicePeriod2, 4, 21, 1, 1))</f>
        <v>0</v>
      </c>
      <c r="Y246" s="137">
        <f ca="1">OFFSET('IWP06'!UnitsOfServicePeriod2, 4, 22, 1, 1)</f>
        <v>0</v>
      </c>
    </row>
    <row r="247" spans="1:25">
      <c r="A247" s="125" t="s">
        <v>479</v>
      </c>
      <c r="B247" s="128">
        <v>2</v>
      </c>
      <c r="C247" s="128">
        <v>6</v>
      </c>
      <c r="D247" s="107">
        <f ca="1">IF(OFFSET('IWP06'!UnitsOfServicePeriod2, 5, 0, 1, 1)=DATE(1900,1,0), DATE(1900,1,1),OFFSET('IWP06'!UnitsOfServicePeriod2, 5, 0, 1, 1))</f>
        <v>1</v>
      </c>
      <c r="E247" s="107">
        <f ca="1">IF(OFFSET('IWP06'!UnitsOfServicePeriod2, 5, 1, 1, 1)=DATE(1900,1,0), DATE(1900,1,1),OFFSET('IWP06'!UnitsOfServicePeriod2, 5, 1, 1, 1))</f>
        <v>1</v>
      </c>
      <c r="F247" s="128">
        <f ca="1">OFFSET('IWP06'!UnitsOfServicePeriod2, 5, 2, 1, 1)</f>
        <v>0</v>
      </c>
      <c r="G247" s="128">
        <f ca="1">IF(OFFSET('IWP06'!UnitsOfServicePeriod2, 5, 3, 1, 1) = "", 0, OFFSET('IWP06'!UnitsOfServicePeriod2, 5, 3, 1, 1))</f>
        <v>0</v>
      </c>
      <c r="H247" s="128">
        <f ca="1">OFFSET('IWP06'!UnitsOfServicePeriod2, 5, 4, 1, 1)</f>
        <v>0</v>
      </c>
      <c r="I247" s="128">
        <f ca="1">IF(OFFSET('IWP06'!UnitsOfServicePeriod2, 5, 5, 1, 1) = "", 0, OFFSET('IWP06'!UnitsOfServicePeriod2, 5, 5, 1, 1))</f>
        <v>0</v>
      </c>
      <c r="J247" s="128">
        <f ca="1">OFFSET('IWP06'!UnitsOfServicePeriod2, 5, 6, 1, 1)</f>
        <v>0</v>
      </c>
      <c r="K247" s="128">
        <f ca="1">IF(OFFSET('IWP06'!UnitsOfServicePeriod2, 5, 7, 1, 1) = "", 0, OFFSET('IWP06'!UnitsOfServicePeriod2, 5, 7, 1, 1))</f>
        <v>0</v>
      </c>
      <c r="L247" s="128">
        <f ca="1">OFFSET('IWP06'!UnitsOfServicePeriod2, 5, 8, 1, 1)</f>
        <v>0</v>
      </c>
      <c r="M247" s="128">
        <f ca="1">IF(OFFSET('IWP06'!UnitsOfServicePeriod2, 5, 9, 1, 1) = "", 0, OFFSET('IWP06'!UnitsOfServicePeriod2, 5, 9, 1, 1))</f>
        <v>0</v>
      </c>
      <c r="N247" s="128">
        <f ca="1">OFFSET('IWP06'!UnitsOfServicePeriod2, 5, 10, 1, 1)</f>
        <v>0</v>
      </c>
      <c r="O247" s="128">
        <f ca="1">IF(OFFSET('IWP06'!UnitsOfServicePeriod2, 5, 11, 1, 1) = "", 0, OFFSET('IWP06'!UnitsOfServicePeriod2, 5, 11, 1, 1))</f>
        <v>0</v>
      </c>
      <c r="P247" s="128">
        <f ca="1">OFFSET('IWP06'!UnitsOfServicePeriod2, 5, 12, 1, 1)</f>
        <v>0</v>
      </c>
      <c r="Q247" s="128">
        <f ca="1">IF(OFFSET('IWP06'!UnitsOfServicePeriod2, 5, 13, 1, 1) = "", 0, OFFSET('IWP06'!UnitsOfServicePeriod2, 5, 13, 1, 1))</f>
        <v>0</v>
      </c>
      <c r="R247" s="128">
        <f ca="1">OFFSET('IWP06'!UnitsOfServicePeriod2, 5, 14, 1, 1)</f>
        <v>0</v>
      </c>
      <c r="S247" s="128">
        <f ca="1">IF(OFFSET('IWP06'!UnitsOfServicePeriod2, 5, 15, 1, 1) = "", 0, OFFSET('IWP06'!UnitsOfServicePeriod2, 5, 15, 1, 1))</f>
        <v>0</v>
      </c>
      <c r="T247" s="128">
        <f ca="1">IF(OFFSET('IWP06'!UnitsOfServicePeriod2, 5, 16, 1, 1) = "", 0, OFFSET('IWP06'!UnitsOfServicePeriod2, 5, 16, 1, 1))</f>
        <v>0</v>
      </c>
      <c r="U247" s="128">
        <f ca="1">OFFSET('IWP06'!UnitsOfServicePeriod2, 5, 17, 1, 1)</f>
        <v>0</v>
      </c>
      <c r="V247" s="128">
        <f ca="1">IF(OFFSET('IWP06'!UnitsOfServicePeriod2, 5, 19, 1, 1) = "", 0, OFFSET('IWP06'!UnitsOfServicePeriod2, 5, 19, 1, 1))</f>
        <v>0</v>
      </c>
      <c r="W247" s="128">
        <f ca="1">OFFSET('IWP06'!UnitsOfServicePeriod2, 5, 20, 1, 1)</f>
        <v>0</v>
      </c>
      <c r="X247" s="128">
        <f ca="1">IF(OFFSET('IWP06'!UnitsOfServicePeriod2, 5, 21, 1, 1) = "", 0, OFFSET('IWP06'!UnitsOfServicePeriod2, 5, 21, 1, 1))</f>
        <v>0</v>
      </c>
      <c r="Y247" s="137">
        <f ca="1">OFFSET('IWP06'!UnitsOfServicePeriod2, 5, 22, 1, 1)</f>
        <v>0</v>
      </c>
    </row>
    <row r="248" spans="1:25">
      <c r="A248" s="125" t="s">
        <v>480</v>
      </c>
      <c r="B248" s="128">
        <v>1</v>
      </c>
      <c r="C248" s="128">
        <v>1</v>
      </c>
      <c r="D248" s="107">
        <f ca="1">IF(OFFSET('IWP07'!UnitsOfServicePeriod1, 0, 0, 1, 1)=DATE(1900,1,0), DATE(1900,1,1),OFFSET('IWP07'!UnitsOfServicePeriod1, 0, 0, 1, 1))</f>
        <v>1</v>
      </c>
      <c r="E248" s="107">
        <f ca="1">IF(OFFSET('IWP07'!UnitsOfServicePeriod1, 0, 1, 1, 1)=DATE(1900,1,0), DATE(1900,1,1),OFFSET('IWP07'!UnitsOfServicePeriod1, 0, 1, 1, 1))</f>
        <v>1</v>
      </c>
      <c r="F248" s="128">
        <f ca="1">OFFSET('IWP07'!UnitsOfServicePeriod1, 0, 2, 1, 1)</f>
        <v>0</v>
      </c>
      <c r="G248" s="128">
        <f ca="1">IF(OFFSET('IWP07'!UnitsOfServicePeriod1, 0, 3, 1, 1) = "", 0, OFFSET('IWP07'!UnitsOfServicePeriod1, 0, 3, 1, 1))</f>
        <v>0</v>
      </c>
      <c r="H248" s="128">
        <f ca="1">OFFSET('IWP07'!UnitsOfServicePeriod1, 0, 4, 1, 1)</f>
        <v>0</v>
      </c>
      <c r="I248" s="128">
        <f ca="1">IF(OFFSET('IWP07'!UnitsOfServicePeriod1, 0, 5, 1, 1) = "", 0, OFFSET('IWP07'!UnitsOfServicePeriod1, 0, 5, 1, 1))</f>
        <v>0</v>
      </c>
      <c r="J248" s="128">
        <f ca="1">OFFSET('IWP07'!UnitsOfServicePeriod1, 0, 6, 1, 1)</f>
        <v>0</v>
      </c>
      <c r="K248" s="128">
        <f ca="1">IF(OFFSET('IWP07'!UnitsOfServicePeriod1, 0, 7, 1, 1) = "", 0, OFFSET('IWP07'!UnitsOfServicePeriod1, 0, 7, 1, 1))</f>
        <v>0</v>
      </c>
      <c r="L248" s="128">
        <f ca="1">OFFSET('IWP07'!UnitsOfServicePeriod1, 0, 8, 1, 1)</f>
        <v>0</v>
      </c>
      <c r="M248" s="128">
        <f ca="1">IF(OFFSET('IWP07'!UnitsOfServicePeriod1, 0, 9, 1, 1) = "", 0, OFFSET('IWP07'!UnitsOfServicePeriod1, 0, 9, 1, 1))</f>
        <v>0</v>
      </c>
      <c r="N248" s="128">
        <f ca="1">OFFSET('IWP07'!UnitsOfServicePeriod1, 0, 10, 1, 1)</f>
        <v>0</v>
      </c>
      <c r="O248" s="128">
        <f ca="1">IF(OFFSET('IWP07'!UnitsOfServicePeriod1, 0, 11, 1, 1) = "", 0, OFFSET('IWP07'!UnitsOfServicePeriod1, 0, 11, 1, 1))</f>
        <v>0</v>
      </c>
      <c r="P248" s="128">
        <f ca="1">OFFSET('IWP07'!UnitsOfServicePeriod1, 0, 12, 1, 1)</f>
        <v>0</v>
      </c>
      <c r="Q248" s="128">
        <f ca="1">IF(OFFSET('IWP07'!UnitsOfServicePeriod1, 0, 13, 1, 1) = "", 0, OFFSET('IWP07'!UnitsOfServicePeriod1, 0, 13, 1, 1))</f>
        <v>0</v>
      </c>
      <c r="R248" s="128">
        <f ca="1">OFFSET('IWP07'!UnitsOfServicePeriod1, 0, 14, 1, 1)</f>
        <v>0</v>
      </c>
      <c r="S248" s="128">
        <f ca="1">IF(OFFSET('IWP07'!UnitsOfServicePeriod1, 0, 15, 1, 1) = "", 0, OFFSET('IWP07'!UnitsOfServicePeriod1, 0, 15, 1, 1))</f>
        <v>0</v>
      </c>
      <c r="T248" s="128">
        <f ca="1">IF(OFFSET('IWP07'!UnitsOfServicePeriod1, 0, 16, 1, 1) = "", 0, OFFSET('IWP07'!UnitsOfServicePeriod1, 0, 16, 1, 1))</f>
        <v>0</v>
      </c>
      <c r="U248" s="128">
        <f ca="1">OFFSET('IWP07'!UnitsOfServicePeriod1, 0, 17, 1, 1)</f>
        <v>0</v>
      </c>
      <c r="V248" s="128">
        <f ca="1">IF(OFFSET('IWP07'!UnitsOfServicePeriod1, 0, 19, 1, 1) = "", 0, OFFSET('IWP07'!UnitsOfServicePeriod1, 0, 19, 1, 1))</f>
        <v>0</v>
      </c>
      <c r="W248" s="128">
        <f ca="1">OFFSET('IWP07'!UnitsOfServicePeriod1, 0, 20, 1, 1)</f>
        <v>0</v>
      </c>
      <c r="X248" s="128">
        <f ca="1">IF(OFFSET('IWP07'!UnitsOfServicePeriod1, 0, 21, 1, 1) = "", 0, OFFSET('IWP07'!UnitsOfServicePeriod1, 0, 21, 1, 1))</f>
        <v>0</v>
      </c>
      <c r="Y248" s="137">
        <f ca="1">OFFSET('IWP07'!UnitsOfServicePeriod1, 0, 22, 1, 1)</f>
        <v>0</v>
      </c>
    </row>
    <row r="249" spans="1:25">
      <c r="A249" s="125" t="s">
        <v>480</v>
      </c>
      <c r="B249" s="128">
        <v>1</v>
      </c>
      <c r="C249" s="128">
        <v>2</v>
      </c>
      <c r="D249" s="107">
        <f ca="1">IF(OFFSET('IWP07'!UnitsOfServicePeriod1, 1, 0, 1, 1)=DATE(1900,1,0), DATE(1900,1,1),OFFSET('IWP07'!UnitsOfServicePeriod1, 1, 0, 1, 1))</f>
        <v>1</v>
      </c>
      <c r="E249" s="107">
        <f ca="1">IF(OFFSET('IWP07'!UnitsOfServicePeriod1, 1, 1, 1, 1)=DATE(1900,1,0), DATE(1900,1,1),OFFSET('IWP07'!UnitsOfServicePeriod1, 1, 1, 1, 1))</f>
        <v>1</v>
      </c>
      <c r="F249" s="128">
        <f ca="1">OFFSET('IWP07'!UnitsOfServicePeriod1, 1, 2, 1, 1)</f>
        <v>0</v>
      </c>
      <c r="G249" s="128">
        <f ca="1">IF(OFFSET('IWP07'!UnitsOfServicePeriod1, 1, 3, 1, 1) = "", 0, OFFSET('IWP07'!UnitsOfServicePeriod1, 1, 3, 1, 1))</f>
        <v>0</v>
      </c>
      <c r="H249" s="128">
        <f ca="1">OFFSET('IWP07'!UnitsOfServicePeriod1, 1, 4, 1, 1)</f>
        <v>0</v>
      </c>
      <c r="I249" s="128">
        <f ca="1">IF(OFFSET('IWP07'!UnitsOfServicePeriod1, 1, 5, 1, 1) = "", 0, OFFSET('IWP07'!UnitsOfServicePeriod1, 1, 5, 1, 1))</f>
        <v>0</v>
      </c>
      <c r="J249" s="128">
        <f ca="1">OFFSET('IWP07'!UnitsOfServicePeriod1, 1, 6, 1, 1)</f>
        <v>0</v>
      </c>
      <c r="K249" s="128">
        <f ca="1">IF(OFFSET('IWP07'!UnitsOfServicePeriod1, 1, 7, 1, 1) = "", 0, OFFSET('IWP07'!UnitsOfServicePeriod1, 1, 7, 1, 1))</f>
        <v>0</v>
      </c>
      <c r="L249" s="128">
        <f ca="1">OFFSET('IWP07'!UnitsOfServicePeriod1, 1, 8, 1, 1)</f>
        <v>0</v>
      </c>
      <c r="M249" s="128">
        <f ca="1">IF(OFFSET('IWP07'!UnitsOfServicePeriod1, 1, 9, 1, 1) = "", 0, OFFSET('IWP07'!UnitsOfServicePeriod1, 1, 9, 1, 1))</f>
        <v>0</v>
      </c>
      <c r="N249" s="128">
        <f ca="1">OFFSET('IWP07'!UnitsOfServicePeriod1, 1, 10, 1, 1)</f>
        <v>0</v>
      </c>
      <c r="O249" s="128">
        <f ca="1">IF(OFFSET('IWP07'!UnitsOfServicePeriod1, 1, 11, 1, 1) = "", 0, OFFSET('IWP07'!UnitsOfServicePeriod1, 1, 11, 1, 1))</f>
        <v>0</v>
      </c>
      <c r="P249" s="128">
        <f ca="1">OFFSET('IWP07'!UnitsOfServicePeriod1, 1, 12, 1, 1)</f>
        <v>0</v>
      </c>
      <c r="Q249" s="128">
        <f ca="1">IF(OFFSET('IWP07'!UnitsOfServicePeriod1, 1, 13, 1, 1) = "", 0, OFFSET('IWP07'!UnitsOfServicePeriod1, 1, 13, 1, 1))</f>
        <v>0</v>
      </c>
      <c r="R249" s="128">
        <f ca="1">OFFSET('IWP07'!UnitsOfServicePeriod1, 1, 14, 1, 1)</f>
        <v>0</v>
      </c>
      <c r="S249" s="128">
        <f ca="1">IF(OFFSET('IWP07'!UnitsOfServicePeriod1, 1, 15, 1, 1) = "", 0, OFFSET('IWP07'!UnitsOfServicePeriod1, 1, 15, 1, 1))</f>
        <v>0</v>
      </c>
      <c r="T249" s="128">
        <f ca="1">IF(OFFSET('IWP07'!UnitsOfServicePeriod1, 1, 16, 1, 1) = "", 0, OFFSET('IWP07'!UnitsOfServicePeriod1, 1, 16, 1, 1))</f>
        <v>0</v>
      </c>
      <c r="U249" s="128">
        <f ca="1">OFFSET('IWP07'!UnitsOfServicePeriod1, 1, 17, 1, 1)</f>
        <v>0</v>
      </c>
      <c r="V249" s="128">
        <f ca="1">IF(OFFSET('IWP07'!UnitsOfServicePeriod1, 1, 19, 1, 1) = "", 0, OFFSET('IWP07'!UnitsOfServicePeriod1, 1, 19, 1, 1))</f>
        <v>0</v>
      </c>
      <c r="W249" s="128">
        <f ca="1">OFFSET('IWP07'!UnitsOfServicePeriod1, 1, 20, 1, 1)</f>
        <v>0</v>
      </c>
      <c r="X249" s="128">
        <f ca="1">IF(OFFSET('IWP07'!UnitsOfServicePeriod1, 1, 21, 1, 1) = "", 0, OFFSET('IWP07'!UnitsOfServicePeriod1, 1, 21, 1, 1))</f>
        <v>0</v>
      </c>
      <c r="Y249" s="137">
        <f ca="1">OFFSET('IWP07'!UnitsOfServicePeriod1, 1, 22, 1, 1)</f>
        <v>0</v>
      </c>
    </row>
    <row r="250" spans="1:25">
      <c r="A250" s="125" t="s">
        <v>480</v>
      </c>
      <c r="B250" s="128">
        <v>1</v>
      </c>
      <c r="C250" s="128">
        <v>3</v>
      </c>
      <c r="D250" s="107">
        <f ca="1">IF(OFFSET('IWP07'!UnitsOfServicePeriod1, 2, 0, 1, 1)=DATE(1900,1,0), DATE(1900,1,1),OFFSET('IWP07'!UnitsOfServicePeriod1, 2, 0, 1, 1))</f>
        <v>1</v>
      </c>
      <c r="E250" s="107">
        <f ca="1">IF(OFFSET('IWP07'!UnitsOfServicePeriod1, 2, 1, 1, 1)=DATE(1900,1,0), DATE(1900,1,1),OFFSET('IWP07'!UnitsOfServicePeriod1, 2, 1, 1, 1))</f>
        <v>1</v>
      </c>
      <c r="F250" s="128">
        <f ca="1">OFFSET('IWP07'!UnitsOfServicePeriod1, 2, 2, 1, 1)</f>
        <v>0</v>
      </c>
      <c r="G250" s="128">
        <f ca="1">IF(OFFSET('IWP07'!UnitsOfServicePeriod1, 2, 3, 1, 1) = "", 0, OFFSET('IWP07'!UnitsOfServicePeriod1, 2, 3, 1, 1))</f>
        <v>0</v>
      </c>
      <c r="H250" s="128">
        <f ca="1">OFFSET('IWP07'!UnitsOfServicePeriod1, 2, 4, 1, 1)</f>
        <v>0</v>
      </c>
      <c r="I250" s="128">
        <f ca="1">IF(OFFSET('IWP07'!UnitsOfServicePeriod1, 2, 5, 1, 1) = "", 0, OFFSET('IWP07'!UnitsOfServicePeriod1, 2, 5, 1, 1))</f>
        <v>0</v>
      </c>
      <c r="J250" s="128">
        <f ca="1">OFFSET('IWP07'!UnitsOfServicePeriod1, 2, 6, 1, 1)</f>
        <v>0</v>
      </c>
      <c r="K250" s="128">
        <f ca="1">IF(OFFSET('IWP07'!UnitsOfServicePeriod1, 2, 7, 1, 1) = "", 0, OFFSET('IWP07'!UnitsOfServicePeriod1, 2, 7, 1, 1))</f>
        <v>0</v>
      </c>
      <c r="L250" s="128">
        <f ca="1">OFFSET('IWP07'!UnitsOfServicePeriod1, 2, 8, 1, 1)</f>
        <v>0</v>
      </c>
      <c r="M250" s="128">
        <f ca="1">IF(OFFSET('IWP07'!UnitsOfServicePeriod1, 2, 9, 1, 1) = "", 0, OFFSET('IWP07'!UnitsOfServicePeriod1, 2, 9, 1, 1))</f>
        <v>0</v>
      </c>
      <c r="N250" s="128">
        <f ca="1">OFFSET('IWP07'!UnitsOfServicePeriod1, 2, 10, 1, 1)</f>
        <v>0</v>
      </c>
      <c r="O250" s="128">
        <f ca="1">IF(OFFSET('IWP07'!UnitsOfServicePeriod1, 2, 11, 1, 1) = "", 0, OFFSET('IWP07'!UnitsOfServicePeriod1, 2, 11, 1, 1))</f>
        <v>0</v>
      </c>
      <c r="P250" s="128">
        <f ca="1">OFFSET('IWP07'!UnitsOfServicePeriod1, 2, 12, 1, 1)</f>
        <v>0</v>
      </c>
      <c r="Q250" s="128">
        <f ca="1">IF(OFFSET('IWP07'!UnitsOfServicePeriod1, 2, 13, 1, 1) = "", 0, OFFSET('IWP07'!UnitsOfServicePeriod1, 2, 13, 1, 1))</f>
        <v>0</v>
      </c>
      <c r="R250" s="128">
        <f ca="1">OFFSET('IWP07'!UnitsOfServicePeriod1, 2, 14, 1, 1)</f>
        <v>0</v>
      </c>
      <c r="S250" s="128">
        <f ca="1">IF(OFFSET('IWP07'!UnitsOfServicePeriod1, 2, 15, 1, 1) = "", 0, OFFSET('IWP07'!UnitsOfServicePeriod1, 2, 15, 1, 1))</f>
        <v>0</v>
      </c>
      <c r="T250" s="128">
        <f ca="1">IF(OFFSET('IWP07'!UnitsOfServicePeriod1, 2, 16, 1, 1) = "", 0, OFFSET('IWP07'!UnitsOfServicePeriod1, 2, 16, 1, 1))</f>
        <v>0</v>
      </c>
      <c r="U250" s="128">
        <f ca="1">OFFSET('IWP07'!UnitsOfServicePeriod1, 2, 17, 1, 1)</f>
        <v>0</v>
      </c>
      <c r="V250" s="128">
        <f ca="1">IF(OFFSET('IWP07'!UnitsOfServicePeriod1, 2, 19, 1, 1) = "", 0, OFFSET('IWP07'!UnitsOfServicePeriod1, 2, 19, 1, 1))</f>
        <v>0</v>
      </c>
      <c r="W250" s="128">
        <f ca="1">OFFSET('IWP07'!UnitsOfServicePeriod1, 2, 20, 1, 1)</f>
        <v>0</v>
      </c>
      <c r="X250" s="128">
        <f ca="1">IF(OFFSET('IWP07'!UnitsOfServicePeriod1, 2, 21, 1, 1) = "", 0, OFFSET('IWP07'!UnitsOfServicePeriod1, 2, 21, 1, 1))</f>
        <v>0</v>
      </c>
      <c r="Y250" s="137">
        <f ca="1">OFFSET('IWP07'!UnitsOfServicePeriod1, 2, 22, 1, 1)</f>
        <v>0</v>
      </c>
    </row>
    <row r="251" spans="1:25">
      <c r="A251" s="125" t="s">
        <v>480</v>
      </c>
      <c r="B251" s="128">
        <v>1</v>
      </c>
      <c r="C251" s="128">
        <v>4</v>
      </c>
      <c r="D251" s="107">
        <f ca="1">IF(OFFSET('IWP07'!UnitsOfServicePeriod1, 3, 0, 1, 1)=DATE(1900,1,0), DATE(1900,1,1),OFFSET('IWP07'!UnitsOfServicePeriod1, 3, 0, 1, 1))</f>
        <v>1</v>
      </c>
      <c r="E251" s="107">
        <f ca="1">IF(OFFSET('IWP07'!UnitsOfServicePeriod1, 3, 1, 1, 1)=DATE(1900,1,0), DATE(1900,1,1),OFFSET('IWP07'!UnitsOfServicePeriod1, 3, 1, 1, 1))</f>
        <v>1</v>
      </c>
      <c r="F251" s="128">
        <f ca="1">OFFSET('IWP07'!UnitsOfServicePeriod1, 3, 2, 1, 1)</f>
        <v>0</v>
      </c>
      <c r="G251" s="128">
        <f ca="1">IF(OFFSET('IWP07'!UnitsOfServicePeriod1, 3, 3, 1, 1) = "", 0, OFFSET('IWP07'!UnitsOfServicePeriod1, 3, 3, 1, 1))</f>
        <v>0</v>
      </c>
      <c r="H251" s="128">
        <f ca="1">OFFSET('IWP07'!UnitsOfServicePeriod1, 3, 4, 1, 1)</f>
        <v>0</v>
      </c>
      <c r="I251" s="128">
        <f ca="1">IF(OFFSET('IWP07'!UnitsOfServicePeriod1, 3, 5, 1, 1) = "", 0, OFFSET('IWP07'!UnitsOfServicePeriod1, 3, 5, 1, 1))</f>
        <v>0</v>
      </c>
      <c r="J251" s="128">
        <f ca="1">OFFSET('IWP07'!UnitsOfServicePeriod1, 3, 6, 1, 1)</f>
        <v>0</v>
      </c>
      <c r="K251" s="128">
        <f ca="1">IF(OFFSET('IWP07'!UnitsOfServicePeriod1, 3, 7, 1, 1) = "", 0, OFFSET('IWP07'!UnitsOfServicePeriod1, 3, 7, 1, 1))</f>
        <v>0</v>
      </c>
      <c r="L251" s="128">
        <f ca="1">OFFSET('IWP07'!UnitsOfServicePeriod1, 3, 8, 1, 1)</f>
        <v>0</v>
      </c>
      <c r="M251" s="128">
        <f ca="1">IF(OFFSET('IWP07'!UnitsOfServicePeriod1, 3, 9, 1, 1) = "", 0, OFFSET('IWP07'!UnitsOfServicePeriod1, 3, 9, 1, 1))</f>
        <v>0</v>
      </c>
      <c r="N251" s="128">
        <f ca="1">OFFSET('IWP07'!UnitsOfServicePeriod1, 3, 10, 1, 1)</f>
        <v>0</v>
      </c>
      <c r="O251" s="128">
        <f ca="1">IF(OFFSET('IWP07'!UnitsOfServicePeriod1, 3, 11, 1, 1) = "", 0, OFFSET('IWP07'!UnitsOfServicePeriod1, 3, 11, 1, 1))</f>
        <v>0</v>
      </c>
      <c r="P251" s="128">
        <f ca="1">OFFSET('IWP07'!UnitsOfServicePeriod1, 3, 12, 1, 1)</f>
        <v>0</v>
      </c>
      <c r="Q251" s="128">
        <f ca="1">IF(OFFSET('IWP07'!UnitsOfServicePeriod1, 3, 13, 1, 1) = "", 0, OFFSET('IWP07'!UnitsOfServicePeriod1, 3, 13, 1, 1))</f>
        <v>0</v>
      </c>
      <c r="R251" s="128">
        <f ca="1">OFFSET('IWP07'!UnitsOfServicePeriod1, 3, 14, 1, 1)</f>
        <v>0</v>
      </c>
      <c r="S251" s="128">
        <f ca="1">IF(OFFSET('IWP07'!UnitsOfServicePeriod1, 3, 15, 1, 1) = "", 0, OFFSET('IWP07'!UnitsOfServicePeriod1, 3, 15, 1, 1))</f>
        <v>0</v>
      </c>
      <c r="T251" s="128">
        <f ca="1">IF(OFFSET('IWP07'!UnitsOfServicePeriod1, 3, 16, 1, 1) = "", 0, OFFSET('IWP07'!UnitsOfServicePeriod1, 3, 16, 1, 1))</f>
        <v>0</v>
      </c>
      <c r="U251" s="128">
        <f ca="1">OFFSET('IWP07'!UnitsOfServicePeriod1, 3, 17, 1, 1)</f>
        <v>0</v>
      </c>
      <c r="V251" s="128">
        <f ca="1">IF(OFFSET('IWP07'!UnitsOfServicePeriod1, 3, 19, 1, 1) = "", 0, OFFSET('IWP07'!UnitsOfServicePeriod1, 3, 19, 1, 1))</f>
        <v>0</v>
      </c>
      <c r="W251" s="128">
        <f ca="1">OFFSET('IWP07'!UnitsOfServicePeriod1, 3, 20, 1, 1)</f>
        <v>0</v>
      </c>
      <c r="X251" s="128">
        <f ca="1">IF(OFFSET('IWP07'!UnitsOfServicePeriod1, 3, 21, 1, 1) = "", 0, OFFSET('IWP07'!UnitsOfServicePeriod1, 3, 21, 1, 1))</f>
        <v>0</v>
      </c>
      <c r="Y251" s="137">
        <f ca="1">OFFSET('IWP07'!UnitsOfServicePeriod1, 3, 22, 1, 1)</f>
        <v>0</v>
      </c>
    </row>
    <row r="252" spans="1:25">
      <c r="A252" s="125" t="s">
        <v>480</v>
      </c>
      <c r="B252" s="128">
        <v>1</v>
      </c>
      <c r="C252" s="128">
        <v>5</v>
      </c>
      <c r="D252" s="107">
        <f ca="1">IF(OFFSET('IWP07'!UnitsOfServicePeriod1, 4, 0, 1, 1)=DATE(1900,1,0), DATE(1900,1,1),OFFSET('IWP07'!UnitsOfServicePeriod1, 4, 0, 1, 1))</f>
        <v>1</v>
      </c>
      <c r="E252" s="107">
        <f ca="1">IF(OFFSET('IWP07'!UnitsOfServicePeriod1, 4, 1, 1, 1)=DATE(1900,1,0), DATE(1900,1,1),OFFSET('IWP07'!UnitsOfServicePeriod1, 4, 1, 1, 1))</f>
        <v>1</v>
      </c>
      <c r="F252" s="128">
        <f ca="1">OFFSET('IWP07'!UnitsOfServicePeriod1, 4, 2, 1, 1)</f>
        <v>0</v>
      </c>
      <c r="G252" s="128">
        <f ca="1">IF(OFFSET('IWP07'!UnitsOfServicePeriod1, 4, 3, 1, 1) = "", 0, OFFSET('IWP07'!UnitsOfServicePeriod1, 4, 3, 1, 1))</f>
        <v>0</v>
      </c>
      <c r="H252" s="128">
        <f ca="1">OFFSET('IWP07'!UnitsOfServicePeriod1, 4, 4, 1, 1)</f>
        <v>0</v>
      </c>
      <c r="I252" s="128">
        <f ca="1">IF(OFFSET('IWP07'!UnitsOfServicePeriod1, 4, 5, 1, 1) = "", 0, OFFSET('IWP07'!UnitsOfServicePeriod1, 4, 5, 1, 1))</f>
        <v>0</v>
      </c>
      <c r="J252" s="128">
        <f ca="1">OFFSET('IWP07'!UnitsOfServicePeriod1, 4, 6, 1, 1)</f>
        <v>0</v>
      </c>
      <c r="K252" s="128">
        <f ca="1">IF(OFFSET('IWP07'!UnitsOfServicePeriod1, 4, 7, 1, 1) = "", 0, OFFSET('IWP07'!UnitsOfServicePeriod1, 4, 7, 1, 1))</f>
        <v>0</v>
      </c>
      <c r="L252" s="128">
        <f ca="1">OFFSET('IWP07'!UnitsOfServicePeriod1, 4, 8, 1, 1)</f>
        <v>0</v>
      </c>
      <c r="M252" s="128">
        <f ca="1">IF(OFFSET('IWP07'!UnitsOfServicePeriod1, 4, 9, 1, 1) = "", 0, OFFSET('IWP07'!UnitsOfServicePeriod1, 4, 9, 1, 1))</f>
        <v>0</v>
      </c>
      <c r="N252" s="128">
        <f ca="1">OFFSET('IWP07'!UnitsOfServicePeriod1, 4, 10, 1, 1)</f>
        <v>0</v>
      </c>
      <c r="O252" s="128">
        <f ca="1">IF(OFFSET('IWP07'!UnitsOfServicePeriod1, 4, 11, 1, 1) = "", 0, OFFSET('IWP07'!UnitsOfServicePeriod1, 4, 11, 1, 1))</f>
        <v>0</v>
      </c>
      <c r="P252" s="128">
        <f ca="1">OFFSET('IWP07'!UnitsOfServicePeriod1, 4, 12, 1, 1)</f>
        <v>0</v>
      </c>
      <c r="Q252" s="128">
        <f ca="1">IF(OFFSET('IWP07'!UnitsOfServicePeriod1, 4, 13, 1, 1) = "", 0, OFFSET('IWP07'!UnitsOfServicePeriod1, 4, 13, 1, 1))</f>
        <v>0</v>
      </c>
      <c r="R252" s="128">
        <f ca="1">OFFSET('IWP07'!UnitsOfServicePeriod1, 4, 14, 1, 1)</f>
        <v>0</v>
      </c>
      <c r="S252" s="128">
        <f ca="1">IF(OFFSET('IWP07'!UnitsOfServicePeriod1, 4, 15, 1, 1) = "", 0, OFFSET('IWP07'!UnitsOfServicePeriod1, 4, 15, 1, 1))</f>
        <v>0</v>
      </c>
      <c r="T252" s="128">
        <f ca="1">IF(OFFSET('IWP07'!UnitsOfServicePeriod1, 4, 16, 1, 1) = "", 0, OFFSET('IWP07'!UnitsOfServicePeriod1, 4, 16, 1, 1))</f>
        <v>0</v>
      </c>
      <c r="U252" s="128">
        <f ca="1">OFFSET('IWP07'!UnitsOfServicePeriod1, 4, 17, 1, 1)</f>
        <v>0</v>
      </c>
      <c r="V252" s="128">
        <f ca="1">IF(OFFSET('IWP07'!UnitsOfServicePeriod1, 4, 19, 1, 1) = "", 0, OFFSET('IWP07'!UnitsOfServicePeriod1, 4, 19, 1, 1))</f>
        <v>0</v>
      </c>
      <c r="W252" s="128">
        <f ca="1">OFFSET('IWP07'!UnitsOfServicePeriod1, 4, 20, 1, 1)</f>
        <v>0</v>
      </c>
      <c r="X252" s="128">
        <f ca="1">IF(OFFSET('IWP07'!UnitsOfServicePeriod1, 4, 21, 1, 1) = "", 0, OFFSET('IWP07'!UnitsOfServicePeriod1, 4, 21, 1, 1))</f>
        <v>0</v>
      </c>
      <c r="Y252" s="137">
        <f ca="1">OFFSET('IWP07'!UnitsOfServicePeriod1, 4, 22, 1, 1)</f>
        <v>0</v>
      </c>
    </row>
    <row r="253" spans="1:25">
      <c r="A253" s="125" t="s">
        <v>480</v>
      </c>
      <c r="B253" s="128">
        <v>1</v>
      </c>
      <c r="C253" s="128">
        <v>6</v>
      </c>
      <c r="D253" s="107">
        <f ca="1">IF(OFFSET('IWP07'!UnitsOfServicePeriod1, 5, 0, 1, 1)=DATE(1900,1,0), DATE(1900,1,1),OFFSET('IWP07'!UnitsOfServicePeriod1, 5, 0, 1, 1))</f>
        <v>1</v>
      </c>
      <c r="E253" s="107">
        <f ca="1">IF(OFFSET('IWP07'!UnitsOfServicePeriod1, 5, 1, 1, 1)=DATE(1900,1,0), DATE(1900,1,1),OFFSET('IWP07'!UnitsOfServicePeriod1, 5, 1, 1, 1))</f>
        <v>1</v>
      </c>
      <c r="F253" s="128">
        <f ca="1">OFFSET('IWP07'!UnitsOfServicePeriod1, 5, 2, 1, 1)</f>
        <v>0</v>
      </c>
      <c r="G253" s="128">
        <f ca="1">IF(OFFSET('IWP07'!UnitsOfServicePeriod1, 5, 3, 1, 1) = "", 0, OFFSET('IWP07'!UnitsOfServicePeriod1, 5, 3, 1, 1))</f>
        <v>0</v>
      </c>
      <c r="H253" s="128">
        <f ca="1">OFFSET('IWP07'!UnitsOfServicePeriod1, 5, 4, 1, 1)</f>
        <v>0</v>
      </c>
      <c r="I253" s="128">
        <f ca="1">IF(OFFSET('IWP07'!UnitsOfServicePeriod1, 5, 5, 1, 1) = "", 0, OFFSET('IWP07'!UnitsOfServicePeriod1, 5, 5, 1, 1))</f>
        <v>0</v>
      </c>
      <c r="J253" s="128">
        <f ca="1">OFFSET('IWP07'!UnitsOfServicePeriod1, 5, 6, 1, 1)</f>
        <v>0</v>
      </c>
      <c r="K253" s="128">
        <f ca="1">IF(OFFSET('IWP07'!UnitsOfServicePeriod1, 5, 7, 1, 1) = "", 0, OFFSET('IWP07'!UnitsOfServicePeriod1, 5, 7, 1, 1))</f>
        <v>0</v>
      </c>
      <c r="L253" s="128">
        <f ca="1">OFFSET('IWP07'!UnitsOfServicePeriod1, 5, 8, 1, 1)</f>
        <v>0</v>
      </c>
      <c r="M253" s="128">
        <f ca="1">IF(OFFSET('IWP07'!UnitsOfServicePeriod1, 5, 9, 1, 1) = "", 0, OFFSET('IWP07'!UnitsOfServicePeriod1, 5, 9, 1, 1))</f>
        <v>0</v>
      </c>
      <c r="N253" s="128">
        <f ca="1">OFFSET('IWP07'!UnitsOfServicePeriod1, 5, 10, 1, 1)</f>
        <v>0</v>
      </c>
      <c r="O253" s="128">
        <f ca="1">IF(OFFSET('IWP07'!UnitsOfServicePeriod1, 5, 11, 1, 1) = "", 0, OFFSET('IWP07'!UnitsOfServicePeriod1, 5, 11, 1, 1))</f>
        <v>0</v>
      </c>
      <c r="P253" s="128">
        <f ca="1">OFFSET('IWP07'!UnitsOfServicePeriod1, 5, 12, 1, 1)</f>
        <v>0</v>
      </c>
      <c r="Q253" s="128">
        <f ca="1">IF(OFFSET('IWP07'!UnitsOfServicePeriod1, 5, 13, 1, 1) = "", 0, OFFSET('IWP07'!UnitsOfServicePeriod1, 5, 13, 1, 1))</f>
        <v>0</v>
      </c>
      <c r="R253" s="128">
        <f ca="1">OFFSET('IWP07'!UnitsOfServicePeriod1, 5, 14, 1, 1)</f>
        <v>0</v>
      </c>
      <c r="S253" s="128">
        <f ca="1">IF(OFFSET('IWP07'!UnitsOfServicePeriod1, 5, 15, 1, 1) = "", 0, OFFSET('IWP07'!UnitsOfServicePeriod1, 5, 15, 1, 1))</f>
        <v>0</v>
      </c>
      <c r="T253" s="128">
        <f ca="1">IF(OFFSET('IWP07'!UnitsOfServicePeriod1, 5, 16, 1, 1) = "", 0, OFFSET('IWP07'!UnitsOfServicePeriod1, 5, 16, 1, 1))</f>
        <v>0</v>
      </c>
      <c r="U253" s="128">
        <f ca="1">OFFSET('IWP07'!UnitsOfServicePeriod1, 5, 17, 1, 1)</f>
        <v>0</v>
      </c>
      <c r="V253" s="128">
        <f ca="1">IF(OFFSET('IWP07'!UnitsOfServicePeriod1, 5, 19, 1, 1) = "", 0, OFFSET('IWP07'!UnitsOfServicePeriod1, 5, 19, 1, 1))</f>
        <v>0</v>
      </c>
      <c r="W253" s="128">
        <f ca="1">OFFSET('IWP07'!UnitsOfServicePeriod1, 5, 20, 1, 1)</f>
        <v>0</v>
      </c>
      <c r="X253" s="128">
        <f ca="1">IF(OFFSET('IWP07'!UnitsOfServicePeriod1, 5, 21, 1, 1) = "", 0, OFFSET('IWP07'!UnitsOfServicePeriod1, 5, 21, 1, 1))</f>
        <v>0</v>
      </c>
      <c r="Y253" s="137">
        <f ca="1">OFFSET('IWP07'!UnitsOfServicePeriod1, 5, 22, 1, 1)</f>
        <v>0</v>
      </c>
    </row>
    <row r="254" spans="1:25">
      <c r="A254" s="125" t="s">
        <v>480</v>
      </c>
      <c r="B254" s="128">
        <v>2</v>
      </c>
      <c r="C254" s="128">
        <v>1</v>
      </c>
      <c r="D254" s="107">
        <f ca="1">IF(OFFSET('IWP07'!UnitsOfServicePeriod2, 0, 0, 1, 1)=DATE(1900,1,0), DATE(1900,1,1),OFFSET('IWP07'!UnitsOfServicePeriod2, 0, 0, 1, 1))</f>
        <v>1</v>
      </c>
      <c r="E254" s="107">
        <f ca="1">IF(OFFSET('IWP07'!UnitsOfServicePeriod2, 0, 1, 1, 1)=DATE(1900,1,0), DATE(1900,1,1),OFFSET('IWP07'!UnitsOfServicePeriod2, 0, 1, 1, 1))</f>
        <v>1</v>
      </c>
      <c r="F254" s="128">
        <f ca="1">OFFSET('IWP07'!UnitsOfServicePeriod2, 0, 2, 1, 1)</f>
        <v>0</v>
      </c>
      <c r="G254" s="128">
        <f ca="1">IF(OFFSET('IWP07'!UnitsOfServicePeriod2, 0, 3, 1, 1) = "", 0, OFFSET('IWP07'!UnitsOfServicePeriod2, 0, 3, 1, 1))</f>
        <v>0</v>
      </c>
      <c r="H254" s="128">
        <f ca="1">OFFSET('IWP07'!UnitsOfServicePeriod2, 0, 4, 1, 1)</f>
        <v>0</v>
      </c>
      <c r="I254" s="128">
        <f ca="1">IF(OFFSET('IWP07'!UnitsOfServicePeriod2, 0, 5, 1, 1) = "", 0, OFFSET('IWP07'!UnitsOfServicePeriod2, 0, 5, 1, 1))</f>
        <v>0</v>
      </c>
      <c r="J254" s="128">
        <f ca="1">OFFSET('IWP07'!UnitsOfServicePeriod2, 0, 6, 1, 1)</f>
        <v>0</v>
      </c>
      <c r="K254" s="128">
        <f ca="1">IF(OFFSET('IWP07'!UnitsOfServicePeriod2, 0, 7, 1, 1) = "", 0, OFFSET('IWP07'!UnitsOfServicePeriod2, 0, 7, 1, 1))</f>
        <v>0</v>
      </c>
      <c r="L254" s="128">
        <f ca="1">OFFSET('IWP07'!UnitsOfServicePeriod2, 0, 8, 1, 1)</f>
        <v>0</v>
      </c>
      <c r="M254" s="128">
        <f ca="1">IF(OFFSET('IWP07'!UnitsOfServicePeriod2, 0, 9, 1, 1) = "", 0, OFFSET('IWP07'!UnitsOfServicePeriod2, 0, 9, 1, 1))</f>
        <v>0</v>
      </c>
      <c r="N254" s="128">
        <f ca="1">OFFSET('IWP07'!UnitsOfServicePeriod2, 0, 10, 1, 1)</f>
        <v>0</v>
      </c>
      <c r="O254" s="128">
        <f ca="1">IF(OFFSET('IWP07'!UnitsOfServicePeriod2, 0, 11, 1, 1) = "", 0, OFFSET('IWP07'!UnitsOfServicePeriod2, 0, 11, 1, 1))</f>
        <v>0</v>
      </c>
      <c r="P254" s="128">
        <f ca="1">OFFSET('IWP07'!UnitsOfServicePeriod2, 0, 12, 1, 1)</f>
        <v>0</v>
      </c>
      <c r="Q254" s="128">
        <f ca="1">IF(OFFSET('IWP07'!UnitsOfServicePeriod2, 0, 13, 1, 1) = "", 0, OFFSET('IWP07'!UnitsOfServicePeriod2, 0, 13, 1, 1))</f>
        <v>0</v>
      </c>
      <c r="R254" s="128">
        <f ca="1">OFFSET('IWP07'!UnitsOfServicePeriod2, 0, 14, 1, 1)</f>
        <v>0</v>
      </c>
      <c r="S254" s="128">
        <f ca="1">IF(OFFSET('IWP07'!UnitsOfServicePeriod2, 0, 15, 1, 1) = "", 0, OFFSET('IWP07'!UnitsOfServicePeriod2, 0, 15, 1, 1))</f>
        <v>0</v>
      </c>
      <c r="T254" s="128">
        <f ca="1">IF(OFFSET('IWP07'!UnitsOfServicePeriod2, 0, 16, 1, 1) = "", 0, OFFSET('IWP07'!UnitsOfServicePeriod2, 0, 16, 1, 1))</f>
        <v>0</v>
      </c>
      <c r="U254" s="128">
        <f ca="1">OFFSET('IWP07'!UnitsOfServicePeriod2, 0, 17, 1, 1)</f>
        <v>0</v>
      </c>
      <c r="V254" s="128">
        <f ca="1">IF(OFFSET('IWP07'!UnitsOfServicePeriod2, 0, 19, 1, 1) = "", 0, OFFSET('IWP07'!UnitsOfServicePeriod2, 0, 19, 1, 1))</f>
        <v>0</v>
      </c>
      <c r="W254" s="128">
        <f ca="1">OFFSET('IWP07'!UnitsOfServicePeriod2, 0, 20, 1, 1)</f>
        <v>0</v>
      </c>
      <c r="X254" s="128">
        <f ca="1">IF(OFFSET('IWP07'!UnitsOfServicePeriod2, 0, 21, 1, 1) = "", 0, OFFSET('IWP07'!UnitsOfServicePeriod2, 0, 21, 1, 1))</f>
        <v>0</v>
      </c>
      <c r="Y254" s="137">
        <f ca="1">OFFSET('IWP07'!UnitsOfServicePeriod2, 0, 22, 1, 1)</f>
        <v>0</v>
      </c>
    </row>
    <row r="255" spans="1:25">
      <c r="A255" s="125" t="s">
        <v>480</v>
      </c>
      <c r="B255" s="128">
        <v>2</v>
      </c>
      <c r="C255" s="128">
        <v>2</v>
      </c>
      <c r="D255" s="107">
        <f ca="1">IF(OFFSET('IWP07'!UnitsOfServicePeriod2, 1, 0, 1, 1)=DATE(1900,1,0), DATE(1900,1,1),OFFSET('IWP07'!UnitsOfServicePeriod2, 1, 0, 1, 1))</f>
        <v>1</v>
      </c>
      <c r="E255" s="107">
        <f ca="1">IF(OFFSET('IWP07'!UnitsOfServicePeriod2, 1, 1, 1, 1)=DATE(1900,1,0), DATE(1900,1,1),OFFSET('IWP07'!UnitsOfServicePeriod2, 1, 1, 1, 1))</f>
        <v>1</v>
      </c>
      <c r="F255" s="128">
        <f ca="1">OFFSET('IWP07'!UnitsOfServicePeriod2, 1, 2, 1, 1)</f>
        <v>0</v>
      </c>
      <c r="G255" s="128">
        <f ca="1">IF(OFFSET('IWP07'!UnitsOfServicePeriod2, 1, 3, 1, 1) = "", 0, OFFSET('IWP07'!UnitsOfServicePeriod2, 1, 3, 1, 1))</f>
        <v>0</v>
      </c>
      <c r="H255" s="128">
        <f ca="1">OFFSET('IWP07'!UnitsOfServicePeriod2, 1, 4, 1, 1)</f>
        <v>0</v>
      </c>
      <c r="I255" s="128">
        <f ca="1">IF(OFFSET('IWP07'!UnitsOfServicePeriod2, 1, 5, 1, 1) = "", 0, OFFSET('IWP07'!UnitsOfServicePeriod2, 1, 5, 1, 1))</f>
        <v>0</v>
      </c>
      <c r="J255" s="128">
        <f ca="1">OFFSET('IWP07'!UnitsOfServicePeriod2, 1, 6, 1, 1)</f>
        <v>0</v>
      </c>
      <c r="K255" s="128">
        <f ca="1">IF(OFFSET('IWP07'!UnitsOfServicePeriod2, 1, 7, 1, 1) = "", 0, OFFSET('IWP07'!UnitsOfServicePeriod2, 1, 7, 1, 1))</f>
        <v>0</v>
      </c>
      <c r="L255" s="128">
        <f ca="1">OFFSET('IWP07'!UnitsOfServicePeriod2, 1, 8, 1, 1)</f>
        <v>0</v>
      </c>
      <c r="M255" s="128">
        <f ca="1">IF(OFFSET('IWP07'!UnitsOfServicePeriod2, 1, 9, 1, 1) = "", 0, OFFSET('IWP07'!UnitsOfServicePeriod2, 1, 9, 1, 1))</f>
        <v>0</v>
      </c>
      <c r="N255" s="128">
        <f ca="1">OFFSET('IWP07'!UnitsOfServicePeriod2, 1, 10, 1, 1)</f>
        <v>0</v>
      </c>
      <c r="O255" s="128">
        <f ca="1">IF(OFFSET('IWP07'!UnitsOfServicePeriod2, 1, 11, 1, 1) = "", 0, OFFSET('IWP07'!UnitsOfServicePeriod2, 1, 11, 1, 1))</f>
        <v>0</v>
      </c>
      <c r="P255" s="128">
        <f ca="1">OFFSET('IWP07'!UnitsOfServicePeriod2, 1, 12, 1, 1)</f>
        <v>0</v>
      </c>
      <c r="Q255" s="128">
        <f ca="1">IF(OFFSET('IWP07'!UnitsOfServicePeriod2, 1, 13, 1, 1) = "", 0, OFFSET('IWP07'!UnitsOfServicePeriod2, 1, 13, 1, 1))</f>
        <v>0</v>
      </c>
      <c r="R255" s="128">
        <f ca="1">OFFSET('IWP07'!UnitsOfServicePeriod2, 1, 14, 1, 1)</f>
        <v>0</v>
      </c>
      <c r="S255" s="128">
        <f ca="1">IF(OFFSET('IWP07'!UnitsOfServicePeriod2, 1, 15, 1, 1) = "", 0, OFFSET('IWP07'!UnitsOfServicePeriod2, 1, 15, 1, 1))</f>
        <v>0</v>
      </c>
      <c r="T255" s="128">
        <f ca="1">IF(OFFSET('IWP07'!UnitsOfServicePeriod2, 1, 16, 1, 1) = "", 0, OFFSET('IWP07'!UnitsOfServicePeriod2, 1, 16, 1, 1))</f>
        <v>0</v>
      </c>
      <c r="U255" s="128">
        <f ca="1">OFFSET('IWP07'!UnitsOfServicePeriod2, 1, 17, 1, 1)</f>
        <v>0</v>
      </c>
      <c r="V255" s="128">
        <f ca="1">IF(OFFSET('IWP07'!UnitsOfServicePeriod2, 1, 19, 1, 1) = "", 0, OFFSET('IWP07'!UnitsOfServicePeriod2, 1, 19, 1, 1))</f>
        <v>0</v>
      </c>
      <c r="W255" s="128">
        <f ca="1">OFFSET('IWP07'!UnitsOfServicePeriod2, 1, 20, 1, 1)</f>
        <v>0</v>
      </c>
      <c r="X255" s="128">
        <f ca="1">IF(OFFSET('IWP07'!UnitsOfServicePeriod2, 1, 21, 1, 1) = "", 0, OFFSET('IWP07'!UnitsOfServicePeriod2, 1, 21, 1, 1))</f>
        <v>0</v>
      </c>
      <c r="Y255" s="137">
        <f ca="1">OFFSET('IWP07'!UnitsOfServicePeriod2, 1, 22, 1, 1)</f>
        <v>0</v>
      </c>
    </row>
    <row r="256" spans="1:25">
      <c r="A256" s="125" t="s">
        <v>480</v>
      </c>
      <c r="B256" s="128">
        <v>2</v>
      </c>
      <c r="C256" s="128">
        <v>3</v>
      </c>
      <c r="D256" s="107">
        <f ca="1">IF(OFFSET('IWP07'!UnitsOfServicePeriod2, 2, 0, 1, 1)=DATE(1900,1,0), DATE(1900,1,1),OFFSET('IWP07'!UnitsOfServicePeriod2, 2, 0, 1, 1))</f>
        <v>1</v>
      </c>
      <c r="E256" s="107">
        <f ca="1">IF(OFFSET('IWP07'!UnitsOfServicePeriod2, 2, 1, 1, 1)=DATE(1900,1,0), DATE(1900,1,1),OFFSET('IWP07'!UnitsOfServicePeriod2, 2, 1, 1, 1))</f>
        <v>1</v>
      </c>
      <c r="F256" s="128">
        <f ca="1">OFFSET('IWP07'!UnitsOfServicePeriod2, 2, 2, 1, 1)</f>
        <v>0</v>
      </c>
      <c r="G256" s="128">
        <f ca="1">IF(OFFSET('IWP07'!UnitsOfServicePeriod2, 2, 3, 1, 1) = "", 0, OFFSET('IWP07'!UnitsOfServicePeriod2, 2, 3, 1, 1))</f>
        <v>0</v>
      </c>
      <c r="H256" s="128">
        <f ca="1">OFFSET('IWP07'!UnitsOfServicePeriod2, 2, 4, 1, 1)</f>
        <v>0</v>
      </c>
      <c r="I256" s="128">
        <f ca="1">IF(OFFSET('IWP07'!UnitsOfServicePeriod2, 2, 5, 1, 1) = "", 0, OFFSET('IWP07'!UnitsOfServicePeriod2, 2, 5, 1, 1))</f>
        <v>0</v>
      </c>
      <c r="J256" s="128">
        <f ca="1">OFFSET('IWP07'!UnitsOfServicePeriod2, 2, 6, 1, 1)</f>
        <v>0</v>
      </c>
      <c r="K256" s="128">
        <f ca="1">IF(OFFSET('IWP07'!UnitsOfServicePeriod2, 2, 7, 1, 1) = "", 0, OFFSET('IWP07'!UnitsOfServicePeriod2, 2, 7, 1, 1))</f>
        <v>0</v>
      </c>
      <c r="L256" s="128">
        <f ca="1">OFFSET('IWP07'!UnitsOfServicePeriod2, 2, 8, 1, 1)</f>
        <v>0</v>
      </c>
      <c r="M256" s="128">
        <f ca="1">IF(OFFSET('IWP07'!UnitsOfServicePeriod2, 2, 9, 1, 1) = "", 0, OFFSET('IWP07'!UnitsOfServicePeriod2, 2, 9, 1, 1))</f>
        <v>0</v>
      </c>
      <c r="N256" s="128">
        <f ca="1">OFFSET('IWP07'!UnitsOfServicePeriod2, 2, 10, 1, 1)</f>
        <v>0</v>
      </c>
      <c r="O256" s="128">
        <f ca="1">IF(OFFSET('IWP07'!UnitsOfServicePeriod2, 2, 11, 1, 1) = "", 0, OFFSET('IWP07'!UnitsOfServicePeriod2, 2, 11, 1, 1))</f>
        <v>0</v>
      </c>
      <c r="P256" s="128">
        <f ca="1">OFFSET('IWP07'!UnitsOfServicePeriod2, 2, 12, 1, 1)</f>
        <v>0</v>
      </c>
      <c r="Q256" s="128">
        <f ca="1">IF(OFFSET('IWP07'!UnitsOfServicePeriod2, 2, 13, 1, 1) = "", 0, OFFSET('IWP07'!UnitsOfServicePeriod2, 2, 13, 1, 1))</f>
        <v>0</v>
      </c>
      <c r="R256" s="128">
        <f ca="1">OFFSET('IWP07'!UnitsOfServicePeriod2, 2, 14, 1, 1)</f>
        <v>0</v>
      </c>
      <c r="S256" s="128">
        <f ca="1">IF(OFFSET('IWP07'!UnitsOfServicePeriod2, 2, 15, 1, 1) = "", 0, OFFSET('IWP07'!UnitsOfServicePeriod2, 2, 15, 1, 1))</f>
        <v>0</v>
      </c>
      <c r="T256" s="128">
        <f ca="1">IF(OFFSET('IWP07'!UnitsOfServicePeriod2, 2, 16, 1, 1) = "", 0, OFFSET('IWP07'!UnitsOfServicePeriod2, 2, 16, 1, 1))</f>
        <v>0</v>
      </c>
      <c r="U256" s="128">
        <f ca="1">OFFSET('IWP07'!UnitsOfServicePeriod2, 2, 17, 1, 1)</f>
        <v>0</v>
      </c>
      <c r="V256" s="128">
        <f ca="1">IF(OFFSET('IWP07'!UnitsOfServicePeriod2, 2, 19, 1, 1) = "", 0, OFFSET('IWP07'!UnitsOfServicePeriod2, 2, 19, 1, 1))</f>
        <v>0</v>
      </c>
      <c r="W256" s="128">
        <f ca="1">OFFSET('IWP07'!UnitsOfServicePeriod2, 2, 20, 1, 1)</f>
        <v>0</v>
      </c>
      <c r="X256" s="128">
        <f ca="1">IF(OFFSET('IWP07'!UnitsOfServicePeriod2, 2, 21, 1, 1) = "", 0, OFFSET('IWP07'!UnitsOfServicePeriod2, 2, 21, 1, 1))</f>
        <v>0</v>
      </c>
      <c r="Y256" s="137">
        <f ca="1">OFFSET('IWP07'!UnitsOfServicePeriod2, 2, 22, 1, 1)</f>
        <v>0</v>
      </c>
    </row>
    <row r="257" spans="1:25">
      <c r="A257" s="125" t="s">
        <v>480</v>
      </c>
      <c r="B257" s="128">
        <v>2</v>
      </c>
      <c r="C257" s="128">
        <v>4</v>
      </c>
      <c r="D257" s="107">
        <f ca="1">IF(OFFSET('IWP07'!UnitsOfServicePeriod2, 3, 0, 1, 1)=DATE(1900,1,0), DATE(1900,1,1),OFFSET('IWP07'!UnitsOfServicePeriod2, 3, 0, 1, 1))</f>
        <v>1</v>
      </c>
      <c r="E257" s="107">
        <f ca="1">IF(OFFSET('IWP07'!UnitsOfServicePeriod2, 3, 1, 1, 1)=DATE(1900,1,0), DATE(1900,1,1),OFFSET('IWP07'!UnitsOfServicePeriod2, 3, 1, 1, 1))</f>
        <v>1</v>
      </c>
      <c r="F257" s="128">
        <f ca="1">OFFSET('IWP07'!UnitsOfServicePeriod2, 3, 2, 1, 1)</f>
        <v>0</v>
      </c>
      <c r="G257" s="128">
        <f ca="1">IF(OFFSET('IWP07'!UnitsOfServicePeriod2, 3, 3, 1, 1) = "", 0, OFFSET('IWP07'!UnitsOfServicePeriod2, 3, 3, 1, 1))</f>
        <v>0</v>
      </c>
      <c r="H257" s="128">
        <f ca="1">OFFSET('IWP07'!UnitsOfServicePeriod2, 3, 4, 1, 1)</f>
        <v>0</v>
      </c>
      <c r="I257" s="128">
        <f ca="1">IF(OFFSET('IWP07'!UnitsOfServicePeriod2, 3, 5, 1, 1) = "", 0, OFFSET('IWP07'!UnitsOfServicePeriod2, 3, 5, 1, 1))</f>
        <v>0</v>
      </c>
      <c r="J257" s="128">
        <f ca="1">OFFSET('IWP07'!UnitsOfServicePeriod2, 3, 6, 1, 1)</f>
        <v>0</v>
      </c>
      <c r="K257" s="128">
        <f ca="1">IF(OFFSET('IWP07'!UnitsOfServicePeriod2, 3, 7, 1, 1) = "", 0, OFFSET('IWP07'!UnitsOfServicePeriod2, 3, 7, 1, 1))</f>
        <v>0</v>
      </c>
      <c r="L257" s="128">
        <f ca="1">OFFSET('IWP07'!UnitsOfServicePeriod2, 3, 8, 1, 1)</f>
        <v>0</v>
      </c>
      <c r="M257" s="128">
        <f ca="1">IF(OFFSET('IWP07'!UnitsOfServicePeriod2, 3, 9, 1, 1) = "", 0, OFFSET('IWP07'!UnitsOfServicePeriod2, 3, 9, 1, 1))</f>
        <v>0</v>
      </c>
      <c r="N257" s="128">
        <f ca="1">OFFSET('IWP07'!UnitsOfServicePeriod2, 3, 10, 1, 1)</f>
        <v>0</v>
      </c>
      <c r="O257" s="128">
        <f ca="1">IF(OFFSET('IWP07'!UnitsOfServicePeriod2, 3, 11, 1, 1) = "", 0, OFFSET('IWP07'!UnitsOfServicePeriod2, 3, 11, 1, 1))</f>
        <v>0</v>
      </c>
      <c r="P257" s="128">
        <f ca="1">OFFSET('IWP07'!UnitsOfServicePeriod2, 3, 12, 1, 1)</f>
        <v>0</v>
      </c>
      <c r="Q257" s="128">
        <f ca="1">IF(OFFSET('IWP07'!UnitsOfServicePeriod2, 3, 13, 1, 1) = "", 0, OFFSET('IWP07'!UnitsOfServicePeriod2, 3, 13, 1, 1))</f>
        <v>0</v>
      </c>
      <c r="R257" s="128">
        <f ca="1">OFFSET('IWP07'!UnitsOfServicePeriod2, 3, 14, 1, 1)</f>
        <v>0</v>
      </c>
      <c r="S257" s="128">
        <f ca="1">IF(OFFSET('IWP07'!UnitsOfServicePeriod2, 3, 15, 1, 1) = "", 0, OFFSET('IWP07'!UnitsOfServicePeriod2, 3, 15, 1, 1))</f>
        <v>0</v>
      </c>
      <c r="T257" s="128">
        <f ca="1">IF(OFFSET('IWP07'!UnitsOfServicePeriod2, 3, 16, 1, 1) = "", 0, OFFSET('IWP07'!UnitsOfServicePeriod2, 3, 16, 1, 1))</f>
        <v>0</v>
      </c>
      <c r="U257" s="128">
        <f ca="1">OFFSET('IWP07'!UnitsOfServicePeriod2, 3, 17, 1, 1)</f>
        <v>0</v>
      </c>
      <c r="V257" s="128">
        <f ca="1">IF(OFFSET('IWP07'!UnitsOfServicePeriod2, 3, 19, 1, 1) = "", 0, OFFSET('IWP07'!UnitsOfServicePeriod2, 3, 19, 1, 1))</f>
        <v>0</v>
      </c>
      <c r="W257" s="128">
        <f ca="1">OFFSET('IWP07'!UnitsOfServicePeriod2, 3, 20, 1, 1)</f>
        <v>0</v>
      </c>
      <c r="X257" s="128">
        <f ca="1">IF(OFFSET('IWP07'!UnitsOfServicePeriod2, 3, 21, 1, 1) = "", 0, OFFSET('IWP07'!UnitsOfServicePeriod2, 3, 21, 1, 1))</f>
        <v>0</v>
      </c>
      <c r="Y257" s="137">
        <f ca="1">OFFSET('IWP07'!UnitsOfServicePeriod2, 3, 22, 1, 1)</f>
        <v>0</v>
      </c>
    </row>
    <row r="258" spans="1:25">
      <c r="A258" s="125" t="s">
        <v>480</v>
      </c>
      <c r="B258" s="128">
        <v>2</v>
      </c>
      <c r="C258" s="128">
        <v>5</v>
      </c>
      <c r="D258" s="107">
        <f ca="1">IF(OFFSET('IWP07'!UnitsOfServicePeriod2, 4, 0, 1, 1)=DATE(1900,1,0), DATE(1900,1,1),OFFSET('IWP07'!UnitsOfServicePeriod2, 4, 0, 1, 1))</f>
        <v>1</v>
      </c>
      <c r="E258" s="107">
        <f ca="1">IF(OFFSET('IWP07'!UnitsOfServicePeriod2, 4, 1, 1, 1)=DATE(1900,1,0), DATE(1900,1,1),OFFSET('IWP07'!UnitsOfServicePeriod2, 4, 1, 1, 1))</f>
        <v>1</v>
      </c>
      <c r="F258" s="128">
        <f ca="1">OFFSET('IWP07'!UnitsOfServicePeriod2, 4, 2, 1, 1)</f>
        <v>0</v>
      </c>
      <c r="G258" s="128">
        <f ca="1">IF(OFFSET('IWP07'!UnitsOfServicePeriod2, 4, 3, 1, 1) = "", 0, OFFSET('IWP07'!UnitsOfServicePeriod2, 4, 3, 1, 1))</f>
        <v>0</v>
      </c>
      <c r="H258" s="128">
        <f ca="1">OFFSET('IWP07'!UnitsOfServicePeriod2, 4, 4, 1, 1)</f>
        <v>0</v>
      </c>
      <c r="I258" s="128">
        <f ca="1">IF(OFFSET('IWP07'!UnitsOfServicePeriod2, 4, 5, 1, 1) = "", 0, OFFSET('IWP07'!UnitsOfServicePeriod2, 4, 5, 1, 1))</f>
        <v>0</v>
      </c>
      <c r="J258" s="128">
        <f ca="1">OFFSET('IWP07'!UnitsOfServicePeriod2, 4, 6, 1, 1)</f>
        <v>0</v>
      </c>
      <c r="K258" s="128">
        <f ca="1">IF(OFFSET('IWP07'!UnitsOfServicePeriod2, 4, 7, 1, 1) = "", 0, OFFSET('IWP07'!UnitsOfServicePeriod2, 4, 7, 1, 1))</f>
        <v>0</v>
      </c>
      <c r="L258" s="128">
        <f ca="1">OFFSET('IWP07'!UnitsOfServicePeriod2, 4, 8, 1, 1)</f>
        <v>0</v>
      </c>
      <c r="M258" s="128">
        <f ca="1">IF(OFFSET('IWP07'!UnitsOfServicePeriod2, 4, 9, 1, 1) = "", 0, OFFSET('IWP07'!UnitsOfServicePeriod2, 4, 9, 1, 1))</f>
        <v>0</v>
      </c>
      <c r="N258" s="128">
        <f ca="1">OFFSET('IWP07'!UnitsOfServicePeriod2, 4, 10, 1, 1)</f>
        <v>0</v>
      </c>
      <c r="O258" s="128">
        <f ca="1">IF(OFFSET('IWP07'!UnitsOfServicePeriod2, 4, 11, 1, 1) = "", 0, OFFSET('IWP07'!UnitsOfServicePeriod2, 4, 11, 1, 1))</f>
        <v>0</v>
      </c>
      <c r="P258" s="128">
        <f ca="1">OFFSET('IWP07'!UnitsOfServicePeriod2, 4, 12, 1, 1)</f>
        <v>0</v>
      </c>
      <c r="Q258" s="128">
        <f ca="1">IF(OFFSET('IWP07'!UnitsOfServicePeriod2, 4, 13, 1, 1) = "", 0, OFFSET('IWP07'!UnitsOfServicePeriod2, 4, 13, 1, 1))</f>
        <v>0</v>
      </c>
      <c r="R258" s="128">
        <f ca="1">OFFSET('IWP07'!UnitsOfServicePeriod2, 4, 14, 1, 1)</f>
        <v>0</v>
      </c>
      <c r="S258" s="128">
        <f ca="1">IF(OFFSET('IWP07'!UnitsOfServicePeriod2, 4, 15, 1, 1) = "", 0, OFFSET('IWP07'!UnitsOfServicePeriod2, 4, 15, 1, 1))</f>
        <v>0</v>
      </c>
      <c r="T258" s="128">
        <f ca="1">IF(OFFSET('IWP07'!UnitsOfServicePeriod2, 4, 16, 1, 1) = "", 0, OFFSET('IWP07'!UnitsOfServicePeriod2, 4, 16, 1, 1))</f>
        <v>0</v>
      </c>
      <c r="U258" s="128">
        <f ca="1">OFFSET('IWP07'!UnitsOfServicePeriod2, 4, 17, 1, 1)</f>
        <v>0</v>
      </c>
      <c r="V258" s="128">
        <f ca="1">IF(OFFSET('IWP07'!UnitsOfServicePeriod2, 4, 19, 1, 1) = "", 0, OFFSET('IWP07'!UnitsOfServicePeriod2, 4, 19, 1, 1))</f>
        <v>0</v>
      </c>
      <c r="W258" s="128">
        <f ca="1">OFFSET('IWP07'!UnitsOfServicePeriod2, 4, 20, 1, 1)</f>
        <v>0</v>
      </c>
      <c r="X258" s="128">
        <f ca="1">IF(OFFSET('IWP07'!UnitsOfServicePeriod2, 4, 21, 1, 1) = "", 0, OFFSET('IWP07'!UnitsOfServicePeriod2, 4, 21, 1, 1))</f>
        <v>0</v>
      </c>
      <c r="Y258" s="137">
        <f ca="1">OFFSET('IWP07'!UnitsOfServicePeriod2, 4, 22, 1, 1)</f>
        <v>0</v>
      </c>
    </row>
    <row r="259" spans="1:25">
      <c r="A259" s="125" t="s">
        <v>480</v>
      </c>
      <c r="B259" s="128">
        <v>2</v>
      </c>
      <c r="C259" s="128">
        <v>6</v>
      </c>
      <c r="D259" s="107">
        <f ca="1">IF(OFFSET('IWP07'!UnitsOfServicePeriod2, 5, 0, 1, 1)=DATE(1900,1,0), DATE(1900,1,1),OFFSET('IWP07'!UnitsOfServicePeriod2, 5, 0, 1, 1))</f>
        <v>1</v>
      </c>
      <c r="E259" s="107">
        <f ca="1">IF(OFFSET('IWP07'!UnitsOfServicePeriod2, 5, 1, 1, 1)=DATE(1900,1,0), DATE(1900,1,1),OFFSET('IWP07'!UnitsOfServicePeriod2, 5, 1, 1, 1))</f>
        <v>1</v>
      </c>
      <c r="F259" s="128">
        <f ca="1">OFFSET('IWP07'!UnitsOfServicePeriod2, 5, 2, 1, 1)</f>
        <v>0</v>
      </c>
      <c r="G259" s="128">
        <f ca="1">IF(OFFSET('IWP07'!UnitsOfServicePeriod2, 5, 3, 1, 1) = "", 0, OFFSET('IWP07'!UnitsOfServicePeriod2, 5, 3, 1, 1))</f>
        <v>0</v>
      </c>
      <c r="H259" s="128">
        <f ca="1">OFFSET('IWP07'!UnitsOfServicePeriod2, 5, 4, 1, 1)</f>
        <v>0</v>
      </c>
      <c r="I259" s="128">
        <f ca="1">IF(OFFSET('IWP07'!UnitsOfServicePeriod2, 5, 5, 1, 1) = "", 0, OFFSET('IWP07'!UnitsOfServicePeriod2, 5, 5, 1, 1))</f>
        <v>0</v>
      </c>
      <c r="J259" s="128">
        <f ca="1">OFFSET('IWP07'!UnitsOfServicePeriod2, 5, 6, 1, 1)</f>
        <v>0</v>
      </c>
      <c r="K259" s="128">
        <f ca="1">IF(OFFSET('IWP07'!UnitsOfServicePeriod2, 5, 7, 1, 1) = "", 0, OFFSET('IWP07'!UnitsOfServicePeriod2, 5, 7, 1, 1))</f>
        <v>0</v>
      </c>
      <c r="L259" s="128">
        <f ca="1">OFFSET('IWP07'!UnitsOfServicePeriod2, 5, 8, 1, 1)</f>
        <v>0</v>
      </c>
      <c r="M259" s="128">
        <f ca="1">IF(OFFSET('IWP07'!UnitsOfServicePeriod2, 5, 9, 1, 1) = "", 0, OFFSET('IWP07'!UnitsOfServicePeriod2, 5, 9, 1, 1))</f>
        <v>0</v>
      </c>
      <c r="N259" s="128">
        <f ca="1">OFFSET('IWP07'!UnitsOfServicePeriod2, 5, 10, 1, 1)</f>
        <v>0</v>
      </c>
      <c r="O259" s="128">
        <f ca="1">IF(OFFSET('IWP07'!UnitsOfServicePeriod2, 5, 11, 1, 1) = "", 0, OFFSET('IWP07'!UnitsOfServicePeriod2, 5, 11, 1, 1))</f>
        <v>0</v>
      </c>
      <c r="P259" s="128">
        <f ca="1">OFFSET('IWP07'!UnitsOfServicePeriod2, 5, 12, 1, 1)</f>
        <v>0</v>
      </c>
      <c r="Q259" s="128">
        <f ca="1">IF(OFFSET('IWP07'!UnitsOfServicePeriod2, 5, 13, 1, 1) = "", 0, OFFSET('IWP07'!UnitsOfServicePeriod2, 5, 13, 1, 1))</f>
        <v>0</v>
      </c>
      <c r="R259" s="128">
        <f ca="1">OFFSET('IWP07'!UnitsOfServicePeriod2, 5, 14, 1, 1)</f>
        <v>0</v>
      </c>
      <c r="S259" s="128">
        <f ca="1">IF(OFFSET('IWP07'!UnitsOfServicePeriod2, 5, 15, 1, 1) = "", 0, OFFSET('IWP07'!UnitsOfServicePeriod2, 5, 15, 1, 1))</f>
        <v>0</v>
      </c>
      <c r="T259" s="128">
        <f ca="1">IF(OFFSET('IWP07'!UnitsOfServicePeriod2, 5, 16, 1, 1) = "", 0, OFFSET('IWP07'!UnitsOfServicePeriod2, 5, 16, 1, 1))</f>
        <v>0</v>
      </c>
      <c r="U259" s="128">
        <f ca="1">OFFSET('IWP07'!UnitsOfServicePeriod2, 5, 17, 1, 1)</f>
        <v>0</v>
      </c>
      <c r="V259" s="128">
        <f ca="1">IF(OFFSET('IWP07'!UnitsOfServicePeriod2, 5, 19, 1, 1) = "", 0, OFFSET('IWP07'!UnitsOfServicePeriod2, 5, 19, 1, 1))</f>
        <v>0</v>
      </c>
      <c r="W259" s="128">
        <f ca="1">OFFSET('IWP07'!UnitsOfServicePeriod2, 5, 20, 1, 1)</f>
        <v>0</v>
      </c>
      <c r="X259" s="128">
        <f ca="1">IF(OFFSET('IWP07'!UnitsOfServicePeriod2, 5, 21, 1, 1) = "", 0, OFFSET('IWP07'!UnitsOfServicePeriod2, 5, 21, 1, 1))</f>
        <v>0</v>
      </c>
      <c r="Y259" s="137">
        <f ca="1">OFFSET('IWP07'!UnitsOfServicePeriod2, 5, 22, 1, 1)</f>
        <v>0</v>
      </c>
    </row>
    <row r="260" spans="1:25">
      <c r="A260" s="125" t="s">
        <v>481</v>
      </c>
      <c r="B260" s="128">
        <v>1</v>
      </c>
      <c r="C260" s="128">
        <v>1</v>
      </c>
      <c r="D260" s="107">
        <f ca="1">IF(OFFSET('IWP08'!UnitsOfServicePeriod1, 0, 0, 1, 1)=DATE(1900,1,0), DATE(1900,1,1),OFFSET('IWP08'!UnitsOfServicePeriod1, 0, 0, 1, 1))</f>
        <v>1</v>
      </c>
      <c r="E260" s="107">
        <f ca="1">IF(OFFSET('IWP08'!UnitsOfServicePeriod1, 0, 1, 1, 1)=DATE(1900,1,0), DATE(1900,1,1),OFFSET('IWP08'!UnitsOfServicePeriod1, 0, 1, 1, 1))</f>
        <v>1</v>
      </c>
      <c r="F260" s="128">
        <f ca="1">OFFSET('IWP08'!UnitsOfServicePeriod1, 0, 2, 1, 1)</f>
        <v>0</v>
      </c>
      <c r="G260" s="128">
        <f ca="1">IF(OFFSET('IWP08'!UnitsOfServicePeriod1, 0, 3, 1, 1) = "", 0, OFFSET('IWP08'!UnitsOfServicePeriod1, 0, 3, 1, 1))</f>
        <v>0</v>
      </c>
      <c r="H260" s="128">
        <f ca="1">OFFSET('IWP08'!UnitsOfServicePeriod1, 0, 4, 1, 1)</f>
        <v>0</v>
      </c>
      <c r="I260" s="128">
        <f ca="1">IF(OFFSET('IWP08'!UnitsOfServicePeriod1, 0, 5, 1, 1) = "", 0, OFFSET('IWP08'!UnitsOfServicePeriod1, 0, 5, 1, 1))</f>
        <v>0</v>
      </c>
      <c r="J260" s="128">
        <f ca="1">OFFSET('IWP08'!UnitsOfServicePeriod1, 0, 6, 1, 1)</f>
        <v>0</v>
      </c>
      <c r="K260" s="128">
        <f ca="1">IF(OFFSET('IWP08'!UnitsOfServicePeriod1, 0, 7, 1, 1) = "", 0, OFFSET('IWP08'!UnitsOfServicePeriod1, 0, 7, 1, 1))</f>
        <v>0</v>
      </c>
      <c r="L260" s="128">
        <f ca="1">OFFSET('IWP08'!UnitsOfServicePeriod1, 0, 8, 1, 1)</f>
        <v>0</v>
      </c>
      <c r="M260" s="128">
        <f ca="1">IF(OFFSET('IWP08'!UnitsOfServicePeriod1, 0, 9, 1, 1) = "", 0, OFFSET('IWP08'!UnitsOfServicePeriod1, 0, 9, 1, 1))</f>
        <v>0</v>
      </c>
      <c r="N260" s="128">
        <f ca="1">OFFSET('IWP08'!UnitsOfServicePeriod1, 0, 10, 1, 1)</f>
        <v>0</v>
      </c>
      <c r="O260" s="128">
        <f ca="1">IF(OFFSET('IWP08'!UnitsOfServicePeriod1, 0, 11, 1, 1) = "", 0, OFFSET('IWP08'!UnitsOfServicePeriod1, 0, 11, 1, 1))</f>
        <v>0</v>
      </c>
      <c r="P260" s="128">
        <f ca="1">OFFSET('IWP08'!UnitsOfServicePeriod1, 0, 12, 1, 1)</f>
        <v>0</v>
      </c>
      <c r="Q260" s="128">
        <f ca="1">IF(OFFSET('IWP08'!UnitsOfServicePeriod1, 0, 13, 1, 1) = "", 0, OFFSET('IWP08'!UnitsOfServicePeriod1, 0, 13, 1, 1))</f>
        <v>0</v>
      </c>
      <c r="R260" s="128">
        <f ca="1">OFFSET('IWP08'!UnitsOfServicePeriod1, 0, 14, 1, 1)</f>
        <v>0</v>
      </c>
      <c r="S260" s="128">
        <f ca="1">IF(OFFSET('IWP08'!UnitsOfServicePeriod1, 0, 15, 1, 1) = "", 0, OFFSET('IWP08'!UnitsOfServicePeriod1, 0, 15, 1, 1))</f>
        <v>0</v>
      </c>
      <c r="T260" s="128">
        <f ca="1">IF(OFFSET('IWP08'!UnitsOfServicePeriod1, 0, 16, 1, 1) = "", 0, OFFSET('IWP08'!UnitsOfServicePeriod1, 0, 16, 1, 1))</f>
        <v>0</v>
      </c>
      <c r="U260" s="128">
        <f ca="1">OFFSET('IWP08'!UnitsOfServicePeriod1, 0, 17, 1, 1)</f>
        <v>0</v>
      </c>
      <c r="V260" s="128">
        <f ca="1">IF(OFFSET('IWP08'!UnitsOfServicePeriod1, 0, 19, 1, 1) = "", 0, OFFSET('IWP08'!UnitsOfServicePeriod1, 0, 19, 1, 1))</f>
        <v>0</v>
      </c>
      <c r="W260" s="128">
        <f ca="1">OFFSET('IWP08'!UnitsOfServicePeriod1, 0, 20, 1, 1)</f>
        <v>0</v>
      </c>
      <c r="X260" s="128">
        <f ca="1">IF(OFFSET('IWP08'!UnitsOfServicePeriod1, 0, 21, 1, 1) = "", 0, OFFSET('IWP08'!UnitsOfServicePeriod1, 0, 21, 1, 1))</f>
        <v>0</v>
      </c>
      <c r="Y260" s="137">
        <f ca="1">OFFSET('IWP08'!UnitsOfServicePeriod1, 0, 22, 1, 1)</f>
        <v>0</v>
      </c>
    </row>
    <row r="261" spans="1:25">
      <c r="A261" s="125" t="s">
        <v>481</v>
      </c>
      <c r="B261" s="128">
        <v>1</v>
      </c>
      <c r="C261" s="128">
        <v>2</v>
      </c>
      <c r="D261" s="107">
        <f ca="1">IF(OFFSET('IWP08'!UnitsOfServicePeriod1, 1, 0, 1, 1)=DATE(1900,1,0), DATE(1900,1,1),OFFSET('IWP08'!UnitsOfServicePeriod1, 1, 0, 1, 1))</f>
        <v>1</v>
      </c>
      <c r="E261" s="107">
        <f ca="1">IF(OFFSET('IWP08'!UnitsOfServicePeriod1, 1, 1, 1, 1)=DATE(1900,1,0), DATE(1900,1,1),OFFSET('IWP08'!UnitsOfServicePeriod1, 1, 1, 1, 1))</f>
        <v>1</v>
      </c>
      <c r="F261" s="128">
        <f ca="1">OFFSET('IWP08'!UnitsOfServicePeriod1, 1, 2, 1, 1)</f>
        <v>0</v>
      </c>
      <c r="G261" s="128">
        <f ca="1">IF(OFFSET('IWP08'!UnitsOfServicePeriod1, 1, 3, 1, 1) = "", 0, OFFSET('IWP08'!UnitsOfServicePeriod1, 1, 3, 1, 1))</f>
        <v>0</v>
      </c>
      <c r="H261" s="128">
        <f ca="1">OFFSET('IWP08'!UnitsOfServicePeriod1, 1, 4, 1, 1)</f>
        <v>0</v>
      </c>
      <c r="I261" s="128">
        <f ca="1">IF(OFFSET('IWP08'!UnitsOfServicePeriod1, 1, 5, 1, 1) = "", 0, OFFSET('IWP08'!UnitsOfServicePeriod1, 1, 5, 1, 1))</f>
        <v>0</v>
      </c>
      <c r="J261" s="128">
        <f ca="1">OFFSET('IWP08'!UnitsOfServicePeriod1, 1, 6, 1, 1)</f>
        <v>0</v>
      </c>
      <c r="K261" s="128">
        <f ca="1">IF(OFFSET('IWP08'!UnitsOfServicePeriod1, 1, 7, 1, 1) = "", 0, OFFSET('IWP08'!UnitsOfServicePeriod1, 1, 7, 1, 1))</f>
        <v>0</v>
      </c>
      <c r="L261" s="128">
        <f ca="1">OFFSET('IWP08'!UnitsOfServicePeriod1, 1, 8, 1, 1)</f>
        <v>0</v>
      </c>
      <c r="M261" s="128">
        <f ca="1">IF(OFFSET('IWP08'!UnitsOfServicePeriod1, 1, 9, 1, 1) = "", 0, OFFSET('IWP08'!UnitsOfServicePeriod1, 1, 9, 1, 1))</f>
        <v>0</v>
      </c>
      <c r="N261" s="128">
        <f ca="1">OFFSET('IWP08'!UnitsOfServicePeriod1, 1, 10, 1, 1)</f>
        <v>0</v>
      </c>
      <c r="O261" s="128">
        <f ca="1">IF(OFFSET('IWP08'!UnitsOfServicePeriod1, 1, 11, 1, 1) = "", 0, OFFSET('IWP08'!UnitsOfServicePeriod1, 1, 11, 1, 1))</f>
        <v>0</v>
      </c>
      <c r="P261" s="128">
        <f ca="1">OFFSET('IWP08'!UnitsOfServicePeriod1, 1, 12, 1, 1)</f>
        <v>0</v>
      </c>
      <c r="Q261" s="128">
        <f ca="1">IF(OFFSET('IWP08'!UnitsOfServicePeriod1, 1, 13, 1, 1) = "", 0, OFFSET('IWP08'!UnitsOfServicePeriod1, 1, 13, 1, 1))</f>
        <v>0</v>
      </c>
      <c r="R261" s="128">
        <f ca="1">OFFSET('IWP08'!UnitsOfServicePeriod1, 1, 14, 1, 1)</f>
        <v>0</v>
      </c>
      <c r="S261" s="128">
        <f ca="1">IF(OFFSET('IWP08'!UnitsOfServicePeriod1, 1, 15, 1, 1) = "", 0, OFFSET('IWP08'!UnitsOfServicePeriod1, 1, 15, 1, 1))</f>
        <v>0</v>
      </c>
      <c r="T261" s="128">
        <f ca="1">IF(OFFSET('IWP08'!UnitsOfServicePeriod1, 1, 16, 1, 1) = "", 0, OFFSET('IWP08'!UnitsOfServicePeriod1, 1, 16, 1, 1))</f>
        <v>0</v>
      </c>
      <c r="U261" s="128">
        <f ca="1">OFFSET('IWP08'!UnitsOfServicePeriod1, 1, 17, 1, 1)</f>
        <v>0</v>
      </c>
      <c r="V261" s="128">
        <f ca="1">IF(OFFSET('IWP08'!UnitsOfServicePeriod1, 1, 19, 1, 1) = "", 0, OFFSET('IWP08'!UnitsOfServicePeriod1, 1, 19, 1, 1))</f>
        <v>0</v>
      </c>
      <c r="W261" s="128">
        <f ca="1">OFFSET('IWP08'!UnitsOfServicePeriod1, 1, 20, 1, 1)</f>
        <v>0</v>
      </c>
      <c r="X261" s="128">
        <f ca="1">IF(OFFSET('IWP08'!UnitsOfServicePeriod1, 1, 21, 1, 1) = "", 0, OFFSET('IWP08'!UnitsOfServicePeriod1, 1, 21, 1, 1))</f>
        <v>0</v>
      </c>
      <c r="Y261" s="137">
        <f ca="1">OFFSET('IWP08'!UnitsOfServicePeriod1, 1, 22, 1, 1)</f>
        <v>0</v>
      </c>
    </row>
    <row r="262" spans="1:25">
      <c r="A262" s="125" t="s">
        <v>481</v>
      </c>
      <c r="B262" s="128">
        <v>1</v>
      </c>
      <c r="C262" s="128">
        <v>3</v>
      </c>
      <c r="D262" s="107">
        <f ca="1">IF(OFFSET('IWP08'!UnitsOfServicePeriod1, 2, 0, 1, 1)=DATE(1900,1,0), DATE(1900,1,1),OFFSET('IWP08'!UnitsOfServicePeriod1, 2, 0, 1, 1))</f>
        <v>1</v>
      </c>
      <c r="E262" s="107">
        <f ca="1">IF(OFFSET('IWP08'!UnitsOfServicePeriod1, 2, 1, 1, 1)=DATE(1900,1,0), DATE(1900,1,1),OFFSET('IWP08'!UnitsOfServicePeriod1, 2, 1, 1, 1))</f>
        <v>1</v>
      </c>
      <c r="F262" s="128">
        <f ca="1">OFFSET('IWP08'!UnitsOfServicePeriod1, 2, 2, 1, 1)</f>
        <v>0</v>
      </c>
      <c r="G262" s="128">
        <f ca="1">IF(OFFSET('IWP08'!UnitsOfServicePeriod1, 2, 3, 1, 1) = "", 0, OFFSET('IWP08'!UnitsOfServicePeriod1, 2, 3, 1, 1))</f>
        <v>0</v>
      </c>
      <c r="H262" s="128">
        <f ca="1">OFFSET('IWP08'!UnitsOfServicePeriod1, 2, 4, 1, 1)</f>
        <v>0</v>
      </c>
      <c r="I262" s="128">
        <f ca="1">IF(OFFSET('IWP08'!UnitsOfServicePeriod1, 2, 5, 1, 1) = "", 0, OFFSET('IWP08'!UnitsOfServicePeriod1, 2, 5, 1, 1))</f>
        <v>0</v>
      </c>
      <c r="J262" s="128">
        <f ca="1">OFFSET('IWP08'!UnitsOfServicePeriod1, 2, 6, 1, 1)</f>
        <v>0</v>
      </c>
      <c r="K262" s="128">
        <f ca="1">IF(OFFSET('IWP08'!UnitsOfServicePeriod1, 2, 7, 1, 1) = "", 0, OFFSET('IWP08'!UnitsOfServicePeriod1, 2, 7, 1, 1))</f>
        <v>0</v>
      </c>
      <c r="L262" s="128">
        <f ca="1">OFFSET('IWP08'!UnitsOfServicePeriod1, 2, 8, 1, 1)</f>
        <v>0</v>
      </c>
      <c r="M262" s="128">
        <f ca="1">IF(OFFSET('IWP08'!UnitsOfServicePeriod1, 2, 9, 1, 1) = "", 0, OFFSET('IWP08'!UnitsOfServicePeriod1, 2, 9, 1, 1))</f>
        <v>0</v>
      </c>
      <c r="N262" s="128">
        <f ca="1">OFFSET('IWP08'!UnitsOfServicePeriod1, 2, 10, 1, 1)</f>
        <v>0</v>
      </c>
      <c r="O262" s="128">
        <f ca="1">IF(OFFSET('IWP08'!UnitsOfServicePeriod1, 2, 11, 1, 1) = "", 0, OFFSET('IWP08'!UnitsOfServicePeriod1, 2, 11, 1, 1))</f>
        <v>0</v>
      </c>
      <c r="P262" s="128">
        <f ca="1">OFFSET('IWP08'!UnitsOfServicePeriod1, 2, 12, 1, 1)</f>
        <v>0</v>
      </c>
      <c r="Q262" s="128">
        <f ca="1">IF(OFFSET('IWP08'!UnitsOfServicePeriod1, 2, 13, 1, 1) = "", 0, OFFSET('IWP08'!UnitsOfServicePeriod1, 2, 13, 1, 1))</f>
        <v>0</v>
      </c>
      <c r="R262" s="128">
        <f ca="1">OFFSET('IWP08'!UnitsOfServicePeriod1, 2, 14, 1, 1)</f>
        <v>0</v>
      </c>
      <c r="S262" s="128">
        <f ca="1">IF(OFFSET('IWP08'!UnitsOfServicePeriod1, 2, 15, 1, 1) = "", 0, OFFSET('IWP08'!UnitsOfServicePeriod1, 2, 15, 1, 1))</f>
        <v>0</v>
      </c>
      <c r="T262" s="128">
        <f ca="1">IF(OFFSET('IWP08'!UnitsOfServicePeriod1, 2, 16, 1, 1) = "", 0, OFFSET('IWP08'!UnitsOfServicePeriod1, 2, 16, 1, 1))</f>
        <v>0</v>
      </c>
      <c r="U262" s="128">
        <f ca="1">OFFSET('IWP08'!UnitsOfServicePeriod1, 2, 17, 1, 1)</f>
        <v>0</v>
      </c>
      <c r="V262" s="128">
        <f ca="1">IF(OFFSET('IWP08'!UnitsOfServicePeriod1, 2, 19, 1, 1) = "", 0, OFFSET('IWP08'!UnitsOfServicePeriod1, 2, 19, 1, 1))</f>
        <v>0</v>
      </c>
      <c r="W262" s="128">
        <f ca="1">OFFSET('IWP08'!UnitsOfServicePeriod1, 2, 20, 1, 1)</f>
        <v>0</v>
      </c>
      <c r="X262" s="128">
        <f ca="1">IF(OFFSET('IWP08'!UnitsOfServicePeriod1, 2, 21, 1, 1) = "", 0, OFFSET('IWP08'!UnitsOfServicePeriod1, 2, 21, 1, 1))</f>
        <v>0</v>
      </c>
      <c r="Y262" s="137">
        <f ca="1">OFFSET('IWP08'!UnitsOfServicePeriod1, 2, 22, 1, 1)</f>
        <v>0</v>
      </c>
    </row>
    <row r="263" spans="1:25">
      <c r="A263" s="125" t="s">
        <v>481</v>
      </c>
      <c r="B263" s="128">
        <v>1</v>
      </c>
      <c r="C263" s="128">
        <v>4</v>
      </c>
      <c r="D263" s="107">
        <f ca="1">IF(OFFSET('IWP08'!UnitsOfServicePeriod1, 3, 0, 1, 1)=DATE(1900,1,0), DATE(1900,1,1),OFFSET('IWP08'!UnitsOfServicePeriod1, 3, 0, 1, 1))</f>
        <v>1</v>
      </c>
      <c r="E263" s="107">
        <f ca="1">IF(OFFSET('IWP08'!UnitsOfServicePeriod1, 3, 1, 1, 1)=DATE(1900,1,0), DATE(1900,1,1),OFFSET('IWP08'!UnitsOfServicePeriod1, 3, 1, 1, 1))</f>
        <v>1</v>
      </c>
      <c r="F263" s="128">
        <f ca="1">OFFSET('IWP08'!UnitsOfServicePeriod1, 3, 2, 1, 1)</f>
        <v>0</v>
      </c>
      <c r="G263" s="128">
        <f ca="1">IF(OFFSET('IWP08'!UnitsOfServicePeriod1, 3, 3, 1, 1) = "", 0, OFFSET('IWP08'!UnitsOfServicePeriod1, 3, 3, 1, 1))</f>
        <v>0</v>
      </c>
      <c r="H263" s="128">
        <f ca="1">OFFSET('IWP08'!UnitsOfServicePeriod1, 3, 4, 1, 1)</f>
        <v>0</v>
      </c>
      <c r="I263" s="128">
        <f ca="1">IF(OFFSET('IWP08'!UnitsOfServicePeriod1, 3, 5, 1, 1) = "", 0, OFFSET('IWP08'!UnitsOfServicePeriod1, 3, 5, 1, 1))</f>
        <v>0</v>
      </c>
      <c r="J263" s="128">
        <f ca="1">OFFSET('IWP08'!UnitsOfServicePeriod1, 3, 6, 1, 1)</f>
        <v>0</v>
      </c>
      <c r="K263" s="128">
        <f ca="1">IF(OFFSET('IWP08'!UnitsOfServicePeriod1, 3, 7, 1, 1) = "", 0, OFFSET('IWP08'!UnitsOfServicePeriod1, 3, 7, 1, 1))</f>
        <v>0</v>
      </c>
      <c r="L263" s="128">
        <f ca="1">OFFSET('IWP08'!UnitsOfServicePeriod1, 3, 8, 1, 1)</f>
        <v>0</v>
      </c>
      <c r="M263" s="128">
        <f ca="1">IF(OFFSET('IWP08'!UnitsOfServicePeriod1, 3, 9, 1, 1) = "", 0, OFFSET('IWP08'!UnitsOfServicePeriod1, 3, 9, 1, 1))</f>
        <v>0</v>
      </c>
      <c r="N263" s="128">
        <f ca="1">OFFSET('IWP08'!UnitsOfServicePeriod1, 3, 10, 1, 1)</f>
        <v>0</v>
      </c>
      <c r="O263" s="128">
        <f ca="1">IF(OFFSET('IWP08'!UnitsOfServicePeriod1, 3, 11, 1, 1) = "", 0, OFFSET('IWP08'!UnitsOfServicePeriod1, 3, 11, 1, 1))</f>
        <v>0</v>
      </c>
      <c r="P263" s="128">
        <f ca="1">OFFSET('IWP08'!UnitsOfServicePeriod1, 3, 12, 1, 1)</f>
        <v>0</v>
      </c>
      <c r="Q263" s="128">
        <f ca="1">IF(OFFSET('IWP08'!UnitsOfServicePeriod1, 3, 13, 1, 1) = "", 0, OFFSET('IWP08'!UnitsOfServicePeriod1, 3, 13, 1, 1))</f>
        <v>0</v>
      </c>
      <c r="R263" s="128">
        <f ca="1">OFFSET('IWP08'!UnitsOfServicePeriod1, 3, 14, 1, 1)</f>
        <v>0</v>
      </c>
      <c r="S263" s="128">
        <f ca="1">IF(OFFSET('IWP08'!UnitsOfServicePeriod1, 3, 15, 1, 1) = "", 0, OFFSET('IWP08'!UnitsOfServicePeriod1, 3, 15, 1, 1))</f>
        <v>0</v>
      </c>
      <c r="T263" s="128">
        <f ca="1">IF(OFFSET('IWP08'!UnitsOfServicePeriod1, 3, 16, 1, 1) = "", 0, OFFSET('IWP08'!UnitsOfServicePeriod1, 3, 16, 1, 1))</f>
        <v>0</v>
      </c>
      <c r="U263" s="128">
        <f ca="1">OFFSET('IWP08'!UnitsOfServicePeriod1, 3, 17, 1, 1)</f>
        <v>0</v>
      </c>
      <c r="V263" s="128">
        <f ca="1">IF(OFFSET('IWP08'!UnitsOfServicePeriod1, 3, 19, 1, 1) = "", 0, OFFSET('IWP08'!UnitsOfServicePeriod1, 3, 19, 1, 1))</f>
        <v>0</v>
      </c>
      <c r="W263" s="128">
        <f ca="1">OFFSET('IWP08'!UnitsOfServicePeriod1, 3, 20, 1, 1)</f>
        <v>0</v>
      </c>
      <c r="X263" s="128">
        <f ca="1">IF(OFFSET('IWP08'!UnitsOfServicePeriod1, 3, 21, 1, 1) = "", 0, OFFSET('IWP08'!UnitsOfServicePeriod1, 3, 21, 1, 1))</f>
        <v>0</v>
      </c>
      <c r="Y263" s="137">
        <f ca="1">OFFSET('IWP08'!UnitsOfServicePeriod1, 3, 22, 1, 1)</f>
        <v>0</v>
      </c>
    </row>
    <row r="264" spans="1:25">
      <c r="A264" s="125" t="s">
        <v>481</v>
      </c>
      <c r="B264" s="128">
        <v>1</v>
      </c>
      <c r="C264" s="128">
        <v>5</v>
      </c>
      <c r="D264" s="107">
        <f ca="1">IF(OFFSET('IWP08'!UnitsOfServicePeriod1, 4, 0, 1, 1)=DATE(1900,1,0), DATE(1900,1,1),OFFSET('IWP08'!UnitsOfServicePeriod1, 4, 0, 1, 1))</f>
        <v>1</v>
      </c>
      <c r="E264" s="107">
        <f ca="1">IF(OFFSET('IWP08'!UnitsOfServicePeriod1, 4, 1, 1, 1)=DATE(1900,1,0), DATE(1900,1,1),OFFSET('IWP08'!UnitsOfServicePeriod1, 4, 1, 1, 1))</f>
        <v>1</v>
      </c>
      <c r="F264" s="128">
        <f ca="1">OFFSET('IWP08'!UnitsOfServicePeriod1, 4, 2, 1, 1)</f>
        <v>0</v>
      </c>
      <c r="G264" s="128">
        <f ca="1">IF(OFFSET('IWP08'!UnitsOfServicePeriod1, 4, 3, 1, 1) = "", 0, OFFSET('IWP08'!UnitsOfServicePeriod1, 4, 3, 1, 1))</f>
        <v>0</v>
      </c>
      <c r="H264" s="128">
        <f ca="1">OFFSET('IWP08'!UnitsOfServicePeriod1, 4, 4, 1, 1)</f>
        <v>0</v>
      </c>
      <c r="I264" s="128">
        <f ca="1">IF(OFFSET('IWP08'!UnitsOfServicePeriod1, 4, 5, 1, 1) = "", 0, OFFSET('IWP08'!UnitsOfServicePeriod1, 4, 5, 1, 1))</f>
        <v>0</v>
      </c>
      <c r="J264" s="128">
        <f ca="1">OFFSET('IWP08'!UnitsOfServicePeriod1, 4, 6, 1, 1)</f>
        <v>0</v>
      </c>
      <c r="K264" s="128">
        <f ca="1">IF(OFFSET('IWP08'!UnitsOfServicePeriod1, 4, 7, 1, 1) = "", 0, OFFSET('IWP08'!UnitsOfServicePeriod1, 4, 7, 1, 1))</f>
        <v>0</v>
      </c>
      <c r="L264" s="128">
        <f ca="1">OFFSET('IWP08'!UnitsOfServicePeriod1, 4, 8, 1, 1)</f>
        <v>0</v>
      </c>
      <c r="M264" s="128">
        <f ca="1">IF(OFFSET('IWP08'!UnitsOfServicePeriod1, 4, 9, 1, 1) = "", 0, OFFSET('IWP08'!UnitsOfServicePeriod1, 4, 9, 1, 1))</f>
        <v>0</v>
      </c>
      <c r="N264" s="128">
        <f ca="1">OFFSET('IWP08'!UnitsOfServicePeriod1, 4, 10, 1, 1)</f>
        <v>0</v>
      </c>
      <c r="O264" s="128">
        <f ca="1">IF(OFFSET('IWP08'!UnitsOfServicePeriod1, 4, 11, 1, 1) = "", 0, OFFSET('IWP08'!UnitsOfServicePeriod1, 4, 11, 1, 1))</f>
        <v>0</v>
      </c>
      <c r="P264" s="128">
        <f ca="1">OFFSET('IWP08'!UnitsOfServicePeriod1, 4, 12, 1, 1)</f>
        <v>0</v>
      </c>
      <c r="Q264" s="128">
        <f ca="1">IF(OFFSET('IWP08'!UnitsOfServicePeriod1, 4, 13, 1, 1) = "", 0, OFFSET('IWP08'!UnitsOfServicePeriod1, 4, 13, 1, 1))</f>
        <v>0</v>
      </c>
      <c r="R264" s="128">
        <f ca="1">OFFSET('IWP08'!UnitsOfServicePeriod1, 4, 14, 1, 1)</f>
        <v>0</v>
      </c>
      <c r="S264" s="128">
        <f ca="1">IF(OFFSET('IWP08'!UnitsOfServicePeriod1, 4, 15, 1, 1) = "", 0, OFFSET('IWP08'!UnitsOfServicePeriod1, 4, 15, 1, 1))</f>
        <v>0</v>
      </c>
      <c r="T264" s="128">
        <f ca="1">IF(OFFSET('IWP08'!UnitsOfServicePeriod1, 4, 16, 1, 1) = "", 0, OFFSET('IWP08'!UnitsOfServicePeriod1, 4, 16, 1, 1))</f>
        <v>0</v>
      </c>
      <c r="U264" s="128">
        <f ca="1">OFFSET('IWP08'!UnitsOfServicePeriod1, 4, 17, 1, 1)</f>
        <v>0</v>
      </c>
      <c r="V264" s="128">
        <f ca="1">IF(OFFSET('IWP08'!UnitsOfServicePeriod1, 4, 19, 1, 1) = "", 0, OFFSET('IWP08'!UnitsOfServicePeriod1, 4, 19, 1, 1))</f>
        <v>0</v>
      </c>
      <c r="W264" s="128">
        <f ca="1">OFFSET('IWP08'!UnitsOfServicePeriod1, 4, 20, 1, 1)</f>
        <v>0</v>
      </c>
      <c r="X264" s="128">
        <f ca="1">IF(OFFSET('IWP08'!UnitsOfServicePeriod1, 4, 21, 1, 1) = "", 0, OFFSET('IWP08'!UnitsOfServicePeriod1, 4, 21, 1, 1))</f>
        <v>0</v>
      </c>
      <c r="Y264" s="137">
        <f ca="1">OFFSET('IWP08'!UnitsOfServicePeriod1, 4, 22, 1, 1)</f>
        <v>0</v>
      </c>
    </row>
    <row r="265" spans="1:25">
      <c r="A265" s="125" t="s">
        <v>481</v>
      </c>
      <c r="B265" s="128">
        <v>1</v>
      </c>
      <c r="C265" s="128">
        <v>6</v>
      </c>
      <c r="D265" s="107">
        <f ca="1">IF(OFFSET('IWP08'!UnitsOfServicePeriod1, 5, 0, 1, 1)=DATE(1900,1,0), DATE(1900,1,1),OFFSET('IWP08'!UnitsOfServicePeriod1, 5, 0, 1, 1))</f>
        <v>1</v>
      </c>
      <c r="E265" s="107">
        <f ca="1">IF(OFFSET('IWP08'!UnitsOfServicePeriod1, 5, 1, 1, 1)=DATE(1900,1,0), DATE(1900,1,1),OFFSET('IWP08'!UnitsOfServicePeriod1, 5, 1, 1, 1))</f>
        <v>1</v>
      </c>
      <c r="F265" s="128">
        <f ca="1">OFFSET('IWP08'!UnitsOfServicePeriod1, 5, 2, 1, 1)</f>
        <v>0</v>
      </c>
      <c r="G265" s="128">
        <f ca="1">IF(OFFSET('IWP08'!UnitsOfServicePeriod1, 5, 3, 1, 1) = "", 0, OFFSET('IWP08'!UnitsOfServicePeriod1, 5, 3, 1, 1))</f>
        <v>0</v>
      </c>
      <c r="H265" s="128">
        <f ca="1">OFFSET('IWP08'!UnitsOfServicePeriod1, 5, 4, 1, 1)</f>
        <v>0</v>
      </c>
      <c r="I265" s="128">
        <f ca="1">IF(OFFSET('IWP08'!UnitsOfServicePeriod1, 5, 5, 1, 1) = "", 0, OFFSET('IWP08'!UnitsOfServicePeriod1, 5, 5, 1, 1))</f>
        <v>0</v>
      </c>
      <c r="J265" s="128">
        <f ca="1">OFFSET('IWP08'!UnitsOfServicePeriod1, 5, 6, 1, 1)</f>
        <v>0</v>
      </c>
      <c r="K265" s="128">
        <f ca="1">IF(OFFSET('IWP08'!UnitsOfServicePeriod1, 5, 7, 1, 1) = "", 0, OFFSET('IWP08'!UnitsOfServicePeriod1, 5, 7, 1, 1))</f>
        <v>0</v>
      </c>
      <c r="L265" s="128">
        <f ca="1">OFFSET('IWP08'!UnitsOfServicePeriod1, 5, 8, 1, 1)</f>
        <v>0</v>
      </c>
      <c r="M265" s="128">
        <f ca="1">IF(OFFSET('IWP08'!UnitsOfServicePeriod1, 5, 9, 1, 1) = "", 0, OFFSET('IWP08'!UnitsOfServicePeriod1, 5, 9, 1, 1))</f>
        <v>0</v>
      </c>
      <c r="N265" s="128">
        <f ca="1">OFFSET('IWP08'!UnitsOfServicePeriod1, 5, 10, 1, 1)</f>
        <v>0</v>
      </c>
      <c r="O265" s="128">
        <f ca="1">IF(OFFSET('IWP08'!UnitsOfServicePeriod1, 5, 11, 1, 1) = "", 0, OFFSET('IWP08'!UnitsOfServicePeriod1, 5, 11, 1, 1))</f>
        <v>0</v>
      </c>
      <c r="P265" s="128">
        <f ca="1">OFFSET('IWP08'!UnitsOfServicePeriod1, 5, 12, 1, 1)</f>
        <v>0</v>
      </c>
      <c r="Q265" s="128">
        <f ca="1">IF(OFFSET('IWP08'!UnitsOfServicePeriod1, 5, 13, 1, 1) = "", 0, OFFSET('IWP08'!UnitsOfServicePeriod1, 5, 13, 1, 1))</f>
        <v>0</v>
      </c>
      <c r="R265" s="128">
        <f ca="1">OFFSET('IWP08'!UnitsOfServicePeriod1, 5, 14, 1, 1)</f>
        <v>0</v>
      </c>
      <c r="S265" s="128">
        <f ca="1">IF(OFFSET('IWP08'!UnitsOfServicePeriod1, 5, 15, 1, 1) = "", 0, OFFSET('IWP08'!UnitsOfServicePeriod1, 5, 15, 1, 1))</f>
        <v>0</v>
      </c>
      <c r="T265" s="128">
        <f ca="1">IF(OFFSET('IWP08'!UnitsOfServicePeriod1, 5, 16, 1, 1) = "", 0, OFFSET('IWP08'!UnitsOfServicePeriod1, 5, 16, 1, 1))</f>
        <v>0</v>
      </c>
      <c r="U265" s="128">
        <f ca="1">OFFSET('IWP08'!UnitsOfServicePeriod1, 5, 17, 1, 1)</f>
        <v>0</v>
      </c>
      <c r="V265" s="128">
        <f ca="1">IF(OFFSET('IWP08'!UnitsOfServicePeriod1, 5, 19, 1, 1) = "", 0, OFFSET('IWP08'!UnitsOfServicePeriod1, 5, 19, 1, 1))</f>
        <v>0</v>
      </c>
      <c r="W265" s="128">
        <f ca="1">OFFSET('IWP08'!UnitsOfServicePeriod1, 5, 20, 1, 1)</f>
        <v>0</v>
      </c>
      <c r="X265" s="128">
        <f ca="1">IF(OFFSET('IWP08'!UnitsOfServicePeriod1, 5, 21, 1, 1) = "", 0, OFFSET('IWP08'!UnitsOfServicePeriod1, 5, 21, 1, 1))</f>
        <v>0</v>
      </c>
      <c r="Y265" s="137">
        <f ca="1">OFFSET('IWP08'!UnitsOfServicePeriod1, 5, 22, 1, 1)</f>
        <v>0</v>
      </c>
    </row>
    <row r="266" spans="1:25">
      <c r="A266" s="125" t="s">
        <v>481</v>
      </c>
      <c r="B266" s="128">
        <v>2</v>
      </c>
      <c r="C266" s="128">
        <v>1</v>
      </c>
      <c r="D266" s="107">
        <f ca="1">IF(OFFSET('IWP08'!UnitsOfServicePeriod2, 0, 0, 1, 1)=DATE(1900,1,0), DATE(1900,1,1),OFFSET('IWP08'!UnitsOfServicePeriod2, 0, 0, 1, 1))</f>
        <v>1</v>
      </c>
      <c r="E266" s="107">
        <f ca="1">IF(OFFSET('IWP08'!UnitsOfServicePeriod2, 0, 1, 1, 1)=DATE(1900,1,0), DATE(1900,1,1),OFFSET('IWP08'!UnitsOfServicePeriod2, 0, 1, 1, 1))</f>
        <v>1</v>
      </c>
      <c r="F266" s="128">
        <f ca="1">OFFSET('IWP08'!UnitsOfServicePeriod2, 0, 2, 1, 1)</f>
        <v>0</v>
      </c>
      <c r="G266" s="128">
        <f ca="1">IF(OFFSET('IWP08'!UnitsOfServicePeriod2, 0, 3, 1, 1) = "", 0, OFFSET('IWP08'!UnitsOfServicePeriod2, 0, 3, 1, 1))</f>
        <v>0</v>
      </c>
      <c r="H266" s="128">
        <f ca="1">OFFSET('IWP08'!UnitsOfServicePeriod2, 0, 4, 1, 1)</f>
        <v>0</v>
      </c>
      <c r="I266" s="128">
        <f ca="1">IF(OFFSET('IWP08'!UnitsOfServicePeriod2, 0, 5, 1, 1) = "", 0, OFFSET('IWP08'!UnitsOfServicePeriod2, 0, 5, 1, 1))</f>
        <v>0</v>
      </c>
      <c r="J266" s="128">
        <f ca="1">OFFSET('IWP08'!UnitsOfServicePeriod2, 0, 6, 1, 1)</f>
        <v>0</v>
      </c>
      <c r="K266" s="128">
        <f ca="1">IF(OFFSET('IWP08'!UnitsOfServicePeriod2, 0, 7, 1, 1) = "", 0, OFFSET('IWP08'!UnitsOfServicePeriod2, 0, 7, 1, 1))</f>
        <v>0</v>
      </c>
      <c r="L266" s="128">
        <f ca="1">OFFSET('IWP08'!UnitsOfServicePeriod2, 0, 8, 1, 1)</f>
        <v>0</v>
      </c>
      <c r="M266" s="128">
        <f ca="1">IF(OFFSET('IWP08'!UnitsOfServicePeriod2, 0, 9, 1, 1) = "", 0, OFFSET('IWP08'!UnitsOfServicePeriod2, 0, 9, 1, 1))</f>
        <v>0</v>
      </c>
      <c r="N266" s="128">
        <f ca="1">OFFSET('IWP08'!UnitsOfServicePeriod2, 0, 10, 1, 1)</f>
        <v>0</v>
      </c>
      <c r="O266" s="128">
        <f ca="1">IF(OFFSET('IWP08'!UnitsOfServicePeriod2, 0, 11, 1, 1) = "", 0, OFFSET('IWP08'!UnitsOfServicePeriod2, 0, 11, 1, 1))</f>
        <v>0</v>
      </c>
      <c r="P266" s="128">
        <f ca="1">OFFSET('IWP08'!UnitsOfServicePeriod2, 0, 12, 1, 1)</f>
        <v>0</v>
      </c>
      <c r="Q266" s="128">
        <f ca="1">IF(OFFSET('IWP08'!UnitsOfServicePeriod2, 0, 13, 1, 1) = "", 0, OFFSET('IWP08'!UnitsOfServicePeriod2, 0, 13, 1, 1))</f>
        <v>0</v>
      </c>
      <c r="R266" s="128">
        <f ca="1">OFFSET('IWP08'!UnitsOfServicePeriod2, 0, 14, 1, 1)</f>
        <v>0</v>
      </c>
      <c r="S266" s="128">
        <f ca="1">IF(OFFSET('IWP08'!UnitsOfServicePeriod2, 0, 15, 1, 1) = "", 0, OFFSET('IWP08'!UnitsOfServicePeriod2, 0, 15, 1, 1))</f>
        <v>0</v>
      </c>
      <c r="T266" s="128">
        <f ca="1">IF(OFFSET('IWP08'!UnitsOfServicePeriod2, 0, 16, 1, 1) = "", 0, OFFSET('IWP08'!UnitsOfServicePeriod2, 0, 16, 1, 1))</f>
        <v>0</v>
      </c>
      <c r="U266" s="128">
        <f ca="1">OFFSET('IWP08'!UnitsOfServicePeriod2, 0, 17, 1, 1)</f>
        <v>0</v>
      </c>
      <c r="V266" s="128">
        <f ca="1">IF(OFFSET('IWP08'!UnitsOfServicePeriod2, 0, 19, 1, 1) = "", 0, OFFSET('IWP08'!UnitsOfServicePeriod2, 0, 19, 1, 1))</f>
        <v>0</v>
      </c>
      <c r="W266" s="128">
        <f ca="1">OFFSET('IWP08'!UnitsOfServicePeriod2, 0, 20, 1, 1)</f>
        <v>0</v>
      </c>
      <c r="X266" s="128">
        <f ca="1">IF(OFFSET('IWP08'!UnitsOfServicePeriod2, 0, 21, 1, 1) = "", 0, OFFSET('IWP08'!UnitsOfServicePeriod2, 0, 21, 1, 1))</f>
        <v>0</v>
      </c>
      <c r="Y266" s="137">
        <f ca="1">OFFSET('IWP08'!UnitsOfServicePeriod2, 0, 22, 1, 1)</f>
        <v>0</v>
      </c>
    </row>
    <row r="267" spans="1:25">
      <c r="A267" s="125" t="s">
        <v>481</v>
      </c>
      <c r="B267" s="128">
        <v>2</v>
      </c>
      <c r="C267" s="128">
        <v>2</v>
      </c>
      <c r="D267" s="107">
        <f ca="1">IF(OFFSET('IWP08'!UnitsOfServicePeriod2, 1, 0, 1, 1)=DATE(1900,1,0), DATE(1900,1,1),OFFSET('IWP08'!UnitsOfServicePeriod2, 1, 0, 1, 1))</f>
        <v>1</v>
      </c>
      <c r="E267" s="107">
        <f ca="1">IF(OFFSET('IWP08'!UnitsOfServicePeriod2, 1, 1, 1, 1)=DATE(1900,1,0), DATE(1900,1,1),OFFSET('IWP08'!UnitsOfServicePeriod2, 1, 1, 1, 1))</f>
        <v>1</v>
      </c>
      <c r="F267" s="128">
        <f ca="1">OFFSET('IWP08'!UnitsOfServicePeriod2, 1, 2, 1, 1)</f>
        <v>0</v>
      </c>
      <c r="G267" s="128">
        <f ca="1">IF(OFFSET('IWP08'!UnitsOfServicePeriod2, 1, 3, 1, 1) = "", 0, OFFSET('IWP08'!UnitsOfServicePeriod2, 1, 3, 1, 1))</f>
        <v>0</v>
      </c>
      <c r="H267" s="128">
        <f ca="1">OFFSET('IWP08'!UnitsOfServicePeriod2, 1, 4, 1, 1)</f>
        <v>0</v>
      </c>
      <c r="I267" s="128">
        <f ca="1">IF(OFFSET('IWP08'!UnitsOfServicePeriod2, 1, 5, 1, 1) = "", 0, OFFSET('IWP08'!UnitsOfServicePeriod2, 1, 5, 1, 1))</f>
        <v>0</v>
      </c>
      <c r="J267" s="128">
        <f ca="1">OFFSET('IWP08'!UnitsOfServicePeriod2, 1, 6, 1, 1)</f>
        <v>0</v>
      </c>
      <c r="K267" s="128">
        <f ca="1">IF(OFFSET('IWP08'!UnitsOfServicePeriod2, 1, 7, 1, 1) = "", 0, OFFSET('IWP08'!UnitsOfServicePeriod2, 1, 7, 1, 1))</f>
        <v>0</v>
      </c>
      <c r="L267" s="128">
        <f ca="1">OFFSET('IWP08'!UnitsOfServicePeriod2, 1, 8, 1, 1)</f>
        <v>0</v>
      </c>
      <c r="M267" s="128">
        <f ca="1">IF(OFFSET('IWP08'!UnitsOfServicePeriod2, 1, 9, 1, 1) = "", 0, OFFSET('IWP08'!UnitsOfServicePeriod2, 1, 9, 1, 1))</f>
        <v>0</v>
      </c>
      <c r="N267" s="128">
        <f ca="1">OFFSET('IWP08'!UnitsOfServicePeriod2, 1, 10, 1, 1)</f>
        <v>0</v>
      </c>
      <c r="O267" s="128">
        <f ca="1">IF(OFFSET('IWP08'!UnitsOfServicePeriod2, 1, 11, 1, 1) = "", 0, OFFSET('IWP08'!UnitsOfServicePeriod2, 1, 11, 1, 1))</f>
        <v>0</v>
      </c>
      <c r="P267" s="128">
        <f ca="1">OFFSET('IWP08'!UnitsOfServicePeriod2, 1, 12, 1, 1)</f>
        <v>0</v>
      </c>
      <c r="Q267" s="128">
        <f ca="1">IF(OFFSET('IWP08'!UnitsOfServicePeriod2, 1, 13, 1, 1) = "", 0, OFFSET('IWP08'!UnitsOfServicePeriod2, 1, 13, 1, 1))</f>
        <v>0</v>
      </c>
      <c r="R267" s="128">
        <f ca="1">OFFSET('IWP08'!UnitsOfServicePeriod2, 1, 14, 1, 1)</f>
        <v>0</v>
      </c>
      <c r="S267" s="128">
        <f ca="1">IF(OFFSET('IWP08'!UnitsOfServicePeriod2, 1, 15, 1, 1) = "", 0, OFFSET('IWP08'!UnitsOfServicePeriod2, 1, 15, 1, 1))</f>
        <v>0</v>
      </c>
      <c r="T267" s="128">
        <f ca="1">IF(OFFSET('IWP08'!UnitsOfServicePeriod2, 1, 16, 1, 1) = "", 0, OFFSET('IWP08'!UnitsOfServicePeriod2, 1, 16, 1, 1))</f>
        <v>0</v>
      </c>
      <c r="U267" s="128">
        <f ca="1">OFFSET('IWP08'!UnitsOfServicePeriod2, 1, 17, 1, 1)</f>
        <v>0</v>
      </c>
      <c r="V267" s="128">
        <f ca="1">IF(OFFSET('IWP08'!UnitsOfServicePeriod2, 1, 19, 1, 1) = "", 0, OFFSET('IWP08'!UnitsOfServicePeriod2, 1, 19, 1, 1))</f>
        <v>0</v>
      </c>
      <c r="W267" s="128">
        <f ca="1">OFFSET('IWP08'!UnitsOfServicePeriod2, 1, 20, 1, 1)</f>
        <v>0</v>
      </c>
      <c r="X267" s="128">
        <f ca="1">IF(OFFSET('IWP08'!UnitsOfServicePeriod2, 1, 21, 1, 1) = "", 0, OFFSET('IWP08'!UnitsOfServicePeriod2, 1, 21, 1, 1))</f>
        <v>0</v>
      </c>
      <c r="Y267" s="137">
        <f ca="1">OFFSET('IWP08'!UnitsOfServicePeriod2, 1, 22, 1, 1)</f>
        <v>0</v>
      </c>
    </row>
    <row r="268" spans="1:25">
      <c r="A268" s="125" t="s">
        <v>481</v>
      </c>
      <c r="B268" s="128">
        <v>2</v>
      </c>
      <c r="C268" s="128">
        <v>3</v>
      </c>
      <c r="D268" s="107">
        <f ca="1">IF(OFFSET('IWP08'!UnitsOfServicePeriod2, 2, 0, 1, 1)=DATE(1900,1,0), DATE(1900,1,1),OFFSET('IWP08'!UnitsOfServicePeriod2, 2, 0, 1, 1))</f>
        <v>1</v>
      </c>
      <c r="E268" s="107">
        <f ca="1">IF(OFFSET('IWP08'!UnitsOfServicePeriod2, 2, 1, 1, 1)=DATE(1900,1,0), DATE(1900,1,1),OFFSET('IWP08'!UnitsOfServicePeriod2, 2, 1, 1, 1))</f>
        <v>1</v>
      </c>
      <c r="F268" s="128">
        <f ca="1">OFFSET('IWP08'!UnitsOfServicePeriod2, 2, 2, 1, 1)</f>
        <v>0</v>
      </c>
      <c r="G268" s="128">
        <f ca="1">IF(OFFSET('IWP08'!UnitsOfServicePeriod2, 2, 3, 1, 1) = "", 0, OFFSET('IWP08'!UnitsOfServicePeriod2, 2, 3, 1, 1))</f>
        <v>0</v>
      </c>
      <c r="H268" s="128">
        <f ca="1">OFFSET('IWP08'!UnitsOfServicePeriod2, 2, 4, 1, 1)</f>
        <v>0</v>
      </c>
      <c r="I268" s="128">
        <f ca="1">IF(OFFSET('IWP08'!UnitsOfServicePeriod2, 2, 5, 1, 1) = "", 0, OFFSET('IWP08'!UnitsOfServicePeriod2, 2, 5, 1, 1))</f>
        <v>0</v>
      </c>
      <c r="J268" s="128">
        <f ca="1">OFFSET('IWP08'!UnitsOfServicePeriod2, 2, 6, 1, 1)</f>
        <v>0</v>
      </c>
      <c r="K268" s="128">
        <f ca="1">IF(OFFSET('IWP08'!UnitsOfServicePeriod2, 2, 7, 1, 1) = "", 0, OFFSET('IWP08'!UnitsOfServicePeriod2, 2, 7, 1, 1))</f>
        <v>0</v>
      </c>
      <c r="L268" s="128">
        <f ca="1">OFFSET('IWP08'!UnitsOfServicePeriod2, 2, 8, 1, 1)</f>
        <v>0</v>
      </c>
      <c r="M268" s="128">
        <f ca="1">IF(OFFSET('IWP08'!UnitsOfServicePeriod2, 2, 9, 1, 1) = "", 0, OFFSET('IWP08'!UnitsOfServicePeriod2, 2, 9, 1, 1))</f>
        <v>0</v>
      </c>
      <c r="N268" s="128">
        <f ca="1">OFFSET('IWP08'!UnitsOfServicePeriod2, 2, 10, 1, 1)</f>
        <v>0</v>
      </c>
      <c r="O268" s="128">
        <f ca="1">IF(OFFSET('IWP08'!UnitsOfServicePeriod2, 2, 11, 1, 1) = "", 0, OFFSET('IWP08'!UnitsOfServicePeriod2, 2, 11, 1, 1))</f>
        <v>0</v>
      </c>
      <c r="P268" s="128">
        <f ca="1">OFFSET('IWP08'!UnitsOfServicePeriod2, 2, 12, 1, 1)</f>
        <v>0</v>
      </c>
      <c r="Q268" s="128">
        <f ca="1">IF(OFFSET('IWP08'!UnitsOfServicePeriod2, 2, 13, 1, 1) = "", 0, OFFSET('IWP08'!UnitsOfServicePeriod2, 2, 13, 1, 1))</f>
        <v>0</v>
      </c>
      <c r="R268" s="128">
        <f ca="1">OFFSET('IWP08'!UnitsOfServicePeriod2, 2, 14, 1, 1)</f>
        <v>0</v>
      </c>
      <c r="S268" s="128">
        <f ca="1">IF(OFFSET('IWP08'!UnitsOfServicePeriod2, 2, 15, 1, 1) = "", 0, OFFSET('IWP08'!UnitsOfServicePeriod2, 2, 15, 1, 1))</f>
        <v>0</v>
      </c>
      <c r="T268" s="128">
        <f ca="1">IF(OFFSET('IWP08'!UnitsOfServicePeriod2, 2, 16, 1, 1) = "", 0, OFFSET('IWP08'!UnitsOfServicePeriod2, 2, 16, 1, 1))</f>
        <v>0</v>
      </c>
      <c r="U268" s="128">
        <f ca="1">OFFSET('IWP08'!UnitsOfServicePeriod2, 2, 17, 1, 1)</f>
        <v>0</v>
      </c>
      <c r="V268" s="128">
        <f ca="1">IF(OFFSET('IWP08'!UnitsOfServicePeriod2, 2, 19, 1, 1) = "", 0, OFFSET('IWP08'!UnitsOfServicePeriod2, 2, 19, 1, 1))</f>
        <v>0</v>
      </c>
      <c r="W268" s="128">
        <f ca="1">OFFSET('IWP08'!UnitsOfServicePeriod2, 2, 20, 1, 1)</f>
        <v>0</v>
      </c>
      <c r="X268" s="128">
        <f ca="1">IF(OFFSET('IWP08'!UnitsOfServicePeriod2, 2, 21, 1, 1) = "", 0, OFFSET('IWP08'!UnitsOfServicePeriod2, 2, 21, 1, 1))</f>
        <v>0</v>
      </c>
      <c r="Y268" s="137">
        <f ca="1">OFFSET('IWP08'!UnitsOfServicePeriod2, 2, 22, 1, 1)</f>
        <v>0</v>
      </c>
    </row>
    <row r="269" spans="1:25">
      <c r="A269" s="125" t="s">
        <v>481</v>
      </c>
      <c r="B269" s="128">
        <v>2</v>
      </c>
      <c r="C269" s="128">
        <v>4</v>
      </c>
      <c r="D269" s="107">
        <f ca="1">IF(OFFSET('IWP08'!UnitsOfServicePeriod2, 3, 0, 1, 1)=DATE(1900,1,0), DATE(1900,1,1),OFFSET('IWP08'!UnitsOfServicePeriod2, 3, 0, 1, 1))</f>
        <v>1</v>
      </c>
      <c r="E269" s="107">
        <f ca="1">IF(OFFSET('IWP08'!UnitsOfServicePeriod2, 3, 1, 1, 1)=DATE(1900,1,0), DATE(1900,1,1),OFFSET('IWP08'!UnitsOfServicePeriod2, 3, 1, 1, 1))</f>
        <v>1</v>
      </c>
      <c r="F269" s="128">
        <f ca="1">OFFSET('IWP08'!UnitsOfServicePeriod2, 3, 2, 1, 1)</f>
        <v>0</v>
      </c>
      <c r="G269" s="128">
        <f ca="1">IF(OFFSET('IWP08'!UnitsOfServicePeriod2, 3, 3, 1, 1) = "", 0, OFFSET('IWP08'!UnitsOfServicePeriod2, 3, 3, 1, 1))</f>
        <v>0</v>
      </c>
      <c r="H269" s="128">
        <f ca="1">OFFSET('IWP08'!UnitsOfServicePeriod2, 3, 4, 1, 1)</f>
        <v>0</v>
      </c>
      <c r="I269" s="128">
        <f ca="1">IF(OFFSET('IWP08'!UnitsOfServicePeriod2, 3, 5, 1, 1) = "", 0, OFFSET('IWP08'!UnitsOfServicePeriod2, 3, 5, 1, 1))</f>
        <v>0</v>
      </c>
      <c r="J269" s="128">
        <f ca="1">OFFSET('IWP08'!UnitsOfServicePeriod2, 3, 6, 1, 1)</f>
        <v>0</v>
      </c>
      <c r="K269" s="128">
        <f ca="1">IF(OFFSET('IWP08'!UnitsOfServicePeriod2, 3, 7, 1, 1) = "", 0, OFFSET('IWP08'!UnitsOfServicePeriod2, 3, 7, 1, 1))</f>
        <v>0</v>
      </c>
      <c r="L269" s="128">
        <f ca="1">OFFSET('IWP08'!UnitsOfServicePeriod2, 3, 8, 1, 1)</f>
        <v>0</v>
      </c>
      <c r="M269" s="128">
        <f ca="1">IF(OFFSET('IWP08'!UnitsOfServicePeriod2, 3, 9, 1, 1) = "", 0, OFFSET('IWP08'!UnitsOfServicePeriod2, 3, 9, 1, 1))</f>
        <v>0</v>
      </c>
      <c r="N269" s="128">
        <f ca="1">OFFSET('IWP08'!UnitsOfServicePeriod2, 3, 10, 1, 1)</f>
        <v>0</v>
      </c>
      <c r="O269" s="128">
        <f ca="1">IF(OFFSET('IWP08'!UnitsOfServicePeriod2, 3, 11, 1, 1) = "", 0, OFFSET('IWP08'!UnitsOfServicePeriod2, 3, 11, 1, 1))</f>
        <v>0</v>
      </c>
      <c r="P269" s="128">
        <f ca="1">OFFSET('IWP08'!UnitsOfServicePeriod2, 3, 12, 1, 1)</f>
        <v>0</v>
      </c>
      <c r="Q269" s="128">
        <f ca="1">IF(OFFSET('IWP08'!UnitsOfServicePeriod2, 3, 13, 1, 1) = "", 0, OFFSET('IWP08'!UnitsOfServicePeriod2, 3, 13, 1, 1))</f>
        <v>0</v>
      </c>
      <c r="R269" s="128">
        <f ca="1">OFFSET('IWP08'!UnitsOfServicePeriod2, 3, 14, 1, 1)</f>
        <v>0</v>
      </c>
      <c r="S269" s="128">
        <f ca="1">IF(OFFSET('IWP08'!UnitsOfServicePeriod2, 3, 15, 1, 1) = "", 0, OFFSET('IWP08'!UnitsOfServicePeriod2, 3, 15, 1, 1))</f>
        <v>0</v>
      </c>
      <c r="T269" s="128">
        <f ca="1">IF(OFFSET('IWP08'!UnitsOfServicePeriod2, 3, 16, 1, 1) = "", 0, OFFSET('IWP08'!UnitsOfServicePeriod2, 3, 16, 1, 1))</f>
        <v>0</v>
      </c>
      <c r="U269" s="128">
        <f ca="1">OFFSET('IWP08'!UnitsOfServicePeriod2, 3, 17, 1, 1)</f>
        <v>0</v>
      </c>
      <c r="V269" s="128">
        <f ca="1">IF(OFFSET('IWP08'!UnitsOfServicePeriod2, 3, 19, 1, 1) = "", 0, OFFSET('IWP08'!UnitsOfServicePeriod2, 3, 19, 1, 1))</f>
        <v>0</v>
      </c>
      <c r="W269" s="128">
        <f ca="1">OFFSET('IWP08'!UnitsOfServicePeriod2, 3, 20, 1, 1)</f>
        <v>0</v>
      </c>
      <c r="X269" s="128">
        <f ca="1">IF(OFFSET('IWP08'!UnitsOfServicePeriod2, 3, 21, 1, 1) = "", 0, OFFSET('IWP08'!UnitsOfServicePeriod2, 3, 21, 1, 1))</f>
        <v>0</v>
      </c>
      <c r="Y269" s="137">
        <f ca="1">OFFSET('IWP08'!UnitsOfServicePeriod2, 3, 22, 1, 1)</f>
        <v>0</v>
      </c>
    </row>
    <row r="270" spans="1:25">
      <c r="A270" s="125" t="s">
        <v>481</v>
      </c>
      <c r="B270" s="128">
        <v>2</v>
      </c>
      <c r="C270" s="128">
        <v>5</v>
      </c>
      <c r="D270" s="107">
        <f ca="1">IF(OFFSET('IWP08'!UnitsOfServicePeriod2, 4, 0, 1, 1)=DATE(1900,1,0), DATE(1900,1,1),OFFSET('IWP08'!UnitsOfServicePeriod2, 4, 0, 1, 1))</f>
        <v>1</v>
      </c>
      <c r="E270" s="107">
        <f ca="1">IF(OFFSET('IWP08'!UnitsOfServicePeriod2, 4, 1, 1, 1)=DATE(1900,1,0), DATE(1900,1,1),OFFSET('IWP08'!UnitsOfServicePeriod2, 4, 1, 1, 1))</f>
        <v>1</v>
      </c>
      <c r="F270" s="128">
        <f ca="1">OFFSET('IWP08'!UnitsOfServicePeriod2, 4, 2, 1, 1)</f>
        <v>0</v>
      </c>
      <c r="G270" s="128">
        <f ca="1">IF(OFFSET('IWP08'!UnitsOfServicePeriod2, 4, 3, 1, 1) = "", 0, OFFSET('IWP08'!UnitsOfServicePeriod2, 4, 3, 1, 1))</f>
        <v>0</v>
      </c>
      <c r="H270" s="128">
        <f ca="1">OFFSET('IWP08'!UnitsOfServicePeriod2, 4, 4, 1, 1)</f>
        <v>0</v>
      </c>
      <c r="I270" s="128">
        <f ca="1">IF(OFFSET('IWP08'!UnitsOfServicePeriod2, 4, 5, 1, 1) = "", 0, OFFSET('IWP08'!UnitsOfServicePeriod2, 4, 5, 1, 1))</f>
        <v>0</v>
      </c>
      <c r="J270" s="128">
        <f ca="1">OFFSET('IWP08'!UnitsOfServicePeriod2, 4, 6, 1, 1)</f>
        <v>0</v>
      </c>
      <c r="K270" s="128">
        <f ca="1">IF(OFFSET('IWP08'!UnitsOfServicePeriod2, 4, 7, 1, 1) = "", 0, OFFSET('IWP08'!UnitsOfServicePeriod2, 4, 7, 1, 1))</f>
        <v>0</v>
      </c>
      <c r="L270" s="128">
        <f ca="1">OFFSET('IWP08'!UnitsOfServicePeriod2, 4, 8, 1, 1)</f>
        <v>0</v>
      </c>
      <c r="M270" s="128">
        <f ca="1">IF(OFFSET('IWP08'!UnitsOfServicePeriod2, 4, 9, 1, 1) = "", 0, OFFSET('IWP08'!UnitsOfServicePeriod2, 4, 9, 1, 1))</f>
        <v>0</v>
      </c>
      <c r="N270" s="128">
        <f ca="1">OFFSET('IWP08'!UnitsOfServicePeriod2, 4, 10, 1, 1)</f>
        <v>0</v>
      </c>
      <c r="O270" s="128">
        <f ca="1">IF(OFFSET('IWP08'!UnitsOfServicePeriod2, 4, 11, 1, 1) = "", 0, OFFSET('IWP08'!UnitsOfServicePeriod2, 4, 11, 1, 1))</f>
        <v>0</v>
      </c>
      <c r="P270" s="128">
        <f ca="1">OFFSET('IWP08'!UnitsOfServicePeriod2, 4, 12, 1, 1)</f>
        <v>0</v>
      </c>
      <c r="Q270" s="128">
        <f ca="1">IF(OFFSET('IWP08'!UnitsOfServicePeriod2, 4, 13, 1, 1) = "", 0, OFFSET('IWP08'!UnitsOfServicePeriod2, 4, 13, 1, 1))</f>
        <v>0</v>
      </c>
      <c r="R270" s="128">
        <f ca="1">OFFSET('IWP08'!UnitsOfServicePeriod2, 4, 14, 1, 1)</f>
        <v>0</v>
      </c>
      <c r="S270" s="128">
        <f ca="1">IF(OFFSET('IWP08'!UnitsOfServicePeriod2, 4, 15, 1, 1) = "", 0, OFFSET('IWP08'!UnitsOfServicePeriod2, 4, 15, 1, 1))</f>
        <v>0</v>
      </c>
      <c r="T270" s="128">
        <f ca="1">IF(OFFSET('IWP08'!UnitsOfServicePeriod2, 4, 16, 1, 1) = "", 0, OFFSET('IWP08'!UnitsOfServicePeriod2, 4, 16, 1, 1))</f>
        <v>0</v>
      </c>
      <c r="U270" s="128">
        <f ca="1">OFFSET('IWP08'!UnitsOfServicePeriod2, 4, 17, 1, 1)</f>
        <v>0</v>
      </c>
      <c r="V270" s="128">
        <f ca="1">IF(OFFSET('IWP08'!UnitsOfServicePeriod2, 4, 19, 1, 1) = "", 0, OFFSET('IWP08'!UnitsOfServicePeriod2, 4, 19, 1, 1))</f>
        <v>0</v>
      </c>
      <c r="W270" s="128">
        <f ca="1">OFFSET('IWP08'!UnitsOfServicePeriod2, 4, 20, 1, 1)</f>
        <v>0</v>
      </c>
      <c r="X270" s="128">
        <f ca="1">IF(OFFSET('IWP08'!UnitsOfServicePeriod2, 4, 21, 1, 1) = "", 0, OFFSET('IWP08'!UnitsOfServicePeriod2, 4, 21, 1, 1))</f>
        <v>0</v>
      </c>
      <c r="Y270" s="137">
        <f ca="1">OFFSET('IWP08'!UnitsOfServicePeriod2, 4, 22, 1, 1)</f>
        <v>0</v>
      </c>
    </row>
    <row r="271" spans="1:25">
      <c r="A271" s="125" t="s">
        <v>481</v>
      </c>
      <c r="B271" s="128">
        <v>2</v>
      </c>
      <c r="C271" s="128">
        <v>6</v>
      </c>
      <c r="D271" s="107">
        <f ca="1">IF(OFFSET('IWP08'!UnitsOfServicePeriod2, 5, 0, 1, 1)=DATE(1900,1,0), DATE(1900,1,1),OFFSET('IWP08'!UnitsOfServicePeriod2, 5, 0, 1, 1))</f>
        <v>1</v>
      </c>
      <c r="E271" s="107">
        <f ca="1">IF(OFFSET('IWP08'!UnitsOfServicePeriod2, 5, 1, 1, 1)=DATE(1900,1,0), DATE(1900,1,1),OFFSET('IWP08'!UnitsOfServicePeriod2, 5, 1, 1, 1))</f>
        <v>1</v>
      </c>
      <c r="F271" s="128">
        <f ca="1">OFFSET('IWP08'!UnitsOfServicePeriod2, 5, 2, 1, 1)</f>
        <v>0</v>
      </c>
      <c r="G271" s="128">
        <f ca="1">IF(OFFSET('IWP08'!UnitsOfServicePeriod2, 5, 3, 1, 1) = "", 0, OFFSET('IWP08'!UnitsOfServicePeriod2, 5, 3, 1, 1))</f>
        <v>0</v>
      </c>
      <c r="H271" s="128">
        <f ca="1">OFFSET('IWP08'!UnitsOfServicePeriod2, 5, 4, 1, 1)</f>
        <v>0</v>
      </c>
      <c r="I271" s="128">
        <f ca="1">IF(OFFSET('IWP08'!UnitsOfServicePeriod2, 5, 5, 1, 1) = "", 0, OFFSET('IWP08'!UnitsOfServicePeriod2, 5, 5, 1, 1))</f>
        <v>0</v>
      </c>
      <c r="J271" s="128">
        <f ca="1">OFFSET('IWP08'!UnitsOfServicePeriod2, 5, 6, 1, 1)</f>
        <v>0</v>
      </c>
      <c r="K271" s="128">
        <f ca="1">IF(OFFSET('IWP08'!UnitsOfServicePeriod2, 5, 7, 1, 1) = "", 0, OFFSET('IWP08'!UnitsOfServicePeriod2, 5, 7, 1, 1))</f>
        <v>0</v>
      </c>
      <c r="L271" s="128">
        <f ca="1">OFFSET('IWP08'!UnitsOfServicePeriod2, 5, 8, 1, 1)</f>
        <v>0</v>
      </c>
      <c r="M271" s="128">
        <f ca="1">IF(OFFSET('IWP08'!UnitsOfServicePeriod2, 5, 9, 1, 1) = "", 0, OFFSET('IWP08'!UnitsOfServicePeriod2, 5, 9, 1, 1))</f>
        <v>0</v>
      </c>
      <c r="N271" s="128">
        <f ca="1">OFFSET('IWP08'!UnitsOfServicePeriod2, 5, 10, 1, 1)</f>
        <v>0</v>
      </c>
      <c r="O271" s="128">
        <f ca="1">IF(OFFSET('IWP08'!UnitsOfServicePeriod2, 5, 11, 1, 1) = "", 0, OFFSET('IWP08'!UnitsOfServicePeriod2, 5, 11, 1, 1))</f>
        <v>0</v>
      </c>
      <c r="P271" s="128">
        <f ca="1">OFFSET('IWP08'!UnitsOfServicePeriod2, 5, 12, 1, 1)</f>
        <v>0</v>
      </c>
      <c r="Q271" s="128">
        <f ca="1">IF(OFFSET('IWP08'!UnitsOfServicePeriod2, 5, 13, 1, 1) = "", 0, OFFSET('IWP08'!UnitsOfServicePeriod2, 5, 13, 1, 1))</f>
        <v>0</v>
      </c>
      <c r="R271" s="128">
        <f ca="1">OFFSET('IWP08'!UnitsOfServicePeriod2, 5, 14, 1, 1)</f>
        <v>0</v>
      </c>
      <c r="S271" s="128">
        <f ca="1">IF(OFFSET('IWP08'!UnitsOfServicePeriod2, 5, 15, 1, 1) = "", 0, OFFSET('IWP08'!UnitsOfServicePeriod2, 5, 15, 1, 1))</f>
        <v>0</v>
      </c>
      <c r="T271" s="128">
        <f ca="1">IF(OFFSET('IWP08'!UnitsOfServicePeriod2, 5, 16, 1, 1) = "", 0, OFFSET('IWP08'!UnitsOfServicePeriod2, 5, 16, 1, 1))</f>
        <v>0</v>
      </c>
      <c r="U271" s="128">
        <f ca="1">OFFSET('IWP08'!UnitsOfServicePeriod2, 5, 17, 1, 1)</f>
        <v>0</v>
      </c>
      <c r="V271" s="128">
        <f ca="1">IF(OFFSET('IWP08'!UnitsOfServicePeriod2, 5, 19, 1, 1) = "", 0, OFFSET('IWP08'!UnitsOfServicePeriod2, 5, 19, 1, 1))</f>
        <v>0</v>
      </c>
      <c r="W271" s="128">
        <f ca="1">OFFSET('IWP08'!UnitsOfServicePeriod2, 5, 20, 1, 1)</f>
        <v>0</v>
      </c>
      <c r="X271" s="128">
        <f ca="1">IF(OFFSET('IWP08'!UnitsOfServicePeriod2, 5, 21, 1, 1) = "", 0, OFFSET('IWP08'!UnitsOfServicePeriod2, 5, 21, 1, 1))</f>
        <v>0</v>
      </c>
      <c r="Y271" s="137">
        <f ca="1">OFFSET('IWP08'!UnitsOfServicePeriod2, 5, 22, 1, 1)</f>
        <v>0</v>
      </c>
    </row>
    <row r="272" spans="1:25">
      <c r="A272" s="125" t="s">
        <v>482</v>
      </c>
      <c r="B272" s="128">
        <v>1</v>
      </c>
      <c r="C272" s="128">
        <v>1</v>
      </c>
      <c r="D272" s="107">
        <f ca="1">IF(OFFSET('IWP09'!UnitsOfServicePeriod1, 0, 0, 1, 1)=DATE(1900,1,0), DATE(1900,1,1),OFFSET('IWP09'!UnitsOfServicePeriod1, 0, 0, 1, 1))</f>
        <v>1</v>
      </c>
      <c r="E272" s="107">
        <f ca="1">IF(OFFSET('IWP09'!UnitsOfServicePeriod1, 0, 1, 1, 1)=DATE(1900,1,0), DATE(1900,1,1),OFFSET('IWP09'!UnitsOfServicePeriod1, 0, 1, 1, 1))</f>
        <v>1</v>
      </c>
      <c r="F272" s="128">
        <f ca="1">OFFSET('IWP09'!UnitsOfServicePeriod1, 0, 2, 1, 1)</f>
        <v>0</v>
      </c>
      <c r="G272" s="128">
        <f ca="1">IF(OFFSET('IWP09'!UnitsOfServicePeriod1, 0, 3, 1, 1) = "", 0, OFFSET('IWP09'!UnitsOfServicePeriod1, 0, 3, 1, 1))</f>
        <v>0</v>
      </c>
      <c r="H272" s="128">
        <f ca="1">OFFSET('IWP09'!UnitsOfServicePeriod1, 0, 4, 1, 1)</f>
        <v>0</v>
      </c>
      <c r="I272" s="128">
        <f ca="1">IF(OFFSET('IWP09'!UnitsOfServicePeriod1, 0, 5, 1, 1) = "", 0, OFFSET('IWP09'!UnitsOfServicePeriod1, 0, 5, 1, 1))</f>
        <v>0</v>
      </c>
      <c r="J272" s="128">
        <f ca="1">OFFSET('IWP09'!UnitsOfServicePeriod1, 0, 6, 1, 1)</f>
        <v>0</v>
      </c>
      <c r="K272" s="128">
        <f ca="1">IF(OFFSET('IWP09'!UnitsOfServicePeriod1, 0, 7, 1, 1) = "", 0, OFFSET('IWP09'!UnitsOfServicePeriod1, 0, 7, 1, 1))</f>
        <v>0</v>
      </c>
      <c r="L272" s="128">
        <f ca="1">OFFSET('IWP09'!UnitsOfServicePeriod1, 0, 8, 1, 1)</f>
        <v>0</v>
      </c>
      <c r="M272" s="128">
        <f ca="1">IF(OFFSET('IWP09'!UnitsOfServicePeriod1, 0, 9, 1, 1) = "", 0, OFFSET('IWP09'!UnitsOfServicePeriod1, 0, 9, 1, 1))</f>
        <v>0</v>
      </c>
      <c r="N272" s="128">
        <f ca="1">OFFSET('IWP09'!UnitsOfServicePeriod1, 0, 10, 1, 1)</f>
        <v>0</v>
      </c>
      <c r="O272" s="128">
        <f ca="1">IF(OFFSET('IWP09'!UnitsOfServicePeriod1, 0, 11, 1, 1) = "", 0, OFFSET('IWP09'!UnitsOfServicePeriod1, 0, 11, 1, 1))</f>
        <v>0</v>
      </c>
      <c r="P272" s="128">
        <f ca="1">OFFSET('IWP09'!UnitsOfServicePeriod1, 0, 12, 1, 1)</f>
        <v>0</v>
      </c>
      <c r="Q272" s="128">
        <f ca="1">IF(OFFSET('IWP09'!UnitsOfServicePeriod1, 0, 13, 1, 1) = "", 0, OFFSET('IWP09'!UnitsOfServicePeriod1, 0, 13, 1, 1))</f>
        <v>0</v>
      </c>
      <c r="R272" s="128">
        <f ca="1">OFFSET('IWP09'!UnitsOfServicePeriod1, 0, 14, 1, 1)</f>
        <v>0</v>
      </c>
      <c r="S272" s="128">
        <f ca="1">IF(OFFSET('IWP09'!UnitsOfServicePeriod1, 0, 15, 1, 1) = "", 0, OFFSET('IWP09'!UnitsOfServicePeriod1, 0, 15, 1, 1))</f>
        <v>0</v>
      </c>
      <c r="T272" s="128">
        <f ca="1">IF(OFFSET('IWP09'!UnitsOfServicePeriod1, 0, 16, 1, 1) = "", 0, OFFSET('IWP09'!UnitsOfServicePeriod1, 0, 16, 1, 1))</f>
        <v>0</v>
      </c>
      <c r="U272" s="128">
        <f ca="1">OFFSET('IWP09'!UnitsOfServicePeriod1, 0, 17, 1, 1)</f>
        <v>0</v>
      </c>
      <c r="V272" s="128">
        <f ca="1">IF(OFFSET('IWP09'!UnitsOfServicePeriod1, 0, 19, 1, 1) = "", 0, OFFSET('IWP09'!UnitsOfServicePeriod1, 0, 19, 1, 1))</f>
        <v>0</v>
      </c>
      <c r="W272" s="128">
        <f ca="1">OFFSET('IWP09'!UnitsOfServicePeriod1, 0, 20, 1, 1)</f>
        <v>0</v>
      </c>
      <c r="X272" s="128">
        <f ca="1">IF(OFFSET('IWP09'!UnitsOfServicePeriod1, 0, 21, 1, 1) = "", 0, OFFSET('IWP09'!UnitsOfServicePeriod1, 0, 21, 1, 1))</f>
        <v>0</v>
      </c>
      <c r="Y272" s="137">
        <f ca="1">OFFSET('IWP09'!UnitsOfServicePeriod1, 0, 22, 1, 1)</f>
        <v>0</v>
      </c>
    </row>
    <row r="273" spans="1:25">
      <c r="A273" s="125" t="s">
        <v>482</v>
      </c>
      <c r="B273" s="128">
        <v>1</v>
      </c>
      <c r="C273" s="128">
        <v>2</v>
      </c>
      <c r="D273" s="107">
        <f ca="1">IF(OFFSET('IWP09'!UnitsOfServicePeriod1, 1, 0, 1, 1)=DATE(1900,1,0), DATE(1900,1,1),OFFSET('IWP09'!UnitsOfServicePeriod1, 1, 0, 1, 1))</f>
        <v>1</v>
      </c>
      <c r="E273" s="107">
        <f ca="1">IF(OFFSET('IWP09'!UnitsOfServicePeriod1, 1, 1, 1, 1)=DATE(1900,1,0), DATE(1900,1,1),OFFSET('IWP09'!UnitsOfServicePeriod1, 1, 1, 1, 1))</f>
        <v>1</v>
      </c>
      <c r="F273" s="128">
        <f ca="1">OFFSET('IWP09'!UnitsOfServicePeriod1, 1, 2, 1, 1)</f>
        <v>0</v>
      </c>
      <c r="G273" s="128">
        <f ca="1">IF(OFFSET('IWP09'!UnitsOfServicePeriod1, 1, 3, 1, 1) = "", 0, OFFSET('IWP09'!UnitsOfServicePeriod1, 1, 3, 1, 1))</f>
        <v>0</v>
      </c>
      <c r="H273" s="128">
        <f ca="1">OFFSET('IWP09'!UnitsOfServicePeriod1, 1, 4, 1, 1)</f>
        <v>0</v>
      </c>
      <c r="I273" s="128">
        <f ca="1">IF(OFFSET('IWP09'!UnitsOfServicePeriod1, 1, 5, 1, 1) = "", 0, OFFSET('IWP09'!UnitsOfServicePeriod1, 1, 5, 1, 1))</f>
        <v>0</v>
      </c>
      <c r="J273" s="128">
        <f ca="1">OFFSET('IWP09'!UnitsOfServicePeriod1, 1, 6, 1, 1)</f>
        <v>0</v>
      </c>
      <c r="K273" s="128">
        <f ca="1">IF(OFFSET('IWP09'!UnitsOfServicePeriod1, 1, 7, 1, 1) = "", 0, OFFSET('IWP09'!UnitsOfServicePeriod1, 1, 7, 1, 1))</f>
        <v>0</v>
      </c>
      <c r="L273" s="128">
        <f ca="1">OFFSET('IWP09'!UnitsOfServicePeriod1, 1, 8, 1, 1)</f>
        <v>0</v>
      </c>
      <c r="M273" s="128">
        <f ca="1">IF(OFFSET('IWP09'!UnitsOfServicePeriod1, 1, 9, 1, 1) = "", 0, OFFSET('IWP09'!UnitsOfServicePeriod1, 1, 9, 1, 1))</f>
        <v>0</v>
      </c>
      <c r="N273" s="128">
        <f ca="1">OFFSET('IWP09'!UnitsOfServicePeriod1, 1, 10, 1, 1)</f>
        <v>0</v>
      </c>
      <c r="O273" s="128">
        <f ca="1">IF(OFFSET('IWP09'!UnitsOfServicePeriod1, 1, 11, 1, 1) = "", 0, OFFSET('IWP09'!UnitsOfServicePeriod1, 1, 11, 1, 1))</f>
        <v>0</v>
      </c>
      <c r="P273" s="128">
        <f ca="1">OFFSET('IWP09'!UnitsOfServicePeriod1, 1, 12, 1, 1)</f>
        <v>0</v>
      </c>
      <c r="Q273" s="128">
        <f ca="1">IF(OFFSET('IWP09'!UnitsOfServicePeriod1, 1, 13, 1, 1) = "", 0, OFFSET('IWP09'!UnitsOfServicePeriod1, 1, 13, 1, 1))</f>
        <v>0</v>
      </c>
      <c r="R273" s="128">
        <f ca="1">OFFSET('IWP09'!UnitsOfServicePeriod1, 1, 14, 1, 1)</f>
        <v>0</v>
      </c>
      <c r="S273" s="128">
        <f ca="1">IF(OFFSET('IWP09'!UnitsOfServicePeriod1, 1, 15, 1, 1) = "", 0, OFFSET('IWP09'!UnitsOfServicePeriod1, 1, 15, 1, 1))</f>
        <v>0</v>
      </c>
      <c r="T273" s="128">
        <f ca="1">IF(OFFSET('IWP09'!UnitsOfServicePeriod1, 1, 16, 1, 1) = "", 0, OFFSET('IWP09'!UnitsOfServicePeriod1, 1, 16, 1, 1))</f>
        <v>0</v>
      </c>
      <c r="U273" s="128">
        <f ca="1">OFFSET('IWP09'!UnitsOfServicePeriod1, 1, 17, 1, 1)</f>
        <v>0</v>
      </c>
      <c r="V273" s="128">
        <f ca="1">IF(OFFSET('IWP09'!UnitsOfServicePeriod1, 1, 19, 1, 1) = "", 0, OFFSET('IWP09'!UnitsOfServicePeriod1, 1, 19, 1, 1))</f>
        <v>0</v>
      </c>
      <c r="W273" s="128">
        <f ca="1">OFFSET('IWP09'!UnitsOfServicePeriod1, 1, 20, 1, 1)</f>
        <v>0</v>
      </c>
      <c r="X273" s="128">
        <f ca="1">IF(OFFSET('IWP09'!UnitsOfServicePeriod1, 1, 21, 1, 1) = "", 0, OFFSET('IWP09'!UnitsOfServicePeriod1, 1, 21, 1, 1))</f>
        <v>0</v>
      </c>
      <c r="Y273" s="137">
        <f ca="1">OFFSET('IWP09'!UnitsOfServicePeriod1, 1, 22, 1, 1)</f>
        <v>0</v>
      </c>
    </row>
    <row r="274" spans="1:25">
      <c r="A274" s="125" t="s">
        <v>482</v>
      </c>
      <c r="B274" s="128">
        <v>1</v>
      </c>
      <c r="C274" s="128">
        <v>3</v>
      </c>
      <c r="D274" s="107">
        <f ca="1">IF(OFFSET('IWP09'!UnitsOfServicePeriod1, 2, 0, 1, 1)=DATE(1900,1,0), DATE(1900,1,1),OFFSET('IWP09'!UnitsOfServicePeriod1, 2, 0, 1, 1))</f>
        <v>1</v>
      </c>
      <c r="E274" s="107">
        <f ca="1">IF(OFFSET('IWP09'!UnitsOfServicePeriod1, 2, 1, 1, 1)=DATE(1900,1,0), DATE(1900,1,1),OFFSET('IWP09'!UnitsOfServicePeriod1, 2, 1, 1, 1))</f>
        <v>1</v>
      </c>
      <c r="F274" s="128">
        <f ca="1">OFFSET('IWP09'!UnitsOfServicePeriod1, 2, 2, 1, 1)</f>
        <v>0</v>
      </c>
      <c r="G274" s="128">
        <f ca="1">IF(OFFSET('IWP09'!UnitsOfServicePeriod1, 2, 3, 1, 1) = "", 0, OFFSET('IWP09'!UnitsOfServicePeriod1, 2, 3, 1, 1))</f>
        <v>0</v>
      </c>
      <c r="H274" s="128">
        <f ca="1">OFFSET('IWP09'!UnitsOfServicePeriod1, 2, 4, 1, 1)</f>
        <v>0</v>
      </c>
      <c r="I274" s="128">
        <f ca="1">IF(OFFSET('IWP09'!UnitsOfServicePeriod1, 2, 5, 1, 1) = "", 0, OFFSET('IWP09'!UnitsOfServicePeriod1, 2, 5, 1, 1))</f>
        <v>0</v>
      </c>
      <c r="J274" s="128">
        <f ca="1">OFFSET('IWP09'!UnitsOfServicePeriod1, 2, 6, 1, 1)</f>
        <v>0</v>
      </c>
      <c r="K274" s="128">
        <f ca="1">IF(OFFSET('IWP09'!UnitsOfServicePeriod1, 2, 7, 1, 1) = "", 0, OFFSET('IWP09'!UnitsOfServicePeriod1, 2, 7, 1, 1))</f>
        <v>0</v>
      </c>
      <c r="L274" s="128">
        <f ca="1">OFFSET('IWP09'!UnitsOfServicePeriod1, 2, 8, 1, 1)</f>
        <v>0</v>
      </c>
      <c r="M274" s="128">
        <f ca="1">IF(OFFSET('IWP09'!UnitsOfServicePeriod1, 2, 9, 1, 1) = "", 0, OFFSET('IWP09'!UnitsOfServicePeriod1, 2, 9, 1, 1))</f>
        <v>0</v>
      </c>
      <c r="N274" s="128">
        <f ca="1">OFFSET('IWP09'!UnitsOfServicePeriod1, 2, 10, 1, 1)</f>
        <v>0</v>
      </c>
      <c r="O274" s="128">
        <f ca="1">IF(OFFSET('IWP09'!UnitsOfServicePeriod1, 2, 11, 1, 1) = "", 0, OFFSET('IWP09'!UnitsOfServicePeriod1, 2, 11, 1, 1))</f>
        <v>0</v>
      </c>
      <c r="P274" s="128">
        <f ca="1">OFFSET('IWP09'!UnitsOfServicePeriod1, 2, 12, 1, 1)</f>
        <v>0</v>
      </c>
      <c r="Q274" s="128">
        <f ca="1">IF(OFFSET('IWP09'!UnitsOfServicePeriod1, 2, 13, 1, 1) = "", 0, OFFSET('IWP09'!UnitsOfServicePeriod1, 2, 13, 1, 1))</f>
        <v>0</v>
      </c>
      <c r="R274" s="128">
        <f ca="1">OFFSET('IWP09'!UnitsOfServicePeriod1, 2, 14, 1, 1)</f>
        <v>0</v>
      </c>
      <c r="S274" s="128">
        <f ca="1">IF(OFFSET('IWP09'!UnitsOfServicePeriod1, 2, 15, 1, 1) = "", 0, OFFSET('IWP09'!UnitsOfServicePeriod1, 2, 15, 1, 1))</f>
        <v>0</v>
      </c>
      <c r="T274" s="128">
        <f ca="1">IF(OFFSET('IWP09'!UnitsOfServicePeriod1, 2, 16, 1, 1) = "", 0, OFFSET('IWP09'!UnitsOfServicePeriod1, 2, 16, 1, 1))</f>
        <v>0</v>
      </c>
      <c r="U274" s="128">
        <f ca="1">OFFSET('IWP09'!UnitsOfServicePeriod1, 2, 17, 1, 1)</f>
        <v>0</v>
      </c>
      <c r="V274" s="128">
        <f ca="1">IF(OFFSET('IWP09'!UnitsOfServicePeriod1, 2, 19, 1, 1) = "", 0, OFFSET('IWP09'!UnitsOfServicePeriod1, 2, 19, 1, 1))</f>
        <v>0</v>
      </c>
      <c r="W274" s="128">
        <f ca="1">OFFSET('IWP09'!UnitsOfServicePeriod1, 2, 20, 1, 1)</f>
        <v>0</v>
      </c>
      <c r="X274" s="128">
        <f ca="1">IF(OFFSET('IWP09'!UnitsOfServicePeriod1, 2, 21, 1, 1) = "", 0, OFFSET('IWP09'!UnitsOfServicePeriod1, 2, 21, 1, 1))</f>
        <v>0</v>
      </c>
      <c r="Y274" s="137">
        <f ca="1">OFFSET('IWP09'!UnitsOfServicePeriod1, 2, 22, 1, 1)</f>
        <v>0</v>
      </c>
    </row>
    <row r="275" spans="1:25">
      <c r="A275" s="125" t="s">
        <v>482</v>
      </c>
      <c r="B275" s="128">
        <v>1</v>
      </c>
      <c r="C275" s="128">
        <v>4</v>
      </c>
      <c r="D275" s="107">
        <f ca="1">IF(OFFSET('IWP09'!UnitsOfServicePeriod1, 3, 0, 1, 1)=DATE(1900,1,0), DATE(1900,1,1),OFFSET('IWP09'!UnitsOfServicePeriod1, 3, 0, 1, 1))</f>
        <v>1</v>
      </c>
      <c r="E275" s="107">
        <f ca="1">IF(OFFSET('IWP09'!UnitsOfServicePeriod1, 3, 1, 1, 1)=DATE(1900,1,0), DATE(1900,1,1),OFFSET('IWP09'!UnitsOfServicePeriod1, 3, 1, 1, 1))</f>
        <v>1</v>
      </c>
      <c r="F275" s="128">
        <f ca="1">OFFSET('IWP09'!UnitsOfServicePeriod1, 3, 2, 1, 1)</f>
        <v>0</v>
      </c>
      <c r="G275" s="128">
        <f ca="1">IF(OFFSET('IWP09'!UnitsOfServicePeriod1, 3, 3, 1, 1) = "", 0, OFFSET('IWP09'!UnitsOfServicePeriod1, 3, 3, 1, 1))</f>
        <v>0</v>
      </c>
      <c r="H275" s="128">
        <f ca="1">OFFSET('IWP09'!UnitsOfServicePeriod1, 3, 4, 1, 1)</f>
        <v>0</v>
      </c>
      <c r="I275" s="128">
        <f ca="1">IF(OFFSET('IWP09'!UnitsOfServicePeriod1, 3, 5, 1, 1) = "", 0, OFFSET('IWP09'!UnitsOfServicePeriod1, 3, 5, 1, 1))</f>
        <v>0</v>
      </c>
      <c r="J275" s="128">
        <f ca="1">OFFSET('IWP09'!UnitsOfServicePeriod1, 3, 6, 1, 1)</f>
        <v>0</v>
      </c>
      <c r="K275" s="128">
        <f ca="1">IF(OFFSET('IWP09'!UnitsOfServicePeriod1, 3, 7, 1, 1) = "", 0, OFFSET('IWP09'!UnitsOfServicePeriod1, 3, 7, 1, 1))</f>
        <v>0</v>
      </c>
      <c r="L275" s="128">
        <f ca="1">OFFSET('IWP09'!UnitsOfServicePeriod1, 3, 8, 1, 1)</f>
        <v>0</v>
      </c>
      <c r="M275" s="128">
        <f ca="1">IF(OFFSET('IWP09'!UnitsOfServicePeriod1, 3, 9, 1, 1) = "", 0, OFFSET('IWP09'!UnitsOfServicePeriod1, 3, 9, 1, 1))</f>
        <v>0</v>
      </c>
      <c r="N275" s="128">
        <f ca="1">OFFSET('IWP09'!UnitsOfServicePeriod1, 3, 10, 1, 1)</f>
        <v>0</v>
      </c>
      <c r="O275" s="128">
        <f ca="1">IF(OFFSET('IWP09'!UnitsOfServicePeriod1, 3, 11, 1, 1) = "", 0, OFFSET('IWP09'!UnitsOfServicePeriod1, 3, 11, 1, 1))</f>
        <v>0</v>
      </c>
      <c r="P275" s="128">
        <f ca="1">OFFSET('IWP09'!UnitsOfServicePeriod1, 3, 12, 1, 1)</f>
        <v>0</v>
      </c>
      <c r="Q275" s="128">
        <f ca="1">IF(OFFSET('IWP09'!UnitsOfServicePeriod1, 3, 13, 1, 1) = "", 0, OFFSET('IWP09'!UnitsOfServicePeriod1, 3, 13, 1, 1))</f>
        <v>0</v>
      </c>
      <c r="R275" s="128">
        <f ca="1">OFFSET('IWP09'!UnitsOfServicePeriod1, 3, 14, 1, 1)</f>
        <v>0</v>
      </c>
      <c r="S275" s="128">
        <f ca="1">IF(OFFSET('IWP09'!UnitsOfServicePeriod1, 3, 15, 1, 1) = "", 0, OFFSET('IWP09'!UnitsOfServicePeriod1, 3, 15, 1, 1))</f>
        <v>0</v>
      </c>
      <c r="T275" s="128">
        <f ca="1">IF(OFFSET('IWP09'!UnitsOfServicePeriod1, 3, 16, 1, 1) = "", 0, OFFSET('IWP09'!UnitsOfServicePeriod1, 3, 16, 1, 1))</f>
        <v>0</v>
      </c>
      <c r="U275" s="128">
        <f ca="1">OFFSET('IWP09'!UnitsOfServicePeriod1, 3, 17, 1, 1)</f>
        <v>0</v>
      </c>
      <c r="V275" s="128">
        <f ca="1">IF(OFFSET('IWP09'!UnitsOfServicePeriod1, 3, 19, 1, 1) = "", 0, OFFSET('IWP09'!UnitsOfServicePeriod1, 3, 19, 1, 1))</f>
        <v>0</v>
      </c>
      <c r="W275" s="128">
        <f ca="1">OFFSET('IWP09'!UnitsOfServicePeriod1, 3, 20, 1, 1)</f>
        <v>0</v>
      </c>
      <c r="X275" s="128">
        <f ca="1">IF(OFFSET('IWP09'!UnitsOfServicePeriod1, 3, 21, 1, 1) = "", 0, OFFSET('IWP09'!UnitsOfServicePeriod1, 3, 21, 1, 1))</f>
        <v>0</v>
      </c>
      <c r="Y275" s="137">
        <f ca="1">OFFSET('IWP09'!UnitsOfServicePeriod1, 3, 22, 1, 1)</f>
        <v>0</v>
      </c>
    </row>
    <row r="276" spans="1:25">
      <c r="A276" s="125" t="s">
        <v>482</v>
      </c>
      <c r="B276" s="128">
        <v>1</v>
      </c>
      <c r="C276" s="128">
        <v>5</v>
      </c>
      <c r="D276" s="107">
        <f ca="1">IF(OFFSET('IWP09'!UnitsOfServicePeriod1, 4, 0, 1, 1)=DATE(1900,1,0), DATE(1900,1,1),OFFSET('IWP09'!UnitsOfServicePeriod1, 4, 0, 1, 1))</f>
        <v>1</v>
      </c>
      <c r="E276" s="107">
        <f ca="1">IF(OFFSET('IWP09'!UnitsOfServicePeriod1, 4, 1, 1, 1)=DATE(1900,1,0), DATE(1900,1,1),OFFSET('IWP09'!UnitsOfServicePeriod1, 4, 1, 1, 1))</f>
        <v>1</v>
      </c>
      <c r="F276" s="128">
        <f ca="1">OFFSET('IWP09'!UnitsOfServicePeriod1, 4, 2, 1, 1)</f>
        <v>0</v>
      </c>
      <c r="G276" s="128">
        <f ca="1">IF(OFFSET('IWP09'!UnitsOfServicePeriod1, 4, 3, 1, 1) = "", 0, OFFSET('IWP09'!UnitsOfServicePeriod1, 4, 3, 1, 1))</f>
        <v>0</v>
      </c>
      <c r="H276" s="128">
        <f ca="1">OFFSET('IWP09'!UnitsOfServicePeriod1, 4, 4, 1, 1)</f>
        <v>0</v>
      </c>
      <c r="I276" s="128">
        <f ca="1">IF(OFFSET('IWP09'!UnitsOfServicePeriod1, 4, 5, 1, 1) = "", 0, OFFSET('IWP09'!UnitsOfServicePeriod1, 4, 5, 1, 1))</f>
        <v>0</v>
      </c>
      <c r="J276" s="128">
        <f ca="1">OFFSET('IWP09'!UnitsOfServicePeriod1, 4, 6, 1, 1)</f>
        <v>0</v>
      </c>
      <c r="K276" s="128">
        <f ca="1">IF(OFFSET('IWP09'!UnitsOfServicePeriod1, 4, 7, 1, 1) = "", 0, OFFSET('IWP09'!UnitsOfServicePeriod1, 4, 7, 1, 1))</f>
        <v>0</v>
      </c>
      <c r="L276" s="128">
        <f ca="1">OFFSET('IWP09'!UnitsOfServicePeriod1, 4, 8, 1, 1)</f>
        <v>0</v>
      </c>
      <c r="M276" s="128">
        <f ca="1">IF(OFFSET('IWP09'!UnitsOfServicePeriod1, 4, 9, 1, 1) = "", 0, OFFSET('IWP09'!UnitsOfServicePeriod1, 4, 9, 1, 1))</f>
        <v>0</v>
      </c>
      <c r="N276" s="128">
        <f ca="1">OFFSET('IWP09'!UnitsOfServicePeriod1, 4, 10, 1, 1)</f>
        <v>0</v>
      </c>
      <c r="O276" s="128">
        <f ca="1">IF(OFFSET('IWP09'!UnitsOfServicePeriod1, 4, 11, 1, 1) = "", 0, OFFSET('IWP09'!UnitsOfServicePeriod1, 4, 11, 1, 1))</f>
        <v>0</v>
      </c>
      <c r="P276" s="128">
        <f ca="1">OFFSET('IWP09'!UnitsOfServicePeriod1, 4, 12, 1, 1)</f>
        <v>0</v>
      </c>
      <c r="Q276" s="128">
        <f ca="1">IF(OFFSET('IWP09'!UnitsOfServicePeriod1, 4, 13, 1, 1) = "", 0, OFFSET('IWP09'!UnitsOfServicePeriod1, 4, 13, 1, 1))</f>
        <v>0</v>
      </c>
      <c r="R276" s="128">
        <f ca="1">OFFSET('IWP09'!UnitsOfServicePeriod1, 4, 14, 1, 1)</f>
        <v>0</v>
      </c>
      <c r="S276" s="128">
        <f ca="1">IF(OFFSET('IWP09'!UnitsOfServicePeriod1, 4, 15, 1, 1) = "", 0, OFFSET('IWP09'!UnitsOfServicePeriod1, 4, 15, 1, 1))</f>
        <v>0</v>
      </c>
      <c r="T276" s="128">
        <f ca="1">IF(OFFSET('IWP09'!UnitsOfServicePeriod1, 4, 16, 1, 1) = "", 0, OFFSET('IWP09'!UnitsOfServicePeriod1, 4, 16, 1, 1))</f>
        <v>0</v>
      </c>
      <c r="U276" s="128">
        <f ca="1">OFFSET('IWP09'!UnitsOfServicePeriod1, 4, 17, 1, 1)</f>
        <v>0</v>
      </c>
      <c r="V276" s="128">
        <f ca="1">IF(OFFSET('IWP09'!UnitsOfServicePeriod1, 4, 19, 1, 1) = "", 0, OFFSET('IWP09'!UnitsOfServicePeriod1, 4, 19, 1, 1))</f>
        <v>0</v>
      </c>
      <c r="W276" s="128">
        <f ca="1">OFFSET('IWP09'!UnitsOfServicePeriod1, 4, 20, 1, 1)</f>
        <v>0</v>
      </c>
      <c r="X276" s="128">
        <f ca="1">IF(OFFSET('IWP09'!UnitsOfServicePeriod1, 4, 21, 1, 1) = "", 0, OFFSET('IWP09'!UnitsOfServicePeriod1, 4, 21, 1, 1))</f>
        <v>0</v>
      </c>
      <c r="Y276" s="137">
        <f ca="1">OFFSET('IWP09'!UnitsOfServicePeriod1, 4, 22, 1, 1)</f>
        <v>0</v>
      </c>
    </row>
    <row r="277" spans="1:25">
      <c r="A277" s="125" t="s">
        <v>482</v>
      </c>
      <c r="B277" s="128">
        <v>1</v>
      </c>
      <c r="C277" s="128">
        <v>6</v>
      </c>
      <c r="D277" s="107">
        <f ca="1">IF(OFFSET('IWP09'!UnitsOfServicePeriod1, 5, 0, 1, 1)=DATE(1900,1,0), DATE(1900,1,1),OFFSET('IWP09'!UnitsOfServicePeriod1, 5, 0, 1, 1))</f>
        <v>1</v>
      </c>
      <c r="E277" s="107">
        <f ca="1">IF(OFFSET('IWP09'!UnitsOfServicePeriod1, 5, 1, 1, 1)=DATE(1900,1,0), DATE(1900,1,1),OFFSET('IWP09'!UnitsOfServicePeriod1, 5, 1, 1, 1))</f>
        <v>1</v>
      </c>
      <c r="F277" s="128">
        <f ca="1">OFFSET('IWP09'!UnitsOfServicePeriod1, 5, 2, 1, 1)</f>
        <v>0</v>
      </c>
      <c r="G277" s="128">
        <f ca="1">IF(OFFSET('IWP09'!UnitsOfServicePeriod1, 5, 3, 1, 1) = "", 0, OFFSET('IWP09'!UnitsOfServicePeriod1, 5, 3, 1, 1))</f>
        <v>0</v>
      </c>
      <c r="H277" s="128">
        <f ca="1">OFFSET('IWP09'!UnitsOfServicePeriod1, 5, 4, 1, 1)</f>
        <v>0</v>
      </c>
      <c r="I277" s="128">
        <f ca="1">IF(OFFSET('IWP09'!UnitsOfServicePeriod1, 5, 5, 1, 1) = "", 0, OFFSET('IWP09'!UnitsOfServicePeriod1, 5, 5, 1, 1))</f>
        <v>0</v>
      </c>
      <c r="J277" s="128">
        <f ca="1">OFFSET('IWP09'!UnitsOfServicePeriod1, 5, 6, 1, 1)</f>
        <v>0</v>
      </c>
      <c r="K277" s="128">
        <f ca="1">IF(OFFSET('IWP09'!UnitsOfServicePeriod1, 5, 7, 1, 1) = "", 0, OFFSET('IWP09'!UnitsOfServicePeriod1, 5, 7, 1, 1))</f>
        <v>0</v>
      </c>
      <c r="L277" s="128">
        <f ca="1">OFFSET('IWP09'!UnitsOfServicePeriod1, 5, 8, 1, 1)</f>
        <v>0</v>
      </c>
      <c r="M277" s="128">
        <f ca="1">IF(OFFSET('IWP09'!UnitsOfServicePeriod1, 5, 9, 1, 1) = "", 0, OFFSET('IWP09'!UnitsOfServicePeriod1, 5, 9, 1, 1))</f>
        <v>0</v>
      </c>
      <c r="N277" s="128">
        <f ca="1">OFFSET('IWP09'!UnitsOfServicePeriod1, 5, 10, 1, 1)</f>
        <v>0</v>
      </c>
      <c r="O277" s="128">
        <f ca="1">IF(OFFSET('IWP09'!UnitsOfServicePeriod1, 5, 11, 1, 1) = "", 0, OFFSET('IWP09'!UnitsOfServicePeriod1, 5, 11, 1, 1))</f>
        <v>0</v>
      </c>
      <c r="P277" s="128">
        <f ca="1">OFFSET('IWP09'!UnitsOfServicePeriod1, 5, 12, 1, 1)</f>
        <v>0</v>
      </c>
      <c r="Q277" s="128">
        <f ca="1">IF(OFFSET('IWP09'!UnitsOfServicePeriod1, 5, 13, 1, 1) = "", 0, OFFSET('IWP09'!UnitsOfServicePeriod1, 5, 13, 1, 1))</f>
        <v>0</v>
      </c>
      <c r="R277" s="128">
        <f ca="1">OFFSET('IWP09'!UnitsOfServicePeriod1, 5, 14, 1, 1)</f>
        <v>0</v>
      </c>
      <c r="S277" s="128">
        <f ca="1">IF(OFFSET('IWP09'!UnitsOfServicePeriod1, 5, 15, 1, 1) = "", 0, OFFSET('IWP09'!UnitsOfServicePeriod1, 5, 15, 1, 1))</f>
        <v>0</v>
      </c>
      <c r="T277" s="128">
        <f ca="1">IF(OFFSET('IWP09'!UnitsOfServicePeriod1, 5, 16, 1, 1) = "", 0, OFFSET('IWP09'!UnitsOfServicePeriod1, 5, 16, 1, 1))</f>
        <v>0</v>
      </c>
      <c r="U277" s="128">
        <f ca="1">OFFSET('IWP09'!UnitsOfServicePeriod1, 5, 17, 1, 1)</f>
        <v>0</v>
      </c>
      <c r="V277" s="128">
        <f ca="1">IF(OFFSET('IWP09'!UnitsOfServicePeriod1, 5, 19, 1, 1) = "", 0, OFFSET('IWP09'!UnitsOfServicePeriod1, 5, 19, 1, 1))</f>
        <v>0</v>
      </c>
      <c r="W277" s="128">
        <f ca="1">OFFSET('IWP09'!UnitsOfServicePeriod1, 5, 20, 1, 1)</f>
        <v>0</v>
      </c>
      <c r="X277" s="128">
        <f ca="1">IF(OFFSET('IWP09'!UnitsOfServicePeriod1, 5, 21, 1, 1) = "", 0, OFFSET('IWP09'!UnitsOfServicePeriod1, 5, 21, 1, 1))</f>
        <v>0</v>
      </c>
      <c r="Y277" s="137">
        <f ca="1">OFFSET('IWP09'!UnitsOfServicePeriod1, 5, 22, 1, 1)</f>
        <v>0</v>
      </c>
    </row>
    <row r="278" spans="1:25">
      <c r="A278" s="125" t="s">
        <v>482</v>
      </c>
      <c r="B278" s="128">
        <v>2</v>
      </c>
      <c r="C278" s="128">
        <v>1</v>
      </c>
      <c r="D278" s="107">
        <f ca="1">IF(OFFSET('IWP09'!UnitsOfServicePeriod2, 0, 0, 1, 1)=DATE(1900,1,0), DATE(1900,1,1),OFFSET('IWP09'!UnitsOfServicePeriod2, 0, 0, 1, 1))</f>
        <v>1</v>
      </c>
      <c r="E278" s="107">
        <f ca="1">IF(OFFSET('IWP09'!UnitsOfServicePeriod2, 0, 1, 1, 1)=DATE(1900,1,0), DATE(1900,1,1),OFFSET('IWP09'!UnitsOfServicePeriod2, 0, 1, 1, 1))</f>
        <v>1</v>
      </c>
      <c r="F278" s="128">
        <f ca="1">OFFSET('IWP09'!UnitsOfServicePeriod2, 0, 2, 1, 1)</f>
        <v>0</v>
      </c>
      <c r="G278" s="128">
        <f ca="1">IF(OFFSET('IWP09'!UnitsOfServicePeriod2, 0, 3, 1, 1) = "", 0, OFFSET('IWP09'!UnitsOfServicePeriod2, 0, 3, 1, 1))</f>
        <v>0</v>
      </c>
      <c r="H278" s="128">
        <f ca="1">OFFSET('IWP09'!UnitsOfServicePeriod2, 0, 4, 1, 1)</f>
        <v>0</v>
      </c>
      <c r="I278" s="128">
        <f ca="1">IF(OFFSET('IWP09'!UnitsOfServicePeriod2, 0, 5, 1, 1) = "", 0, OFFSET('IWP09'!UnitsOfServicePeriod2, 0, 5, 1, 1))</f>
        <v>0</v>
      </c>
      <c r="J278" s="128">
        <f ca="1">OFFSET('IWP09'!UnitsOfServicePeriod2, 0, 6, 1, 1)</f>
        <v>0</v>
      </c>
      <c r="K278" s="128">
        <f ca="1">IF(OFFSET('IWP09'!UnitsOfServicePeriod2, 0, 7, 1, 1) = "", 0, OFFSET('IWP09'!UnitsOfServicePeriod2, 0, 7, 1, 1))</f>
        <v>0</v>
      </c>
      <c r="L278" s="128">
        <f ca="1">OFFSET('IWP09'!UnitsOfServicePeriod2, 0, 8, 1, 1)</f>
        <v>0</v>
      </c>
      <c r="M278" s="128">
        <f ca="1">IF(OFFSET('IWP09'!UnitsOfServicePeriod2, 0, 9, 1, 1) = "", 0, OFFSET('IWP09'!UnitsOfServicePeriod2, 0, 9, 1, 1))</f>
        <v>0</v>
      </c>
      <c r="N278" s="128">
        <f ca="1">OFFSET('IWP09'!UnitsOfServicePeriod2, 0, 10, 1, 1)</f>
        <v>0</v>
      </c>
      <c r="O278" s="128">
        <f ca="1">IF(OFFSET('IWP09'!UnitsOfServicePeriod2, 0, 11, 1, 1) = "", 0, OFFSET('IWP09'!UnitsOfServicePeriod2, 0, 11, 1, 1))</f>
        <v>0</v>
      </c>
      <c r="P278" s="128">
        <f ca="1">OFFSET('IWP09'!UnitsOfServicePeriod2, 0, 12, 1, 1)</f>
        <v>0</v>
      </c>
      <c r="Q278" s="128">
        <f ca="1">IF(OFFSET('IWP09'!UnitsOfServicePeriod2, 0, 13, 1, 1) = "", 0, OFFSET('IWP09'!UnitsOfServicePeriod2, 0, 13, 1, 1))</f>
        <v>0</v>
      </c>
      <c r="R278" s="128">
        <f ca="1">OFFSET('IWP09'!UnitsOfServicePeriod2, 0, 14, 1, 1)</f>
        <v>0</v>
      </c>
      <c r="S278" s="128">
        <f ca="1">IF(OFFSET('IWP09'!UnitsOfServicePeriod2, 0, 15, 1, 1) = "", 0, OFFSET('IWP09'!UnitsOfServicePeriod2, 0, 15, 1, 1))</f>
        <v>0</v>
      </c>
      <c r="T278" s="128">
        <f ca="1">IF(OFFSET('IWP09'!UnitsOfServicePeriod2, 0, 16, 1, 1) = "", 0, OFFSET('IWP09'!UnitsOfServicePeriod2, 0, 16, 1, 1))</f>
        <v>0</v>
      </c>
      <c r="U278" s="128">
        <f ca="1">OFFSET('IWP09'!UnitsOfServicePeriod2, 0, 17, 1, 1)</f>
        <v>0</v>
      </c>
      <c r="V278" s="128">
        <f ca="1">IF(OFFSET('IWP09'!UnitsOfServicePeriod2, 0, 19, 1, 1) = "", 0, OFFSET('IWP09'!UnitsOfServicePeriod2, 0, 19, 1, 1))</f>
        <v>0</v>
      </c>
      <c r="W278" s="128">
        <f ca="1">OFFSET('IWP09'!UnitsOfServicePeriod2, 0, 20, 1, 1)</f>
        <v>0</v>
      </c>
      <c r="X278" s="128">
        <f ca="1">IF(OFFSET('IWP09'!UnitsOfServicePeriod2, 0, 21, 1, 1) = "", 0, OFFSET('IWP09'!UnitsOfServicePeriod2, 0, 21, 1, 1))</f>
        <v>0</v>
      </c>
      <c r="Y278" s="137">
        <f ca="1">OFFSET('IWP09'!UnitsOfServicePeriod2, 0, 22, 1, 1)</f>
        <v>0</v>
      </c>
    </row>
    <row r="279" spans="1:25">
      <c r="A279" s="125" t="s">
        <v>482</v>
      </c>
      <c r="B279" s="128">
        <v>2</v>
      </c>
      <c r="C279" s="128">
        <v>2</v>
      </c>
      <c r="D279" s="107">
        <f ca="1">IF(OFFSET('IWP09'!UnitsOfServicePeriod2, 1, 0, 1, 1)=DATE(1900,1,0), DATE(1900,1,1),OFFSET('IWP09'!UnitsOfServicePeriod2, 1, 0, 1, 1))</f>
        <v>1</v>
      </c>
      <c r="E279" s="107">
        <f ca="1">IF(OFFSET('IWP09'!UnitsOfServicePeriod2, 1, 1, 1, 1)=DATE(1900,1,0), DATE(1900,1,1),OFFSET('IWP09'!UnitsOfServicePeriod2, 1, 1, 1, 1))</f>
        <v>1</v>
      </c>
      <c r="F279" s="128">
        <f ca="1">OFFSET('IWP09'!UnitsOfServicePeriod2, 1, 2, 1, 1)</f>
        <v>0</v>
      </c>
      <c r="G279" s="128">
        <f ca="1">IF(OFFSET('IWP09'!UnitsOfServicePeriod2, 1, 3, 1, 1) = "", 0, OFFSET('IWP09'!UnitsOfServicePeriod2, 1, 3, 1, 1))</f>
        <v>0</v>
      </c>
      <c r="H279" s="128">
        <f ca="1">OFFSET('IWP09'!UnitsOfServicePeriod2, 1, 4, 1, 1)</f>
        <v>0</v>
      </c>
      <c r="I279" s="128">
        <f ca="1">IF(OFFSET('IWP09'!UnitsOfServicePeriod2, 1, 5, 1, 1) = "", 0, OFFSET('IWP09'!UnitsOfServicePeriod2, 1, 5, 1, 1))</f>
        <v>0</v>
      </c>
      <c r="J279" s="128">
        <f ca="1">OFFSET('IWP09'!UnitsOfServicePeriod2, 1, 6, 1, 1)</f>
        <v>0</v>
      </c>
      <c r="K279" s="128">
        <f ca="1">IF(OFFSET('IWP09'!UnitsOfServicePeriod2, 1, 7, 1, 1) = "", 0, OFFSET('IWP09'!UnitsOfServicePeriod2, 1, 7, 1, 1))</f>
        <v>0</v>
      </c>
      <c r="L279" s="128">
        <f ca="1">OFFSET('IWP09'!UnitsOfServicePeriod2, 1, 8, 1, 1)</f>
        <v>0</v>
      </c>
      <c r="M279" s="128">
        <f ca="1">IF(OFFSET('IWP09'!UnitsOfServicePeriod2, 1, 9, 1, 1) = "", 0, OFFSET('IWP09'!UnitsOfServicePeriod2, 1, 9, 1, 1))</f>
        <v>0</v>
      </c>
      <c r="N279" s="128">
        <f ca="1">OFFSET('IWP09'!UnitsOfServicePeriod2, 1, 10, 1, 1)</f>
        <v>0</v>
      </c>
      <c r="O279" s="128">
        <f ca="1">IF(OFFSET('IWP09'!UnitsOfServicePeriod2, 1, 11, 1, 1) = "", 0, OFFSET('IWP09'!UnitsOfServicePeriod2, 1, 11, 1, 1))</f>
        <v>0</v>
      </c>
      <c r="P279" s="128">
        <f ca="1">OFFSET('IWP09'!UnitsOfServicePeriod2, 1, 12, 1, 1)</f>
        <v>0</v>
      </c>
      <c r="Q279" s="128">
        <f ca="1">IF(OFFSET('IWP09'!UnitsOfServicePeriod2, 1, 13, 1, 1) = "", 0, OFFSET('IWP09'!UnitsOfServicePeriod2, 1, 13, 1, 1))</f>
        <v>0</v>
      </c>
      <c r="R279" s="128">
        <f ca="1">OFFSET('IWP09'!UnitsOfServicePeriod2, 1, 14, 1, 1)</f>
        <v>0</v>
      </c>
      <c r="S279" s="128">
        <f ca="1">IF(OFFSET('IWP09'!UnitsOfServicePeriod2, 1, 15, 1, 1) = "", 0, OFFSET('IWP09'!UnitsOfServicePeriod2, 1, 15, 1, 1))</f>
        <v>0</v>
      </c>
      <c r="T279" s="128">
        <f ca="1">IF(OFFSET('IWP09'!UnitsOfServicePeriod2, 1, 16, 1, 1) = "", 0, OFFSET('IWP09'!UnitsOfServicePeriod2, 1, 16, 1, 1))</f>
        <v>0</v>
      </c>
      <c r="U279" s="128">
        <f ca="1">OFFSET('IWP09'!UnitsOfServicePeriod2, 1, 17, 1, 1)</f>
        <v>0</v>
      </c>
      <c r="V279" s="128">
        <f ca="1">IF(OFFSET('IWP09'!UnitsOfServicePeriod2, 1, 19, 1, 1) = "", 0, OFFSET('IWP09'!UnitsOfServicePeriod2, 1, 19, 1, 1))</f>
        <v>0</v>
      </c>
      <c r="W279" s="128">
        <f ca="1">OFFSET('IWP09'!UnitsOfServicePeriod2, 1, 20, 1, 1)</f>
        <v>0</v>
      </c>
      <c r="X279" s="128">
        <f ca="1">IF(OFFSET('IWP09'!UnitsOfServicePeriod2, 1, 21, 1, 1) = "", 0, OFFSET('IWP09'!UnitsOfServicePeriod2, 1, 21, 1, 1))</f>
        <v>0</v>
      </c>
      <c r="Y279" s="137">
        <f ca="1">OFFSET('IWP09'!UnitsOfServicePeriod2, 1, 22, 1, 1)</f>
        <v>0</v>
      </c>
    </row>
    <row r="280" spans="1:25">
      <c r="A280" s="125" t="s">
        <v>482</v>
      </c>
      <c r="B280" s="128">
        <v>2</v>
      </c>
      <c r="C280" s="128">
        <v>3</v>
      </c>
      <c r="D280" s="107">
        <f ca="1">IF(OFFSET('IWP09'!UnitsOfServicePeriod2, 2, 0, 1, 1)=DATE(1900,1,0), DATE(1900,1,1),OFFSET('IWP09'!UnitsOfServicePeriod2, 2, 0, 1, 1))</f>
        <v>1</v>
      </c>
      <c r="E280" s="107">
        <f ca="1">IF(OFFSET('IWP09'!UnitsOfServicePeriod2, 2, 1, 1, 1)=DATE(1900,1,0), DATE(1900,1,1),OFFSET('IWP09'!UnitsOfServicePeriod2, 2, 1, 1, 1))</f>
        <v>1</v>
      </c>
      <c r="F280" s="128">
        <f ca="1">OFFSET('IWP09'!UnitsOfServicePeriod2, 2, 2, 1, 1)</f>
        <v>0</v>
      </c>
      <c r="G280" s="128">
        <f ca="1">IF(OFFSET('IWP09'!UnitsOfServicePeriod2, 2, 3, 1, 1) = "", 0, OFFSET('IWP09'!UnitsOfServicePeriod2, 2, 3, 1, 1))</f>
        <v>0</v>
      </c>
      <c r="H280" s="128">
        <f ca="1">OFFSET('IWP09'!UnitsOfServicePeriod2, 2, 4, 1, 1)</f>
        <v>0</v>
      </c>
      <c r="I280" s="128">
        <f ca="1">IF(OFFSET('IWP09'!UnitsOfServicePeriod2, 2, 5, 1, 1) = "", 0, OFFSET('IWP09'!UnitsOfServicePeriod2, 2, 5, 1, 1))</f>
        <v>0</v>
      </c>
      <c r="J280" s="128">
        <f ca="1">OFFSET('IWP09'!UnitsOfServicePeriod2, 2, 6, 1, 1)</f>
        <v>0</v>
      </c>
      <c r="K280" s="128">
        <f ca="1">IF(OFFSET('IWP09'!UnitsOfServicePeriod2, 2, 7, 1, 1) = "", 0, OFFSET('IWP09'!UnitsOfServicePeriod2, 2, 7, 1, 1))</f>
        <v>0</v>
      </c>
      <c r="L280" s="128">
        <f ca="1">OFFSET('IWP09'!UnitsOfServicePeriod2, 2, 8, 1, 1)</f>
        <v>0</v>
      </c>
      <c r="M280" s="128">
        <f ca="1">IF(OFFSET('IWP09'!UnitsOfServicePeriod2, 2, 9, 1, 1) = "", 0, OFFSET('IWP09'!UnitsOfServicePeriod2, 2, 9, 1, 1))</f>
        <v>0</v>
      </c>
      <c r="N280" s="128">
        <f ca="1">OFFSET('IWP09'!UnitsOfServicePeriod2, 2, 10, 1, 1)</f>
        <v>0</v>
      </c>
      <c r="O280" s="128">
        <f ca="1">IF(OFFSET('IWP09'!UnitsOfServicePeriod2, 2, 11, 1, 1) = "", 0, OFFSET('IWP09'!UnitsOfServicePeriod2, 2, 11, 1, 1))</f>
        <v>0</v>
      </c>
      <c r="P280" s="128">
        <f ca="1">OFFSET('IWP09'!UnitsOfServicePeriod2, 2, 12, 1, 1)</f>
        <v>0</v>
      </c>
      <c r="Q280" s="128">
        <f ca="1">IF(OFFSET('IWP09'!UnitsOfServicePeriod2, 2, 13, 1, 1) = "", 0, OFFSET('IWP09'!UnitsOfServicePeriod2, 2, 13, 1, 1))</f>
        <v>0</v>
      </c>
      <c r="R280" s="128">
        <f ca="1">OFFSET('IWP09'!UnitsOfServicePeriod2, 2, 14, 1, 1)</f>
        <v>0</v>
      </c>
      <c r="S280" s="128">
        <f ca="1">IF(OFFSET('IWP09'!UnitsOfServicePeriod2, 2, 15, 1, 1) = "", 0, OFFSET('IWP09'!UnitsOfServicePeriod2, 2, 15, 1, 1))</f>
        <v>0</v>
      </c>
      <c r="T280" s="128">
        <f ca="1">IF(OFFSET('IWP09'!UnitsOfServicePeriod2, 2, 16, 1, 1) = "", 0, OFFSET('IWP09'!UnitsOfServicePeriod2, 2, 16, 1, 1))</f>
        <v>0</v>
      </c>
      <c r="U280" s="128">
        <f ca="1">OFFSET('IWP09'!UnitsOfServicePeriod2, 2, 17, 1, 1)</f>
        <v>0</v>
      </c>
      <c r="V280" s="128">
        <f ca="1">IF(OFFSET('IWP09'!UnitsOfServicePeriod2, 2, 19, 1, 1) = "", 0, OFFSET('IWP09'!UnitsOfServicePeriod2, 2, 19, 1, 1))</f>
        <v>0</v>
      </c>
      <c r="W280" s="128">
        <f ca="1">OFFSET('IWP09'!UnitsOfServicePeriod2, 2, 20, 1, 1)</f>
        <v>0</v>
      </c>
      <c r="X280" s="128">
        <f ca="1">IF(OFFSET('IWP09'!UnitsOfServicePeriod2, 2, 21, 1, 1) = "", 0, OFFSET('IWP09'!UnitsOfServicePeriod2, 2, 21, 1, 1))</f>
        <v>0</v>
      </c>
      <c r="Y280" s="137">
        <f ca="1">OFFSET('IWP09'!UnitsOfServicePeriod2, 2, 22, 1, 1)</f>
        <v>0</v>
      </c>
    </row>
    <row r="281" spans="1:25">
      <c r="A281" s="125" t="s">
        <v>482</v>
      </c>
      <c r="B281" s="128">
        <v>2</v>
      </c>
      <c r="C281" s="128">
        <v>4</v>
      </c>
      <c r="D281" s="107">
        <f ca="1">IF(OFFSET('IWP09'!UnitsOfServicePeriod2, 3, 0, 1, 1)=DATE(1900,1,0), DATE(1900,1,1),OFFSET('IWP09'!UnitsOfServicePeriod2, 3, 0, 1, 1))</f>
        <v>1</v>
      </c>
      <c r="E281" s="107">
        <f ca="1">IF(OFFSET('IWP09'!UnitsOfServicePeriod2, 3, 1, 1, 1)=DATE(1900,1,0), DATE(1900,1,1),OFFSET('IWP09'!UnitsOfServicePeriod2, 3, 1, 1, 1))</f>
        <v>1</v>
      </c>
      <c r="F281" s="128">
        <f ca="1">OFFSET('IWP09'!UnitsOfServicePeriod2, 3, 2, 1, 1)</f>
        <v>0</v>
      </c>
      <c r="G281" s="128">
        <f ca="1">IF(OFFSET('IWP09'!UnitsOfServicePeriod2, 3, 3, 1, 1) = "", 0, OFFSET('IWP09'!UnitsOfServicePeriod2, 3, 3, 1, 1))</f>
        <v>0</v>
      </c>
      <c r="H281" s="128">
        <f ca="1">OFFSET('IWP09'!UnitsOfServicePeriod2, 3, 4, 1, 1)</f>
        <v>0</v>
      </c>
      <c r="I281" s="128">
        <f ca="1">IF(OFFSET('IWP09'!UnitsOfServicePeriod2, 3, 5, 1, 1) = "", 0, OFFSET('IWP09'!UnitsOfServicePeriod2, 3, 5, 1, 1))</f>
        <v>0</v>
      </c>
      <c r="J281" s="128">
        <f ca="1">OFFSET('IWP09'!UnitsOfServicePeriod2, 3, 6, 1, 1)</f>
        <v>0</v>
      </c>
      <c r="K281" s="128">
        <f ca="1">IF(OFFSET('IWP09'!UnitsOfServicePeriod2, 3, 7, 1, 1) = "", 0, OFFSET('IWP09'!UnitsOfServicePeriod2, 3, 7, 1, 1))</f>
        <v>0</v>
      </c>
      <c r="L281" s="128">
        <f ca="1">OFFSET('IWP09'!UnitsOfServicePeriod2, 3, 8, 1, 1)</f>
        <v>0</v>
      </c>
      <c r="M281" s="128">
        <f ca="1">IF(OFFSET('IWP09'!UnitsOfServicePeriod2, 3, 9, 1, 1) = "", 0, OFFSET('IWP09'!UnitsOfServicePeriod2, 3, 9, 1, 1))</f>
        <v>0</v>
      </c>
      <c r="N281" s="128">
        <f ca="1">OFFSET('IWP09'!UnitsOfServicePeriod2, 3, 10, 1, 1)</f>
        <v>0</v>
      </c>
      <c r="O281" s="128">
        <f ca="1">IF(OFFSET('IWP09'!UnitsOfServicePeriod2, 3, 11, 1, 1) = "", 0, OFFSET('IWP09'!UnitsOfServicePeriod2, 3, 11, 1, 1))</f>
        <v>0</v>
      </c>
      <c r="P281" s="128">
        <f ca="1">OFFSET('IWP09'!UnitsOfServicePeriod2, 3, 12, 1, 1)</f>
        <v>0</v>
      </c>
      <c r="Q281" s="128">
        <f ca="1">IF(OFFSET('IWP09'!UnitsOfServicePeriod2, 3, 13, 1, 1) = "", 0, OFFSET('IWP09'!UnitsOfServicePeriod2, 3, 13, 1, 1))</f>
        <v>0</v>
      </c>
      <c r="R281" s="128">
        <f ca="1">OFFSET('IWP09'!UnitsOfServicePeriod2, 3, 14, 1, 1)</f>
        <v>0</v>
      </c>
      <c r="S281" s="128">
        <f ca="1">IF(OFFSET('IWP09'!UnitsOfServicePeriod2, 3, 15, 1, 1) = "", 0, OFFSET('IWP09'!UnitsOfServicePeriod2, 3, 15, 1, 1))</f>
        <v>0</v>
      </c>
      <c r="T281" s="128">
        <f ca="1">IF(OFFSET('IWP09'!UnitsOfServicePeriod2, 3, 16, 1, 1) = "", 0, OFFSET('IWP09'!UnitsOfServicePeriod2, 3, 16, 1, 1))</f>
        <v>0</v>
      </c>
      <c r="U281" s="128">
        <f ca="1">OFFSET('IWP09'!UnitsOfServicePeriod2, 3, 17, 1, 1)</f>
        <v>0</v>
      </c>
      <c r="V281" s="128">
        <f ca="1">IF(OFFSET('IWP09'!UnitsOfServicePeriod2, 3, 19, 1, 1) = "", 0, OFFSET('IWP09'!UnitsOfServicePeriod2, 3, 19, 1, 1))</f>
        <v>0</v>
      </c>
      <c r="W281" s="128">
        <f ca="1">OFFSET('IWP09'!UnitsOfServicePeriod2, 3, 20, 1, 1)</f>
        <v>0</v>
      </c>
      <c r="X281" s="128">
        <f ca="1">IF(OFFSET('IWP09'!UnitsOfServicePeriod2, 3, 21, 1, 1) = "", 0, OFFSET('IWP09'!UnitsOfServicePeriod2, 3, 21, 1, 1))</f>
        <v>0</v>
      </c>
      <c r="Y281" s="137">
        <f ca="1">OFFSET('IWP09'!UnitsOfServicePeriod2, 3, 22, 1, 1)</f>
        <v>0</v>
      </c>
    </row>
    <row r="282" spans="1:25">
      <c r="A282" s="125" t="s">
        <v>482</v>
      </c>
      <c r="B282" s="128">
        <v>2</v>
      </c>
      <c r="C282" s="128">
        <v>5</v>
      </c>
      <c r="D282" s="107">
        <f ca="1">IF(OFFSET('IWP09'!UnitsOfServicePeriod2, 4, 0, 1, 1)=DATE(1900,1,0), DATE(1900,1,1),OFFSET('IWP09'!UnitsOfServicePeriod2, 4, 0, 1, 1))</f>
        <v>1</v>
      </c>
      <c r="E282" s="107">
        <f ca="1">IF(OFFSET('IWP09'!UnitsOfServicePeriod2, 4, 1, 1, 1)=DATE(1900,1,0), DATE(1900,1,1),OFFSET('IWP09'!UnitsOfServicePeriod2, 4, 1, 1, 1))</f>
        <v>1</v>
      </c>
      <c r="F282" s="128">
        <f ca="1">OFFSET('IWP09'!UnitsOfServicePeriod2, 4, 2, 1, 1)</f>
        <v>0</v>
      </c>
      <c r="G282" s="128">
        <f ca="1">IF(OFFSET('IWP09'!UnitsOfServicePeriod2, 4, 3, 1, 1) = "", 0, OFFSET('IWP09'!UnitsOfServicePeriod2, 4, 3, 1, 1))</f>
        <v>0</v>
      </c>
      <c r="H282" s="128">
        <f ca="1">OFFSET('IWP09'!UnitsOfServicePeriod2, 4, 4, 1, 1)</f>
        <v>0</v>
      </c>
      <c r="I282" s="128">
        <f ca="1">IF(OFFSET('IWP09'!UnitsOfServicePeriod2, 4, 5, 1, 1) = "", 0, OFFSET('IWP09'!UnitsOfServicePeriod2, 4, 5, 1, 1))</f>
        <v>0</v>
      </c>
      <c r="J282" s="128">
        <f ca="1">OFFSET('IWP09'!UnitsOfServicePeriod2, 4, 6, 1, 1)</f>
        <v>0</v>
      </c>
      <c r="K282" s="128">
        <f ca="1">IF(OFFSET('IWP09'!UnitsOfServicePeriod2, 4, 7, 1, 1) = "", 0, OFFSET('IWP09'!UnitsOfServicePeriod2, 4, 7, 1, 1))</f>
        <v>0</v>
      </c>
      <c r="L282" s="128">
        <f ca="1">OFFSET('IWP09'!UnitsOfServicePeriod2, 4, 8, 1, 1)</f>
        <v>0</v>
      </c>
      <c r="M282" s="128">
        <f ca="1">IF(OFFSET('IWP09'!UnitsOfServicePeriod2, 4, 9, 1, 1) = "", 0, OFFSET('IWP09'!UnitsOfServicePeriod2, 4, 9, 1, 1))</f>
        <v>0</v>
      </c>
      <c r="N282" s="128">
        <f ca="1">OFFSET('IWP09'!UnitsOfServicePeriod2, 4, 10, 1, 1)</f>
        <v>0</v>
      </c>
      <c r="O282" s="128">
        <f ca="1">IF(OFFSET('IWP09'!UnitsOfServicePeriod2, 4, 11, 1, 1) = "", 0, OFFSET('IWP09'!UnitsOfServicePeriod2, 4, 11, 1, 1))</f>
        <v>0</v>
      </c>
      <c r="P282" s="128">
        <f ca="1">OFFSET('IWP09'!UnitsOfServicePeriod2, 4, 12, 1, 1)</f>
        <v>0</v>
      </c>
      <c r="Q282" s="128">
        <f ca="1">IF(OFFSET('IWP09'!UnitsOfServicePeriod2, 4, 13, 1, 1) = "", 0, OFFSET('IWP09'!UnitsOfServicePeriod2, 4, 13, 1, 1))</f>
        <v>0</v>
      </c>
      <c r="R282" s="128">
        <f ca="1">OFFSET('IWP09'!UnitsOfServicePeriod2, 4, 14, 1, 1)</f>
        <v>0</v>
      </c>
      <c r="S282" s="128">
        <f ca="1">IF(OFFSET('IWP09'!UnitsOfServicePeriod2, 4, 15, 1, 1) = "", 0, OFFSET('IWP09'!UnitsOfServicePeriod2, 4, 15, 1, 1))</f>
        <v>0</v>
      </c>
      <c r="T282" s="128">
        <f ca="1">IF(OFFSET('IWP09'!UnitsOfServicePeriod2, 4, 16, 1, 1) = "", 0, OFFSET('IWP09'!UnitsOfServicePeriod2, 4, 16, 1, 1))</f>
        <v>0</v>
      </c>
      <c r="U282" s="128">
        <f ca="1">OFFSET('IWP09'!UnitsOfServicePeriod2, 4, 17, 1, 1)</f>
        <v>0</v>
      </c>
      <c r="V282" s="128">
        <f ca="1">IF(OFFSET('IWP09'!UnitsOfServicePeriod2, 4, 19, 1, 1) = "", 0, OFFSET('IWP09'!UnitsOfServicePeriod2, 4, 19, 1, 1))</f>
        <v>0</v>
      </c>
      <c r="W282" s="128">
        <f ca="1">OFFSET('IWP09'!UnitsOfServicePeriod2, 4, 20, 1, 1)</f>
        <v>0</v>
      </c>
      <c r="X282" s="128">
        <f ca="1">IF(OFFSET('IWP09'!UnitsOfServicePeriod2, 4, 21, 1, 1) = "", 0, OFFSET('IWP09'!UnitsOfServicePeriod2, 4, 21, 1, 1))</f>
        <v>0</v>
      </c>
      <c r="Y282" s="137">
        <f ca="1">OFFSET('IWP09'!UnitsOfServicePeriod2, 4, 22, 1, 1)</f>
        <v>0</v>
      </c>
    </row>
    <row r="283" spans="1:25">
      <c r="A283" s="125" t="s">
        <v>482</v>
      </c>
      <c r="B283" s="128">
        <v>2</v>
      </c>
      <c r="C283" s="128">
        <v>6</v>
      </c>
      <c r="D283" s="107">
        <f ca="1">IF(OFFSET('IWP09'!UnitsOfServicePeriod2, 5, 0, 1, 1)=DATE(1900,1,0), DATE(1900,1,1),OFFSET('IWP09'!UnitsOfServicePeriod2, 5, 0, 1, 1))</f>
        <v>1</v>
      </c>
      <c r="E283" s="107">
        <f ca="1">IF(OFFSET('IWP09'!UnitsOfServicePeriod2, 5, 1, 1, 1)=DATE(1900,1,0), DATE(1900,1,1),OFFSET('IWP09'!UnitsOfServicePeriod2, 5, 1, 1, 1))</f>
        <v>1</v>
      </c>
      <c r="F283" s="128">
        <f ca="1">OFFSET('IWP09'!UnitsOfServicePeriod2, 5, 2, 1, 1)</f>
        <v>0</v>
      </c>
      <c r="G283" s="128">
        <f ca="1">IF(OFFSET('IWP09'!UnitsOfServicePeriod2, 5, 3, 1, 1) = "", 0, OFFSET('IWP09'!UnitsOfServicePeriod2, 5, 3, 1, 1))</f>
        <v>0</v>
      </c>
      <c r="H283" s="128">
        <f ca="1">OFFSET('IWP09'!UnitsOfServicePeriod2, 5, 4, 1, 1)</f>
        <v>0</v>
      </c>
      <c r="I283" s="128">
        <f ca="1">IF(OFFSET('IWP09'!UnitsOfServicePeriod2, 5, 5, 1, 1) = "", 0, OFFSET('IWP09'!UnitsOfServicePeriod2, 5, 5, 1, 1))</f>
        <v>0</v>
      </c>
      <c r="J283" s="128">
        <f ca="1">OFFSET('IWP09'!UnitsOfServicePeriod2, 5, 6, 1, 1)</f>
        <v>0</v>
      </c>
      <c r="K283" s="128">
        <f ca="1">IF(OFFSET('IWP09'!UnitsOfServicePeriod2, 5, 7, 1, 1) = "", 0, OFFSET('IWP09'!UnitsOfServicePeriod2, 5, 7, 1, 1))</f>
        <v>0</v>
      </c>
      <c r="L283" s="128">
        <f ca="1">OFFSET('IWP09'!UnitsOfServicePeriod2, 5, 8, 1, 1)</f>
        <v>0</v>
      </c>
      <c r="M283" s="128">
        <f ca="1">IF(OFFSET('IWP09'!UnitsOfServicePeriod2, 5, 9, 1, 1) = "", 0, OFFSET('IWP09'!UnitsOfServicePeriod2, 5, 9, 1, 1))</f>
        <v>0</v>
      </c>
      <c r="N283" s="128">
        <f ca="1">OFFSET('IWP09'!UnitsOfServicePeriod2, 5, 10, 1, 1)</f>
        <v>0</v>
      </c>
      <c r="O283" s="128">
        <f ca="1">IF(OFFSET('IWP09'!UnitsOfServicePeriod2, 5, 11, 1, 1) = "", 0, OFFSET('IWP09'!UnitsOfServicePeriod2, 5, 11, 1, 1))</f>
        <v>0</v>
      </c>
      <c r="P283" s="128">
        <f ca="1">OFFSET('IWP09'!UnitsOfServicePeriod2, 5, 12, 1, 1)</f>
        <v>0</v>
      </c>
      <c r="Q283" s="128">
        <f ca="1">IF(OFFSET('IWP09'!UnitsOfServicePeriod2, 5, 13, 1, 1) = "", 0, OFFSET('IWP09'!UnitsOfServicePeriod2, 5, 13, 1, 1))</f>
        <v>0</v>
      </c>
      <c r="R283" s="128">
        <f ca="1">OFFSET('IWP09'!UnitsOfServicePeriod2, 5, 14, 1, 1)</f>
        <v>0</v>
      </c>
      <c r="S283" s="128">
        <f ca="1">IF(OFFSET('IWP09'!UnitsOfServicePeriod2, 5, 15, 1, 1) = "", 0, OFFSET('IWP09'!UnitsOfServicePeriod2, 5, 15, 1, 1))</f>
        <v>0</v>
      </c>
      <c r="T283" s="128">
        <f ca="1">IF(OFFSET('IWP09'!UnitsOfServicePeriod2, 5, 16, 1, 1) = "", 0, OFFSET('IWP09'!UnitsOfServicePeriod2, 5, 16, 1, 1))</f>
        <v>0</v>
      </c>
      <c r="U283" s="128">
        <f ca="1">OFFSET('IWP09'!UnitsOfServicePeriod2, 5, 17, 1, 1)</f>
        <v>0</v>
      </c>
      <c r="V283" s="128">
        <f ca="1">IF(OFFSET('IWP09'!UnitsOfServicePeriod2, 5, 19, 1, 1) = "", 0, OFFSET('IWP09'!UnitsOfServicePeriod2, 5, 19, 1, 1))</f>
        <v>0</v>
      </c>
      <c r="W283" s="128">
        <f ca="1">OFFSET('IWP09'!UnitsOfServicePeriod2, 5, 20, 1, 1)</f>
        <v>0</v>
      </c>
      <c r="X283" s="128">
        <f ca="1">IF(OFFSET('IWP09'!UnitsOfServicePeriod2, 5, 21, 1, 1) = "", 0, OFFSET('IWP09'!UnitsOfServicePeriod2, 5, 21, 1, 1))</f>
        <v>0</v>
      </c>
      <c r="Y283" s="137">
        <f ca="1">OFFSET('IWP09'!UnitsOfServicePeriod2, 5, 22, 1, 1)</f>
        <v>0</v>
      </c>
    </row>
    <row r="284" spans="1:25">
      <c r="A284" s="125" t="s">
        <v>483</v>
      </c>
      <c r="B284" s="128">
        <v>1</v>
      </c>
      <c r="C284" s="128">
        <v>1</v>
      </c>
      <c r="D284" s="107">
        <f ca="1">IF(OFFSET('IWP10'!UnitsOfServicePeriod1, 0, 0, 1, 1)=DATE(1900,1,0), DATE(1900,1,1),OFFSET('IWP10'!UnitsOfServicePeriod1, 0, 0, 1, 1))</f>
        <v>1</v>
      </c>
      <c r="E284" s="107">
        <f ca="1">IF(OFFSET('IWP10'!UnitsOfServicePeriod1, 0, 1, 1, 1)=DATE(1900,1,0), DATE(1900,1,1),OFFSET('IWP10'!UnitsOfServicePeriod1, 0, 1, 1, 1))</f>
        <v>1</v>
      </c>
      <c r="F284" s="128">
        <f ca="1">OFFSET('IWP10'!UnitsOfServicePeriod1, 0, 2, 1, 1)</f>
        <v>0</v>
      </c>
      <c r="G284" s="128">
        <f ca="1">IF(OFFSET('IWP10'!UnitsOfServicePeriod1, 0, 3, 1, 1) = "", 0, OFFSET('IWP10'!UnitsOfServicePeriod1, 0, 3, 1, 1))</f>
        <v>0</v>
      </c>
      <c r="H284" s="128">
        <f ca="1">OFFSET('IWP10'!UnitsOfServicePeriod1, 0, 4, 1, 1)</f>
        <v>0</v>
      </c>
      <c r="I284" s="128">
        <f ca="1">IF(OFFSET('IWP10'!UnitsOfServicePeriod1, 0, 5, 1, 1) = "", 0, OFFSET('IWP10'!UnitsOfServicePeriod1, 0, 5, 1, 1))</f>
        <v>0</v>
      </c>
      <c r="J284" s="128">
        <f ca="1">OFFSET('IWP10'!UnitsOfServicePeriod1, 0, 6, 1, 1)</f>
        <v>0</v>
      </c>
      <c r="K284" s="128">
        <f ca="1">IF(OFFSET('IWP10'!UnitsOfServicePeriod1, 0, 7, 1, 1) = "", 0, OFFSET('IWP10'!UnitsOfServicePeriod1, 0, 7, 1, 1))</f>
        <v>0</v>
      </c>
      <c r="L284" s="128">
        <f ca="1">OFFSET('IWP10'!UnitsOfServicePeriod1, 0, 8, 1, 1)</f>
        <v>0</v>
      </c>
      <c r="M284" s="128">
        <f ca="1">IF(OFFSET('IWP10'!UnitsOfServicePeriod1, 0, 9, 1, 1) = "", 0, OFFSET('IWP10'!UnitsOfServicePeriod1, 0, 9, 1, 1))</f>
        <v>0</v>
      </c>
      <c r="N284" s="128">
        <f ca="1">OFFSET('IWP10'!UnitsOfServicePeriod1, 0, 10, 1, 1)</f>
        <v>0</v>
      </c>
      <c r="O284" s="128">
        <f ca="1">IF(OFFSET('IWP10'!UnitsOfServicePeriod1, 0, 11, 1, 1) = "", 0, OFFSET('IWP10'!UnitsOfServicePeriod1, 0, 11, 1, 1))</f>
        <v>0</v>
      </c>
      <c r="P284" s="128">
        <f ca="1">OFFSET('IWP10'!UnitsOfServicePeriod1, 0, 12, 1, 1)</f>
        <v>0</v>
      </c>
      <c r="Q284" s="128">
        <f ca="1">IF(OFFSET('IWP10'!UnitsOfServicePeriod1, 0, 13, 1, 1) = "", 0, OFFSET('IWP10'!UnitsOfServicePeriod1, 0, 13, 1, 1))</f>
        <v>0</v>
      </c>
      <c r="R284" s="128">
        <f ca="1">OFFSET('IWP10'!UnitsOfServicePeriod1, 0, 14, 1, 1)</f>
        <v>0</v>
      </c>
      <c r="S284" s="128">
        <f ca="1">IF(OFFSET('IWP10'!UnitsOfServicePeriod1, 0, 15, 1, 1) = "", 0, OFFSET('IWP10'!UnitsOfServicePeriod1, 0, 15, 1, 1))</f>
        <v>0</v>
      </c>
      <c r="T284" s="128">
        <f ca="1">IF(OFFSET('IWP10'!UnitsOfServicePeriod1, 0, 16, 1, 1) = "", 0, OFFSET('IWP10'!UnitsOfServicePeriod1, 0, 16, 1, 1))</f>
        <v>0</v>
      </c>
      <c r="U284" s="128">
        <f ca="1">OFFSET('IWP10'!UnitsOfServicePeriod1, 0, 17, 1, 1)</f>
        <v>0</v>
      </c>
      <c r="V284" s="128">
        <f ca="1">IF(OFFSET('IWP10'!UnitsOfServicePeriod1, 0, 19, 1, 1) = "", 0, OFFSET('IWP10'!UnitsOfServicePeriod1, 0, 19, 1, 1))</f>
        <v>0</v>
      </c>
      <c r="W284" s="128">
        <f ca="1">OFFSET('IWP10'!UnitsOfServicePeriod1, 0, 20, 1, 1)</f>
        <v>0</v>
      </c>
      <c r="X284" s="128">
        <f ca="1">IF(OFFSET('IWP10'!UnitsOfServicePeriod1, 0, 21, 1, 1) = "", 0, OFFSET('IWP10'!UnitsOfServicePeriod1, 0, 21, 1, 1))</f>
        <v>0</v>
      </c>
      <c r="Y284" s="137">
        <f ca="1">OFFSET('IWP10'!UnitsOfServicePeriod1, 0, 22, 1, 1)</f>
        <v>0</v>
      </c>
    </row>
    <row r="285" spans="1:25">
      <c r="A285" s="125" t="s">
        <v>483</v>
      </c>
      <c r="B285" s="128">
        <v>1</v>
      </c>
      <c r="C285" s="128">
        <v>2</v>
      </c>
      <c r="D285" s="107">
        <f ca="1">IF(OFFSET('IWP10'!UnitsOfServicePeriod1, 1, 0, 1, 1)=DATE(1900,1,0), DATE(1900,1,1),OFFSET('IWP10'!UnitsOfServicePeriod1, 1, 0, 1, 1))</f>
        <v>1</v>
      </c>
      <c r="E285" s="107">
        <f ca="1">IF(OFFSET('IWP10'!UnitsOfServicePeriod1, 1, 1, 1, 1)=DATE(1900,1,0), DATE(1900,1,1),OFFSET('IWP10'!UnitsOfServicePeriod1, 1, 1, 1, 1))</f>
        <v>1</v>
      </c>
      <c r="F285" s="128">
        <f ca="1">OFFSET('IWP10'!UnitsOfServicePeriod1, 1, 2, 1, 1)</f>
        <v>0</v>
      </c>
      <c r="G285" s="128">
        <f ca="1">IF(OFFSET('IWP10'!UnitsOfServicePeriod1, 1, 3, 1, 1) = "", 0, OFFSET('IWP10'!UnitsOfServicePeriod1, 1, 3, 1, 1))</f>
        <v>0</v>
      </c>
      <c r="H285" s="128">
        <f ca="1">OFFSET('IWP10'!UnitsOfServicePeriod1, 1, 4, 1, 1)</f>
        <v>0</v>
      </c>
      <c r="I285" s="128">
        <f ca="1">IF(OFFSET('IWP10'!UnitsOfServicePeriod1, 1, 5, 1, 1) = "", 0, OFFSET('IWP10'!UnitsOfServicePeriod1, 1, 5, 1, 1))</f>
        <v>0</v>
      </c>
      <c r="J285" s="128">
        <f ca="1">OFFSET('IWP10'!UnitsOfServicePeriod1, 1, 6, 1, 1)</f>
        <v>0</v>
      </c>
      <c r="K285" s="128">
        <f ca="1">IF(OFFSET('IWP10'!UnitsOfServicePeriod1, 1, 7, 1, 1) = "", 0, OFFSET('IWP10'!UnitsOfServicePeriod1, 1, 7, 1, 1))</f>
        <v>0</v>
      </c>
      <c r="L285" s="128">
        <f ca="1">OFFSET('IWP10'!UnitsOfServicePeriod1, 1, 8, 1, 1)</f>
        <v>0</v>
      </c>
      <c r="M285" s="128">
        <f ca="1">IF(OFFSET('IWP10'!UnitsOfServicePeriod1, 1, 9, 1, 1) = "", 0, OFFSET('IWP10'!UnitsOfServicePeriod1, 1, 9, 1, 1))</f>
        <v>0</v>
      </c>
      <c r="N285" s="128">
        <f ca="1">OFFSET('IWP10'!UnitsOfServicePeriod1, 1, 10, 1, 1)</f>
        <v>0</v>
      </c>
      <c r="O285" s="128">
        <f ca="1">IF(OFFSET('IWP10'!UnitsOfServicePeriod1, 1, 11, 1, 1) = "", 0, OFFSET('IWP10'!UnitsOfServicePeriod1, 1, 11, 1, 1))</f>
        <v>0</v>
      </c>
      <c r="P285" s="128">
        <f ca="1">OFFSET('IWP10'!UnitsOfServicePeriod1, 1, 12, 1, 1)</f>
        <v>0</v>
      </c>
      <c r="Q285" s="128">
        <f ca="1">IF(OFFSET('IWP10'!UnitsOfServicePeriod1, 1, 13, 1, 1) = "", 0, OFFSET('IWP10'!UnitsOfServicePeriod1, 1, 13, 1, 1))</f>
        <v>0</v>
      </c>
      <c r="R285" s="128">
        <f ca="1">OFFSET('IWP10'!UnitsOfServicePeriod1, 1, 14, 1, 1)</f>
        <v>0</v>
      </c>
      <c r="S285" s="128">
        <f ca="1">IF(OFFSET('IWP10'!UnitsOfServicePeriod1, 1, 15, 1, 1) = "", 0, OFFSET('IWP10'!UnitsOfServicePeriod1, 1, 15, 1, 1))</f>
        <v>0</v>
      </c>
      <c r="T285" s="128">
        <f ca="1">IF(OFFSET('IWP10'!UnitsOfServicePeriod1, 1, 16, 1, 1) = "", 0, OFFSET('IWP10'!UnitsOfServicePeriod1, 1, 16, 1, 1))</f>
        <v>0</v>
      </c>
      <c r="U285" s="128">
        <f ca="1">OFFSET('IWP10'!UnitsOfServicePeriod1, 1, 17, 1, 1)</f>
        <v>0</v>
      </c>
      <c r="V285" s="128">
        <f ca="1">IF(OFFSET('IWP10'!UnitsOfServicePeriod1, 1, 19, 1, 1) = "", 0, OFFSET('IWP10'!UnitsOfServicePeriod1, 1, 19, 1, 1))</f>
        <v>0</v>
      </c>
      <c r="W285" s="128">
        <f ca="1">OFFSET('IWP10'!UnitsOfServicePeriod1, 1, 20, 1, 1)</f>
        <v>0</v>
      </c>
      <c r="X285" s="128">
        <f ca="1">IF(OFFSET('IWP10'!UnitsOfServicePeriod1, 1, 21, 1, 1) = "", 0, OFFSET('IWP10'!UnitsOfServicePeriod1, 1, 21, 1, 1))</f>
        <v>0</v>
      </c>
      <c r="Y285" s="137">
        <f ca="1">OFFSET('IWP10'!UnitsOfServicePeriod1, 1, 22, 1, 1)</f>
        <v>0</v>
      </c>
    </row>
    <row r="286" spans="1:25">
      <c r="A286" s="125" t="s">
        <v>483</v>
      </c>
      <c r="B286" s="128">
        <v>1</v>
      </c>
      <c r="C286" s="128">
        <v>3</v>
      </c>
      <c r="D286" s="107">
        <f ca="1">IF(OFFSET('IWP10'!UnitsOfServicePeriod1, 2, 0, 1, 1)=DATE(1900,1,0), DATE(1900,1,1),OFFSET('IWP10'!UnitsOfServicePeriod1, 2, 0, 1, 1))</f>
        <v>1</v>
      </c>
      <c r="E286" s="107">
        <f ca="1">IF(OFFSET('IWP10'!UnitsOfServicePeriod1, 2, 1, 1, 1)=DATE(1900,1,0), DATE(1900,1,1),OFFSET('IWP10'!UnitsOfServicePeriod1, 2, 1, 1, 1))</f>
        <v>1</v>
      </c>
      <c r="F286" s="128">
        <f ca="1">OFFSET('IWP10'!UnitsOfServicePeriod1, 2, 2, 1, 1)</f>
        <v>0</v>
      </c>
      <c r="G286" s="128">
        <f ca="1">IF(OFFSET('IWP10'!UnitsOfServicePeriod1, 2, 3, 1, 1) = "", 0, OFFSET('IWP10'!UnitsOfServicePeriod1, 2, 3, 1, 1))</f>
        <v>0</v>
      </c>
      <c r="H286" s="128">
        <f ca="1">OFFSET('IWP10'!UnitsOfServicePeriod1, 2, 4, 1, 1)</f>
        <v>0</v>
      </c>
      <c r="I286" s="128">
        <f ca="1">IF(OFFSET('IWP10'!UnitsOfServicePeriod1, 2, 5, 1, 1) = "", 0, OFFSET('IWP10'!UnitsOfServicePeriod1, 2, 5, 1, 1))</f>
        <v>0</v>
      </c>
      <c r="J286" s="128">
        <f ca="1">OFFSET('IWP10'!UnitsOfServicePeriod1, 2, 6, 1, 1)</f>
        <v>0</v>
      </c>
      <c r="K286" s="128">
        <f ca="1">IF(OFFSET('IWP10'!UnitsOfServicePeriod1, 2, 7, 1, 1) = "", 0, OFFSET('IWP10'!UnitsOfServicePeriod1, 2, 7, 1, 1))</f>
        <v>0</v>
      </c>
      <c r="L286" s="128">
        <f ca="1">OFFSET('IWP10'!UnitsOfServicePeriod1, 2, 8, 1, 1)</f>
        <v>0</v>
      </c>
      <c r="M286" s="128">
        <f ca="1">IF(OFFSET('IWP10'!UnitsOfServicePeriod1, 2, 9, 1, 1) = "", 0, OFFSET('IWP10'!UnitsOfServicePeriod1, 2, 9, 1, 1))</f>
        <v>0</v>
      </c>
      <c r="N286" s="128">
        <f ca="1">OFFSET('IWP10'!UnitsOfServicePeriod1, 2, 10, 1, 1)</f>
        <v>0</v>
      </c>
      <c r="O286" s="128">
        <f ca="1">IF(OFFSET('IWP10'!UnitsOfServicePeriod1, 2, 11, 1, 1) = "", 0, OFFSET('IWP10'!UnitsOfServicePeriod1, 2, 11, 1, 1))</f>
        <v>0</v>
      </c>
      <c r="P286" s="128">
        <f ca="1">OFFSET('IWP10'!UnitsOfServicePeriod1, 2, 12, 1, 1)</f>
        <v>0</v>
      </c>
      <c r="Q286" s="128">
        <f ca="1">IF(OFFSET('IWP10'!UnitsOfServicePeriod1, 2, 13, 1, 1) = "", 0, OFFSET('IWP10'!UnitsOfServicePeriod1, 2, 13, 1, 1))</f>
        <v>0</v>
      </c>
      <c r="R286" s="128">
        <f ca="1">OFFSET('IWP10'!UnitsOfServicePeriod1, 2, 14, 1, 1)</f>
        <v>0</v>
      </c>
      <c r="S286" s="128">
        <f ca="1">IF(OFFSET('IWP10'!UnitsOfServicePeriod1, 2, 15, 1, 1) = "", 0, OFFSET('IWP10'!UnitsOfServicePeriod1, 2, 15, 1, 1))</f>
        <v>0</v>
      </c>
      <c r="T286" s="128">
        <f ca="1">IF(OFFSET('IWP10'!UnitsOfServicePeriod1, 2, 16, 1, 1) = "", 0, OFFSET('IWP10'!UnitsOfServicePeriod1, 2, 16, 1, 1))</f>
        <v>0</v>
      </c>
      <c r="U286" s="128">
        <f ca="1">OFFSET('IWP10'!UnitsOfServicePeriod1, 2, 17, 1, 1)</f>
        <v>0</v>
      </c>
      <c r="V286" s="128">
        <f ca="1">IF(OFFSET('IWP10'!UnitsOfServicePeriod1, 2, 19, 1, 1) = "", 0, OFFSET('IWP10'!UnitsOfServicePeriod1, 2, 19, 1, 1))</f>
        <v>0</v>
      </c>
      <c r="W286" s="128">
        <f ca="1">OFFSET('IWP10'!UnitsOfServicePeriod1, 2, 20, 1, 1)</f>
        <v>0</v>
      </c>
      <c r="X286" s="128">
        <f ca="1">IF(OFFSET('IWP10'!UnitsOfServicePeriod1, 2, 21, 1, 1) = "", 0, OFFSET('IWP10'!UnitsOfServicePeriod1, 2, 21, 1, 1))</f>
        <v>0</v>
      </c>
      <c r="Y286" s="137">
        <f ca="1">OFFSET('IWP10'!UnitsOfServicePeriod1, 2, 22, 1, 1)</f>
        <v>0</v>
      </c>
    </row>
    <row r="287" spans="1:25">
      <c r="A287" s="125" t="s">
        <v>483</v>
      </c>
      <c r="B287" s="128">
        <v>1</v>
      </c>
      <c r="C287" s="128">
        <v>4</v>
      </c>
      <c r="D287" s="107">
        <f ca="1">IF(OFFSET('IWP10'!UnitsOfServicePeriod1, 3, 0, 1, 1)=DATE(1900,1,0), DATE(1900,1,1),OFFSET('IWP10'!UnitsOfServicePeriod1, 3, 0, 1, 1))</f>
        <v>1</v>
      </c>
      <c r="E287" s="107">
        <f ca="1">IF(OFFSET('IWP10'!UnitsOfServicePeriod1, 3, 1, 1, 1)=DATE(1900,1,0), DATE(1900,1,1),OFFSET('IWP10'!UnitsOfServicePeriod1, 3, 1, 1, 1))</f>
        <v>1</v>
      </c>
      <c r="F287" s="128">
        <f ca="1">OFFSET('IWP10'!UnitsOfServicePeriod1, 3, 2, 1, 1)</f>
        <v>0</v>
      </c>
      <c r="G287" s="128">
        <f ca="1">IF(OFFSET('IWP10'!UnitsOfServicePeriod1, 3, 3, 1, 1) = "", 0, OFFSET('IWP10'!UnitsOfServicePeriod1, 3, 3, 1, 1))</f>
        <v>0</v>
      </c>
      <c r="H287" s="128">
        <f ca="1">OFFSET('IWP10'!UnitsOfServicePeriod1, 3, 4, 1, 1)</f>
        <v>0</v>
      </c>
      <c r="I287" s="128">
        <f ca="1">IF(OFFSET('IWP10'!UnitsOfServicePeriod1, 3, 5, 1, 1) = "", 0, OFFSET('IWP10'!UnitsOfServicePeriod1, 3, 5, 1, 1))</f>
        <v>0</v>
      </c>
      <c r="J287" s="128">
        <f ca="1">OFFSET('IWP10'!UnitsOfServicePeriod1, 3, 6, 1, 1)</f>
        <v>0</v>
      </c>
      <c r="K287" s="128">
        <f ca="1">IF(OFFSET('IWP10'!UnitsOfServicePeriod1, 3, 7, 1, 1) = "", 0, OFFSET('IWP10'!UnitsOfServicePeriod1, 3, 7, 1, 1))</f>
        <v>0</v>
      </c>
      <c r="L287" s="128">
        <f ca="1">OFFSET('IWP10'!UnitsOfServicePeriod1, 3, 8, 1, 1)</f>
        <v>0</v>
      </c>
      <c r="M287" s="128">
        <f ca="1">IF(OFFSET('IWP10'!UnitsOfServicePeriod1, 3, 9, 1, 1) = "", 0, OFFSET('IWP10'!UnitsOfServicePeriod1, 3, 9, 1, 1))</f>
        <v>0</v>
      </c>
      <c r="N287" s="128">
        <f ca="1">OFFSET('IWP10'!UnitsOfServicePeriod1, 3, 10, 1, 1)</f>
        <v>0</v>
      </c>
      <c r="O287" s="128">
        <f ca="1">IF(OFFSET('IWP10'!UnitsOfServicePeriod1, 3, 11, 1, 1) = "", 0, OFFSET('IWP10'!UnitsOfServicePeriod1, 3, 11, 1, 1))</f>
        <v>0</v>
      </c>
      <c r="P287" s="128">
        <f ca="1">OFFSET('IWP10'!UnitsOfServicePeriod1, 3, 12, 1, 1)</f>
        <v>0</v>
      </c>
      <c r="Q287" s="128">
        <f ca="1">IF(OFFSET('IWP10'!UnitsOfServicePeriod1, 3, 13, 1, 1) = "", 0, OFFSET('IWP10'!UnitsOfServicePeriod1, 3, 13, 1, 1))</f>
        <v>0</v>
      </c>
      <c r="R287" s="128">
        <f ca="1">OFFSET('IWP10'!UnitsOfServicePeriod1, 3, 14, 1, 1)</f>
        <v>0</v>
      </c>
      <c r="S287" s="128">
        <f ca="1">IF(OFFSET('IWP10'!UnitsOfServicePeriod1, 3, 15, 1, 1) = "", 0, OFFSET('IWP10'!UnitsOfServicePeriod1, 3, 15, 1, 1))</f>
        <v>0</v>
      </c>
      <c r="T287" s="128">
        <f ca="1">IF(OFFSET('IWP10'!UnitsOfServicePeriod1, 3, 16, 1, 1) = "", 0, OFFSET('IWP10'!UnitsOfServicePeriod1, 3, 16, 1, 1))</f>
        <v>0</v>
      </c>
      <c r="U287" s="128">
        <f ca="1">OFFSET('IWP10'!UnitsOfServicePeriod1, 3, 17, 1, 1)</f>
        <v>0</v>
      </c>
      <c r="V287" s="128">
        <f ca="1">IF(OFFSET('IWP10'!UnitsOfServicePeriod1, 3, 19, 1, 1) = "", 0, OFFSET('IWP10'!UnitsOfServicePeriod1, 3, 19, 1, 1))</f>
        <v>0</v>
      </c>
      <c r="W287" s="128">
        <f ca="1">OFFSET('IWP10'!UnitsOfServicePeriod1, 3, 20, 1, 1)</f>
        <v>0</v>
      </c>
      <c r="X287" s="128">
        <f ca="1">IF(OFFSET('IWP10'!UnitsOfServicePeriod1, 3, 21, 1, 1) = "", 0, OFFSET('IWP10'!UnitsOfServicePeriod1, 3, 21, 1, 1))</f>
        <v>0</v>
      </c>
      <c r="Y287" s="137">
        <f ca="1">OFFSET('IWP10'!UnitsOfServicePeriod1, 3, 22, 1, 1)</f>
        <v>0</v>
      </c>
    </row>
    <row r="288" spans="1:25">
      <c r="A288" s="125" t="s">
        <v>483</v>
      </c>
      <c r="B288" s="128">
        <v>1</v>
      </c>
      <c r="C288" s="128">
        <v>5</v>
      </c>
      <c r="D288" s="107">
        <f ca="1">IF(OFFSET('IWP10'!UnitsOfServicePeriod1, 4, 0, 1, 1)=DATE(1900,1,0), DATE(1900,1,1),OFFSET('IWP10'!UnitsOfServicePeriod1, 4, 0, 1, 1))</f>
        <v>1</v>
      </c>
      <c r="E288" s="107">
        <f ca="1">IF(OFFSET('IWP10'!UnitsOfServicePeriod1, 4, 1, 1, 1)=DATE(1900,1,0), DATE(1900,1,1),OFFSET('IWP10'!UnitsOfServicePeriod1, 4, 1, 1, 1))</f>
        <v>1</v>
      </c>
      <c r="F288" s="128">
        <f ca="1">OFFSET('IWP10'!UnitsOfServicePeriod1, 4, 2, 1, 1)</f>
        <v>0</v>
      </c>
      <c r="G288" s="128">
        <f ca="1">IF(OFFSET('IWP10'!UnitsOfServicePeriod1, 4, 3, 1, 1) = "", 0, OFFSET('IWP10'!UnitsOfServicePeriod1, 4, 3, 1, 1))</f>
        <v>0</v>
      </c>
      <c r="H288" s="128">
        <f ca="1">OFFSET('IWP10'!UnitsOfServicePeriod1, 4, 4, 1, 1)</f>
        <v>0</v>
      </c>
      <c r="I288" s="128">
        <f ca="1">IF(OFFSET('IWP10'!UnitsOfServicePeriod1, 4, 5, 1, 1) = "", 0, OFFSET('IWP10'!UnitsOfServicePeriod1, 4, 5, 1, 1))</f>
        <v>0</v>
      </c>
      <c r="J288" s="128">
        <f ca="1">OFFSET('IWP10'!UnitsOfServicePeriod1, 4, 6, 1, 1)</f>
        <v>0</v>
      </c>
      <c r="K288" s="128">
        <f ca="1">IF(OFFSET('IWP10'!UnitsOfServicePeriod1, 4, 7, 1, 1) = "", 0, OFFSET('IWP10'!UnitsOfServicePeriod1, 4, 7, 1, 1))</f>
        <v>0</v>
      </c>
      <c r="L288" s="128">
        <f ca="1">OFFSET('IWP10'!UnitsOfServicePeriod1, 4, 8, 1, 1)</f>
        <v>0</v>
      </c>
      <c r="M288" s="128">
        <f ca="1">IF(OFFSET('IWP10'!UnitsOfServicePeriod1, 4, 9, 1, 1) = "", 0, OFFSET('IWP10'!UnitsOfServicePeriod1, 4, 9, 1, 1))</f>
        <v>0</v>
      </c>
      <c r="N288" s="128">
        <f ca="1">OFFSET('IWP10'!UnitsOfServicePeriod1, 4, 10, 1, 1)</f>
        <v>0</v>
      </c>
      <c r="O288" s="128">
        <f ca="1">IF(OFFSET('IWP10'!UnitsOfServicePeriod1, 4, 11, 1, 1) = "", 0, OFFSET('IWP10'!UnitsOfServicePeriod1, 4, 11, 1, 1))</f>
        <v>0</v>
      </c>
      <c r="P288" s="128">
        <f ca="1">OFFSET('IWP10'!UnitsOfServicePeriod1, 4, 12, 1, 1)</f>
        <v>0</v>
      </c>
      <c r="Q288" s="128">
        <f ca="1">IF(OFFSET('IWP10'!UnitsOfServicePeriod1, 4, 13, 1, 1) = "", 0, OFFSET('IWP10'!UnitsOfServicePeriod1, 4, 13, 1, 1))</f>
        <v>0</v>
      </c>
      <c r="R288" s="128">
        <f ca="1">OFFSET('IWP10'!UnitsOfServicePeriod1, 4, 14, 1, 1)</f>
        <v>0</v>
      </c>
      <c r="S288" s="128">
        <f ca="1">IF(OFFSET('IWP10'!UnitsOfServicePeriod1, 4, 15, 1, 1) = "", 0, OFFSET('IWP10'!UnitsOfServicePeriod1, 4, 15, 1, 1))</f>
        <v>0</v>
      </c>
      <c r="T288" s="128">
        <f ca="1">IF(OFFSET('IWP10'!UnitsOfServicePeriod1, 4, 16, 1, 1) = "", 0, OFFSET('IWP10'!UnitsOfServicePeriod1, 4, 16, 1, 1))</f>
        <v>0</v>
      </c>
      <c r="U288" s="128">
        <f ca="1">OFFSET('IWP10'!UnitsOfServicePeriod1, 4, 17, 1, 1)</f>
        <v>0</v>
      </c>
      <c r="V288" s="128">
        <f ca="1">IF(OFFSET('IWP10'!UnitsOfServicePeriod1, 4, 19, 1, 1) = "", 0, OFFSET('IWP10'!UnitsOfServicePeriod1, 4, 19, 1, 1))</f>
        <v>0</v>
      </c>
      <c r="W288" s="128">
        <f ca="1">OFFSET('IWP10'!UnitsOfServicePeriod1, 4, 20, 1, 1)</f>
        <v>0</v>
      </c>
      <c r="X288" s="128">
        <f ca="1">IF(OFFSET('IWP10'!UnitsOfServicePeriod1, 4, 21, 1, 1) = "", 0, OFFSET('IWP10'!UnitsOfServicePeriod1, 4, 21, 1, 1))</f>
        <v>0</v>
      </c>
      <c r="Y288" s="137">
        <f ca="1">OFFSET('IWP10'!UnitsOfServicePeriod1, 4, 22, 1, 1)</f>
        <v>0</v>
      </c>
    </row>
    <row r="289" spans="1:25">
      <c r="A289" s="125" t="s">
        <v>483</v>
      </c>
      <c r="B289" s="128">
        <v>1</v>
      </c>
      <c r="C289" s="128">
        <v>6</v>
      </c>
      <c r="D289" s="107">
        <f ca="1">IF(OFFSET('IWP10'!UnitsOfServicePeriod1, 5, 0, 1, 1)=DATE(1900,1,0), DATE(1900,1,1),OFFSET('IWP10'!UnitsOfServicePeriod1, 5, 0, 1, 1))</f>
        <v>1</v>
      </c>
      <c r="E289" s="107">
        <f ca="1">IF(OFFSET('IWP10'!UnitsOfServicePeriod1, 5, 1, 1, 1)=DATE(1900,1,0), DATE(1900,1,1),OFFSET('IWP10'!UnitsOfServicePeriod1, 5, 1, 1, 1))</f>
        <v>1</v>
      </c>
      <c r="F289" s="128">
        <f ca="1">OFFSET('IWP10'!UnitsOfServicePeriod1, 5, 2, 1, 1)</f>
        <v>0</v>
      </c>
      <c r="G289" s="128">
        <f ca="1">IF(OFFSET('IWP10'!UnitsOfServicePeriod1, 5, 3, 1, 1) = "", 0, OFFSET('IWP10'!UnitsOfServicePeriod1, 5, 3, 1, 1))</f>
        <v>0</v>
      </c>
      <c r="H289" s="128">
        <f ca="1">OFFSET('IWP10'!UnitsOfServicePeriod1, 5, 4, 1, 1)</f>
        <v>0</v>
      </c>
      <c r="I289" s="128">
        <f ca="1">IF(OFFSET('IWP10'!UnitsOfServicePeriod1, 5, 5, 1, 1) = "", 0, OFFSET('IWP10'!UnitsOfServicePeriod1, 5, 5, 1, 1))</f>
        <v>0</v>
      </c>
      <c r="J289" s="128">
        <f ca="1">OFFSET('IWP10'!UnitsOfServicePeriod1, 5, 6, 1, 1)</f>
        <v>0</v>
      </c>
      <c r="K289" s="128">
        <f ca="1">IF(OFFSET('IWP10'!UnitsOfServicePeriod1, 5, 7, 1, 1) = "", 0, OFFSET('IWP10'!UnitsOfServicePeriod1, 5, 7, 1, 1))</f>
        <v>0</v>
      </c>
      <c r="L289" s="128">
        <f ca="1">OFFSET('IWP10'!UnitsOfServicePeriod1, 5, 8, 1, 1)</f>
        <v>0</v>
      </c>
      <c r="M289" s="128">
        <f ca="1">IF(OFFSET('IWP10'!UnitsOfServicePeriod1, 5, 9, 1, 1) = "", 0, OFFSET('IWP10'!UnitsOfServicePeriod1, 5, 9, 1, 1))</f>
        <v>0</v>
      </c>
      <c r="N289" s="128">
        <f ca="1">OFFSET('IWP10'!UnitsOfServicePeriod1, 5, 10, 1, 1)</f>
        <v>0</v>
      </c>
      <c r="O289" s="128">
        <f ca="1">IF(OFFSET('IWP10'!UnitsOfServicePeriod1, 5, 11, 1, 1) = "", 0, OFFSET('IWP10'!UnitsOfServicePeriod1, 5, 11, 1, 1))</f>
        <v>0</v>
      </c>
      <c r="P289" s="128">
        <f ca="1">OFFSET('IWP10'!UnitsOfServicePeriod1, 5, 12, 1, 1)</f>
        <v>0</v>
      </c>
      <c r="Q289" s="128">
        <f ca="1">IF(OFFSET('IWP10'!UnitsOfServicePeriod1, 5, 13, 1, 1) = "", 0, OFFSET('IWP10'!UnitsOfServicePeriod1, 5, 13, 1, 1))</f>
        <v>0</v>
      </c>
      <c r="R289" s="128">
        <f ca="1">OFFSET('IWP10'!UnitsOfServicePeriod1, 5, 14, 1, 1)</f>
        <v>0</v>
      </c>
      <c r="S289" s="128">
        <f ca="1">IF(OFFSET('IWP10'!UnitsOfServicePeriod1, 5, 15, 1, 1) = "", 0, OFFSET('IWP10'!UnitsOfServicePeriod1, 5, 15, 1, 1))</f>
        <v>0</v>
      </c>
      <c r="T289" s="128">
        <f ca="1">IF(OFFSET('IWP10'!UnitsOfServicePeriod1, 5, 16, 1, 1) = "", 0, OFFSET('IWP10'!UnitsOfServicePeriod1, 5, 16, 1, 1))</f>
        <v>0</v>
      </c>
      <c r="U289" s="128">
        <f ca="1">OFFSET('IWP10'!UnitsOfServicePeriod1, 5, 17, 1, 1)</f>
        <v>0</v>
      </c>
      <c r="V289" s="128">
        <f ca="1">IF(OFFSET('IWP10'!UnitsOfServicePeriod1, 5, 19, 1, 1) = "", 0, OFFSET('IWP10'!UnitsOfServicePeriod1, 5, 19, 1, 1))</f>
        <v>0</v>
      </c>
      <c r="W289" s="128">
        <f ca="1">OFFSET('IWP10'!UnitsOfServicePeriod1, 5, 20, 1, 1)</f>
        <v>0</v>
      </c>
      <c r="X289" s="128">
        <f ca="1">IF(OFFSET('IWP10'!UnitsOfServicePeriod1, 5, 21, 1, 1) = "", 0, OFFSET('IWP10'!UnitsOfServicePeriod1, 5, 21, 1, 1))</f>
        <v>0</v>
      </c>
      <c r="Y289" s="137">
        <f ca="1">OFFSET('IWP10'!UnitsOfServicePeriod1, 5, 22, 1, 1)</f>
        <v>0</v>
      </c>
    </row>
    <row r="290" spans="1:25">
      <c r="A290" s="125" t="s">
        <v>483</v>
      </c>
      <c r="B290" s="128">
        <v>2</v>
      </c>
      <c r="C290" s="128">
        <v>1</v>
      </c>
      <c r="D290" s="107">
        <f ca="1">IF(OFFSET('IWP10'!UnitsOfServicePeriod2, 0, 0, 1, 1)=DATE(1900,1,0), DATE(1900,1,1),OFFSET('IWP10'!UnitsOfServicePeriod2, 0, 0, 1, 1))</f>
        <v>1</v>
      </c>
      <c r="E290" s="107">
        <f ca="1">IF(OFFSET('IWP10'!UnitsOfServicePeriod2, 0, 1, 1, 1)=DATE(1900,1,0), DATE(1900,1,1),OFFSET('IWP10'!UnitsOfServicePeriod2, 0, 1, 1, 1))</f>
        <v>1</v>
      </c>
      <c r="F290" s="128">
        <f ca="1">OFFSET('IWP10'!UnitsOfServicePeriod2, 0, 2, 1, 1)</f>
        <v>0</v>
      </c>
      <c r="G290" s="128">
        <f ca="1">IF(OFFSET('IWP10'!UnitsOfServicePeriod2, 0, 3, 1, 1) = "", 0, OFFSET('IWP10'!UnitsOfServicePeriod2, 0, 3, 1, 1))</f>
        <v>0</v>
      </c>
      <c r="H290" s="128">
        <f ca="1">OFFSET('IWP10'!UnitsOfServicePeriod2, 0, 4, 1, 1)</f>
        <v>0</v>
      </c>
      <c r="I290" s="128">
        <f ca="1">IF(OFFSET('IWP10'!UnitsOfServicePeriod2, 0, 5, 1, 1) = "", 0, OFFSET('IWP10'!UnitsOfServicePeriod2, 0, 5, 1, 1))</f>
        <v>0</v>
      </c>
      <c r="J290" s="128">
        <f ca="1">OFFSET('IWP10'!UnitsOfServicePeriod2, 0, 6, 1, 1)</f>
        <v>0</v>
      </c>
      <c r="K290" s="128">
        <f ca="1">IF(OFFSET('IWP10'!UnitsOfServicePeriod2, 0, 7, 1, 1) = "", 0, OFFSET('IWP10'!UnitsOfServicePeriod2, 0, 7, 1, 1))</f>
        <v>0</v>
      </c>
      <c r="L290" s="128">
        <f ca="1">OFFSET('IWP10'!UnitsOfServicePeriod2, 0, 8, 1, 1)</f>
        <v>0</v>
      </c>
      <c r="M290" s="128">
        <f ca="1">IF(OFFSET('IWP10'!UnitsOfServicePeriod2, 0, 9, 1, 1) = "", 0, OFFSET('IWP10'!UnitsOfServicePeriod2, 0, 9, 1, 1))</f>
        <v>0</v>
      </c>
      <c r="N290" s="128">
        <f ca="1">OFFSET('IWP10'!UnitsOfServicePeriod2, 0, 10, 1, 1)</f>
        <v>0</v>
      </c>
      <c r="O290" s="128">
        <f ca="1">IF(OFFSET('IWP10'!UnitsOfServicePeriod2, 0, 11, 1, 1) = "", 0, OFFSET('IWP10'!UnitsOfServicePeriod2, 0, 11, 1, 1))</f>
        <v>0</v>
      </c>
      <c r="P290" s="128">
        <f ca="1">OFFSET('IWP10'!UnitsOfServicePeriod2, 0, 12, 1, 1)</f>
        <v>0</v>
      </c>
      <c r="Q290" s="128">
        <f ca="1">IF(OFFSET('IWP10'!UnitsOfServicePeriod2, 0, 13, 1, 1) = "", 0, OFFSET('IWP10'!UnitsOfServicePeriod2, 0, 13, 1, 1))</f>
        <v>0</v>
      </c>
      <c r="R290" s="128">
        <f ca="1">OFFSET('IWP10'!UnitsOfServicePeriod2, 0, 14, 1, 1)</f>
        <v>0</v>
      </c>
      <c r="S290" s="128">
        <f ca="1">IF(OFFSET('IWP10'!UnitsOfServicePeriod2, 0, 15, 1, 1) = "", 0, OFFSET('IWP10'!UnitsOfServicePeriod2, 0, 15, 1, 1))</f>
        <v>0</v>
      </c>
      <c r="T290" s="128">
        <f ca="1">IF(OFFSET('IWP10'!UnitsOfServicePeriod2, 0, 16, 1, 1) = "", 0, OFFSET('IWP10'!UnitsOfServicePeriod2, 0, 16, 1, 1))</f>
        <v>0</v>
      </c>
      <c r="U290" s="128">
        <f ca="1">OFFSET('IWP10'!UnitsOfServicePeriod2, 0, 17, 1, 1)</f>
        <v>0</v>
      </c>
      <c r="V290" s="128">
        <f ca="1">IF(OFFSET('IWP10'!UnitsOfServicePeriod2, 0, 19, 1, 1) = "", 0, OFFSET('IWP10'!UnitsOfServicePeriod2, 0, 19, 1, 1))</f>
        <v>0</v>
      </c>
      <c r="W290" s="128">
        <f ca="1">OFFSET('IWP10'!UnitsOfServicePeriod2, 0, 20, 1, 1)</f>
        <v>0</v>
      </c>
      <c r="X290" s="128">
        <f ca="1">IF(OFFSET('IWP10'!UnitsOfServicePeriod2, 0, 21, 1, 1) = "", 0, OFFSET('IWP10'!UnitsOfServicePeriod2, 0, 21, 1, 1))</f>
        <v>0</v>
      </c>
      <c r="Y290" s="137">
        <f ca="1">OFFSET('IWP10'!UnitsOfServicePeriod2, 0, 22, 1, 1)</f>
        <v>0</v>
      </c>
    </row>
    <row r="291" spans="1:25">
      <c r="A291" s="125" t="s">
        <v>483</v>
      </c>
      <c r="B291" s="128">
        <v>2</v>
      </c>
      <c r="C291" s="128">
        <v>2</v>
      </c>
      <c r="D291" s="107">
        <f ca="1">IF(OFFSET('IWP10'!UnitsOfServicePeriod2, 1, 0, 1, 1)=DATE(1900,1,0), DATE(1900,1,1),OFFSET('IWP10'!UnitsOfServicePeriod2, 1, 0, 1, 1))</f>
        <v>1</v>
      </c>
      <c r="E291" s="107">
        <f ca="1">IF(OFFSET('IWP10'!UnitsOfServicePeriod2, 1, 1, 1, 1)=DATE(1900,1,0), DATE(1900,1,1),OFFSET('IWP10'!UnitsOfServicePeriod2, 1, 1, 1, 1))</f>
        <v>1</v>
      </c>
      <c r="F291" s="128">
        <f ca="1">OFFSET('IWP10'!UnitsOfServicePeriod2, 1, 2, 1, 1)</f>
        <v>0</v>
      </c>
      <c r="G291" s="128">
        <f ca="1">IF(OFFSET('IWP10'!UnitsOfServicePeriod2, 1, 3, 1, 1) = "", 0, OFFSET('IWP10'!UnitsOfServicePeriod2, 1, 3, 1, 1))</f>
        <v>0</v>
      </c>
      <c r="H291" s="128">
        <f ca="1">OFFSET('IWP10'!UnitsOfServicePeriod2, 1, 4, 1, 1)</f>
        <v>0</v>
      </c>
      <c r="I291" s="128">
        <f ca="1">IF(OFFSET('IWP10'!UnitsOfServicePeriod2, 1, 5, 1, 1) = "", 0, OFFSET('IWP10'!UnitsOfServicePeriod2, 1, 5, 1, 1))</f>
        <v>0</v>
      </c>
      <c r="J291" s="128">
        <f ca="1">OFFSET('IWP10'!UnitsOfServicePeriod2, 1, 6, 1, 1)</f>
        <v>0</v>
      </c>
      <c r="K291" s="128">
        <f ca="1">IF(OFFSET('IWP10'!UnitsOfServicePeriod2, 1, 7, 1, 1) = "", 0, OFFSET('IWP10'!UnitsOfServicePeriod2, 1, 7, 1, 1))</f>
        <v>0</v>
      </c>
      <c r="L291" s="128">
        <f ca="1">OFFSET('IWP10'!UnitsOfServicePeriod2, 1, 8, 1, 1)</f>
        <v>0</v>
      </c>
      <c r="M291" s="128">
        <f ca="1">IF(OFFSET('IWP10'!UnitsOfServicePeriod2, 1, 9, 1, 1) = "", 0, OFFSET('IWP10'!UnitsOfServicePeriod2, 1, 9, 1, 1))</f>
        <v>0</v>
      </c>
      <c r="N291" s="128">
        <f ca="1">OFFSET('IWP10'!UnitsOfServicePeriod2, 1, 10, 1, 1)</f>
        <v>0</v>
      </c>
      <c r="O291" s="128">
        <f ca="1">IF(OFFSET('IWP10'!UnitsOfServicePeriod2, 1, 11, 1, 1) = "", 0, OFFSET('IWP10'!UnitsOfServicePeriod2, 1, 11, 1, 1))</f>
        <v>0</v>
      </c>
      <c r="P291" s="128">
        <f ca="1">OFFSET('IWP10'!UnitsOfServicePeriod2, 1, 12, 1, 1)</f>
        <v>0</v>
      </c>
      <c r="Q291" s="128">
        <f ca="1">IF(OFFSET('IWP10'!UnitsOfServicePeriod2, 1, 13, 1, 1) = "", 0, OFFSET('IWP10'!UnitsOfServicePeriod2, 1, 13, 1, 1))</f>
        <v>0</v>
      </c>
      <c r="R291" s="128">
        <f ca="1">OFFSET('IWP10'!UnitsOfServicePeriod2, 1, 14, 1, 1)</f>
        <v>0</v>
      </c>
      <c r="S291" s="128">
        <f ca="1">IF(OFFSET('IWP10'!UnitsOfServicePeriod2, 1, 15, 1, 1) = "", 0, OFFSET('IWP10'!UnitsOfServicePeriod2, 1, 15, 1, 1))</f>
        <v>0</v>
      </c>
      <c r="T291" s="128">
        <f ca="1">IF(OFFSET('IWP10'!UnitsOfServicePeriod2, 1, 16, 1, 1) = "", 0, OFFSET('IWP10'!UnitsOfServicePeriod2, 1, 16, 1, 1))</f>
        <v>0</v>
      </c>
      <c r="U291" s="128">
        <f ca="1">OFFSET('IWP10'!UnitsOfServicePeriod2, 1, 17, 1, 1)</f>
        <v>0</v>
      </c>
      <c r="V291" s="128">
        <f ca="1">IF(OFFSET('IWP10'!UnitsOfServicePeriod2, 1, 19, 1, 1) = "", 0, OFFSET('IWP10'!UnitsOfServicePeriod2, 1, 19, 1, 1))</f>
        <v>0</v>
      </c>
      <c r="W291" s="128">
        <f ca="1">OFFSET('IWP10'!UnitsOfServicePeriod2, 1, 20, 1, 1)</f>
        <v>0</v>
      </c>
      <c r="X291" s="128">
        <f ca="1">IF(OFFSET('IWP10'!UnitsOfServicePeriod2, 1, 21, 1, 1) = "", 0, OFFSET('IWP10'!UnitsOfServicePeriod2, 1, 21, 1, 1))</f>
        <v>0</v>
      </c>
      <c r="Y291" s="137">
        <f ca="1">OFFSET('IWP10'!UnitsOfServicePeriod2, 1, 22, 1, 1)</f>
        <v>0</v>
      </c>
    </row>
    <row r="292" spans="1:25">
      <c r="A292" s="125" t="s">
        <v>483</v>
      </c>
      <c r="B292" s="128">
        <v>2</v>
      </c>
      <c r="C292" s="128">
        <v>3</v>
      </c>
      <c r="D292" s="107">
        <f ca="1">IF(OFFSET('IWP10'!UnitsOfServicePeriod2, 2, 0, 1, 1)=DATE(1900,1,0), DATE(1900,1,1),OFFSET('IWP10'!UnitsOfServicePeriod2, 2, 0, 1, 1))</f>
        <v>1</v>
      </c>
      <c r="E292" s="107">
        <f ca="1">IF(OFFSET('IWP10'!UnitsOfServicePeriod2, 2, 1, 1, 1)=DATE(1900,1,0), DATE(1900,1,1),OFFSET('IWP10'!UnitsOfServicePeriod2, 2, 1, 1, 1))</f>
        <v>1</v>
      </c>
      <c r="F292" s="128">
        <f ca="1">OFFSET('IWP10'!UnitsOfServicePeriod2, 2, 2, 1, 1)</f>
        <v>0</v>
      </c>
      <c r="G292" s="128">
        <f ca="1">IF(OFFSET('IWP10'!UnitsOfServicePeriod2, 2, 3, 1, 1) = "", 0, OFFSET('IWP10'!UnitsOfServicePeriod2, 2, 3, 1, 1))</f>
        <v>0</v>
      </c>
      <c r="H292" s="128">
        <f ca="1">OFFSET('IWP10'!UnitsOfServicePeriod2, 2, 4, 1, 1)</f>
        <v>0</v>
      </c>
      <c r="I292" s="128">
        <f ca="1">IF(OFFSET('IWP10'!UnitsOfServicePeriod2, 2, 5, 1, 1) = "", 0, OFFSET('IWP10'!UnitsOfServicePeriod2, 2, 5, 1, 1))</f>
        <v>0</v>
      </c>
      <c r="J292" s="128">
        <f ca="1">OFFSET('IWP10'!UnitsOfServicePeriod2, 2, 6, 1, 1)</f>
        <v>0</v>
      </c>
      <c r="K292" s="128">
        <f ca="1">IF(OFFSET('IWP10'!UnitsOfServicePeriod2, 2, 7, 1, 1) = "", 0, OFFSET('IWP10'!UnitsOfServicePeriod2, 2, 7, 1, 1))</f>
        <v>0</v>
      </c>
      <c r="L292" s="128">
        <f ca="1">OFFSET('IWP10'!UnitsOfServicePeriod2, 2, 8, 1, 1)</f>
        <v>0</v>
      </c>
      <c r="M292" s="128">
        <f ca="1">IF(OFFSET('IWP10'!UnitsOfServicePeriod2, 2, 9, 1, 1) = "", 0, OFFSET('IWP10'!UnitsOfServicePeriod2, 2, 9, 1, 1))</f>
        <v>0</v>
      </c>
      <c r="N292" s="128">
        <f ca="1">OFFSET('IWP10'!UnitsOfServicePeriod2, 2, 10, 1, 1)</f>
        <v>0</v>
      </c>
      <c r="O292" s="128">
        <f ca="1">IF(OFFSET('IWP10'!UnitsOfServicePeriod2, 2, 11, 1, 1) = "", 0, OFFSET('IWP10'!UnitsOfServicePeriod2, 2, 11, 1, 1))</f>
        <v>0</v>
      </c>
      <c r="P292" s="128">
        <f ca="1">OFFSET('IWP10'!UnitsOfServicePeriod2, 2, 12, 1, 1)</f>
        <v>0</v>
      </c>
      <c r="Q292" s="128">
        <f ca="1">IF(OFFSET('IWP10'!UnitsOfServicePeriod2, 2, 13, 1, 1) = "", 0, OFFSET('IWP10'!UnitsOfServicePeriod2, 2, 13, 1, 1))</f>
        <v>0</v>
      </c>
      <c r="R292" s="128">
        <f ca="1">OFFSET('IWP10'!UnitsOfServicePeriod2, 2, 14, 1, 1)</f>
        <v>0</v>
      </c>
      <c r="S292" s="128">
        <f ca="1">IF(OFFSET('IWP10'!UnitsOfServicePeriod2, 2, 15, 1, 1) = "", 0, OFFSET('IWP10'!UnitsOfServicePeriod2, 2, 15, 1, 1))</f>
        <v>0</v>
      </c>
      <c r="T292" s="128">
        <f ca="1">IF(OFFSET('IWP10'!UnitsOfServicePeriod2, 2, 16, 1, 1) = "", 0, OFFSET('IWP10'!UnitsOfServicePeriod2, 2, 16, 1, 1))</f>
        <v>0</v>
      </c>
      <c r="U292" s="128">
        <f ca="1">OFFSET('IWP10'!UnitsOfServicePeriod2, 2, 17, 1, 1)</f>
        <v>0</v>
      </c>
      <c r="V292" s="128">
        <f ca="1">IF(OFFSET('IWP10'!UnitsOfServicePeriod2, 2, 19, 1, 1) = "", 0, OFFSET('IWP10'!UnitsOfServicePeriod2, 2, 19, 1, 1))</f>
        <v>0</v>
      </c>
      <c r="W292" s="128">
        <f ca="1">OFFSET('IWP10'!UnitsOfServicePeriod2, 2, 20, 1, 1)</f>
        <v>0</v>
      </c>
      <c r="X292" s="128">
        <f ca="1">IF(OFFSET('IWP10'!UnitsOfServicePeriod2, 2, 21, 1, 1) = "", 0, OFFSET('IWP10'!UnitsOfServicePeriod2, 2, 21, 1, 1))</f>
        <v>0</v>
      </c>
      <c r="Y292" s="137">
        <f ca="1">OFFSET('IWP10'!UnitsOfServicePeriod2, 2, 22, 1, 1)</f>
        <v>0</v>
      </c>
    </row>
    <row r="293" spans="1:25">
      <c r="A293" s="125" t="s">
        <v>483</v>
      </c>
      <c r="B293" s="128">
        <v>2</v>
      </c>
      <c r="C293" s="128">
        <v>4</v>
      </c>
      <c r="D293" s="107">
        <f ca="1">IF(OFFSET('IWP10'!UnitsOfServicePeriod2, 3, 0, 1, 1)=DATE(1900,1,0), DATE(1900,1,1),OFFSET('IWP10'!UnitsOfServicePeriod2, 3, 0, 1, 1))</f>
        <v>1</v>
      </c>
      <c r="E293" s="107">
        <f ca="1">IF(OFFSET('IWP10'!UnitsOfServicePeriod2, 3, 1, 1, 1)=DATE(1900,1,0), DATE(1900,1,1),OFFSET('IWP10'!UnitsOfServicePeriod2, 3, 1, 1, 1))</f>
        <v>1</v>
      </c>
      <c r="F293" s="128">
        <f ca="1">OFFSET('IWP10'!UnitsOfServicePeriod2, 3, 2, 1, 1)</f>
        <v>0</v>
      </c>
      <c r="G293" s="128">
        <f ca="1">IF(OFFSET('IWP10'!UnitsOfServicePeriod2, 3, 3, 1, 1) = "", 0, OFFSET('IWP10'!UnitsOfServicePeriod2, 3, 3, 1, 1))</f>
        <v>0</v>
      </c>
      <c r="H293" s="128">
        <f ca="1">OFFSET('IWP10'!UnitsOfServicePeriod2, 3, 4, 1, 1)</f>
        <v>0</v>
      </c>
      <c r="I293" s="128">
        <f ca="1">IF(OFFSET('IWP10'!UnitsOfServicePeriod2, 3, 5, 1, 1) = "", 0, OFFSET('IWP10'!UnitsOfServicePeriod2, 3, 5, 1, 1))</f>
        <v>0</v>
      </c>
      <c r="J293" s="128">
        <f ca="1">OFFSET('IWP10'!UnitsOfServicePeriod2, 3, 6, 1, 1)</f>
        <v>0</v>
      </c>
      <c r="K293" s="128">
        <f ca="1">IF(OFFSET('IWP10'!UnitsOfServicePeriod2, 3, 7, 1, 1) = "", 0, OFFSET('IWP10'!UnitsOfServicePeriod2, 3, 7, 1, 1))</f>
        <v>0</v>
      </c>
      <c r="L293" s="128">
        <f ca="1">OFFSET('IWP10'!UnitsOfServicePeriod2, 3, 8, 1, 1)</f>
        <v>0</v>
      </c>
      <c r="M293" s="128">
        <f ca="1">IF(OFFSET('IWP10'!UnitsOfServicePeriod2, 3, 9, 1, 1) = "", 0, OFFSET('IWP10'!UnitsOfServicePeriod2, 3, 9, 1, 1))</f>
        <v>0</v>
      </c>
      <c r="N293" s="128">
        <f ca="1">OFFSET('IWP10'!UnitsOfServicePeriod2, 3, 10, 1, 1)</f>
        <v>0</v>
      </c>
      <c r="O293" s="128">
        <f ca="1">IF(OFFSET('IWP10'!UnitsOfServicePeriod2, 3, 11, 1, 1) = "", 0, OFFSET('IWP10'!UnitsOfServicePeriod2, 3, 11, 1, 1))</f>
        <v>0</v>
      </c>
      <c r="P293" s="128">
        <f ca="1">OFFSET('IWP10'!UnitsOfServicePeriod2, 3, 12, 1, 1)</f>
        <v>0</v>
      </c>
      <c r="Q293" s="128">
        <f ca="1">IF(OFFSET('IWP10'!UnitsOfServicePeriod2, 3, 13, 1, 1) = "", 0, OFFSET('IWP10'!UnitsOfServicePeriod2, 3, 13, 1, 1))</f>
        <v>0</v>
      </c>
      <c r="R293" s="128">
        <f ca="1">OFFSET('IWP10'!UnitsOfServicePeriod2, 3, 14, 1, 1)</f>
        <v>0</v>
      </c>
      <c r="S293" s="128">
        <f ca="1">IF(OFFSET('IWP10'!UnitsOfServicePeriod2, 3, 15, 1, 1) = "", 0, OFFSET('IWP10'!UnitsOfServicePeriod2, 3, 15, 1, 1))</f>
        <v>0</v>
      </c>
      <c r="T293" s="128">
        <f ca="1">IF(OFFSET('IWP10'!UnitsOfServicePeriod2, 3, 16, 1, 1) = "", 0, OFFSET('IWP10'!UnitsOfServicePeriod2, 3, 16, 1, 1))</f>
        <v>0</v>
      </c>
      <c r="U293" s="128">
        <f ca="1">OFFSET('IWP10'!UnitsOfServicePeriod2, 3, 17, 1, 1)</f>
        <v>0</v>
      </c>
      <c r="V293" s="128">
        <f ca="1">IF(OFFSET('IWP10'!UnitsOfServicePeriod2, 3, 19, 1, 1) = "", 0, OFFSET('IWP10'!UnitsOfServicePeriod2, 3, 19, 1, 1))</f>
        <v>0</v>
      </c>
      <c r="W293" s="128">
        <f ca="1">OFFSET('IWP10'!UnitsOfServicePeriod2, 3, 20, 1, 1)</f>
        <v>0</v>
      </c>
      <c r="X293" s="128">
        <f ca="1">IF(OFFSET('IWP10'!UnitsOfServicePeriod2, 3, 21, 1, 1) = "", 0, OFFSET('IWP10'!UnitsOfServicePeriod2, 3, 21, 1, 1))</f>
        <v>0</v>
      </c>
      <c r="Y293" s="137">
        <f ca="1">OFFSET('IWP10'!UnitsOfServicePeriod2, 3, 22, 1, 1)</f>
        <v>0</v>
      </c>
    </row>
    <row r="294" spans="1:25">
      <c r="A294" s="125" t="s">
        <v>483</v>
      </c>
      <c r="B294" s="128">
        <v>2</v>
      </c>
      <c r="C294" s="128">
        <v>5</v>
      </c>
      <c r="D294" s="107">
        <f ca="1">IF(OFFSET('IWP10'!UnitsOfServicePeriod2, 4, 0, 1, 1)=DATE(1900,1,0), DATE(1900,1,1),OFFSET('IWP10'!UnitsOfServicePeriod2, 4, 0, 1, 1))</f>
        <v>1</v>
      </c>
      <c r="E294" s="107">
        <f ca="1">IF(OFFSET('IWP10'!UnitsOfServicePeriod2, 4, 1, 1, 1)=DATE(1900,1,0), DATE(1900,1,1),OFFSET('IWP10'!UnitsOfServicePeriod2, 4, 1, 1, 1))</f>
        <v>1</v>
      </c>
      <c r="F294" s="128">
        <f ca="1">OFFSET('IWP10'!UnitsOfServicePeriod2, 4, 2, 1, 1)</f>
        <v>0</v>
      </c>
      <c r="G294" s="128">
        <f ca="1">IF(OFFSET('IWP10'!UnitsOfServicePeriod2, 4, 3, 1, 1) = "", 0, OFFSET('IWP10'!UnitsOfServicePeriod2, 4, 3, 1, 1))</f>
        <v>0</v>
      </c>
      <c r="H294" s="128">
        <f ca="1">OFFSET('IWP10'!UnitsOfServicePeriod2, 4, 4, 1, 1)</f>
        <v>0</v>
      </c>
      <c r="I294" s="128">
        <f ca="1">IF(OFFSET('IWP10'!UnitsOfServicePeriod2, 4, 5, 1, 1) = "", 0, OFFSET('IWP10'!UnitsOfServicePeriod2, 4, 5, 1, 1))</f>
        <v>0</v>
      </c>
      <c r="J294" s="128">
        <f ca="1">OFFSET('IWP10'!UnitsOfServicePeriod2, 4, 6, 1, 1)</f>
        <v>0</v>
      </c>
      <c r="K294" s="128">
        <f ca="1">IF(OFFSET('IWP10'!UnitsOfServicePeriod2, 4, 7, 1, 1) = "", 0, OFFSET('IWP10'!UnitsOfServicePeriod2, 4, 7, 1, 1))</f>
        <v>0</v>
      </c>
      <c r="L294" s="128">
        <f ca="1">OFFSET('IWP10'!UnitsOfServicePeriod2, 4, 8, 1, 1)</f>
        <v>0</v>
      </c>
      <c r="M294" s="128">
        <f ca="1">IF(OFFSET('IWP10'!UnitsOfServicePeriod2, 4, 9, 1, 1) = "", 0, OFFSET('IWP10'!UnitsOfServicePeriod2, 4, 9, 1, 1))</f>
        <v>0</v>
      </c>
      <c r="N294" s="128">
        <f ca="1">OFFSET('IWP10'!UnitsOfServicePeriod2, 4, 10, 1, 1)</f>
        <v>0</v>
      </c>
      <c r="O294" s="128">
        <f ca="1">IF(OFFSET('IWP10'!UnitsOfServicePeriod2, 4, 11, 1, 1) = "", 0, OFFSET('IWP10'!UnitsOfServicePeriod2, 4, 11, 1, 1))</f>
        <v>0</v>
      </c>
      <c r="P294" s="128">
        <f ca="1">OFFSET('IWP10'!UnitsOfServicePeriod2, 4, 12, 1, 1)</f>
        <v>0</v>
      </c>
      <c r="Q294" s="128">
        <f ca="1">IF(OFFSET('IWP10'!UnitsOfServicePeriod2, 4, 13, 1, 1) = "", 0, OFFSET('IWP10'!UnitsOfServicePeriod2, 4, 13, 1, 1))</f>
        <v>0</v>
      </c>
      <c r="R294" s="128">
        <f ca="1">OFFSET('IWP10'!UnitsOfServicePeriod2, 4, 14, 1, 1)</f>
        <v>0</v>
      </c>
      <c r="S294" s="128">
        <f ca="1">IF(OFFSET('IWP10'!UnitsOfServicePeriod2, 4, 15, 1, 1) = "", 0, OFFSET('IWP10'!UnitsOfServicePeriod2, 4, 15, 1, 1))</f>
        <v>0</v>
      </c>
      <c r="T294" s="128">
        <f ca="1">IF(OFFSET('IWP10'!UnitsOfServicePeriod2, 4, 16, 1, 1) = "", 0, OFFSET('IWP10'!UnitsOfServicePeriod2, 4, 16, 1, 1))</f>
        <v>0</v>
      </c>
      <c r="U294" s="128">
        <f ca="1">OFFSET('IWP10'!UnitsOfServicePeriod2, 4, 17, 1, 1)</f>
        <v>0</v>
      </c>
      <c r="V294" s="128">
        <f ca="1">IF(OFFSET('IWP10'!UnitsOfServicePeriod2, 4, 19, 1, 1) = "", 0, OFFSET('IWP10'!UnitsOfServicePeriod2, 4, 19, 1, 1))</f>
        <v>0</v>
      </c>
      <c r="W294" s="128">
        <f ca="1">OFFSET('IWP10'!UnitsOfServicePeriod2, 4, 20, 1, 1)</f>
        <v>0</v>
      </c>
      <c r="X294" s="128">
        <f ca="1">IF(OFFSET('IWP10'!UnitsOfServicePeriod2, 4, 21, 1, 1) = "", 0, OFFSET('IWP10'!UnitsOfServicePeriod2, 4, 21, 1, 1))</f>
        <v>0</v>
      </c>
      <c r="Y294" s="137">
        <f ca="1">OFFSET('IWP10'!UnitsOfServicePeriod2, 4, 22, 1, 1)</f>
        <v>0</v>
      </c>
    </row>
    <row r="295" spans="1:25">
      <c r="A295" s="125" t="s">
        <v>483</v>
      </c>
      <c r="B295" s="128">
        <v>2</v>
      </c>
      <c r="C295" s="128">
        <v>6</v>
      </c>
      <c r="D295" s="107">
        <f ca="1">IF(OFFSET('IWP10'!UnitsOfServicePeriod2, 5, 0, 1, 1)=DATE(1900,1,0), DATE(1900,1,1),OFFSET('IWP10'!UnitsOfServicePeriod2, 5, 0, 1, 1))</f>
        <v>1</v>
      </c>
      <c r="E295" s="107">
        <f ca="1">IF(OFFSET('IWP10'!UnitsOfServicePeriod2, 5, 1, 1, 1)=DATE(1900,1,0), DATE(1900,1,1),OFFSET('IWP10'!UnitsOfServicePeriod2, 5, 1, 1, 1))</f>
        <v>1</v>
      </c>
      <c r="F295" s="128">
        <f ca="1">OFFSET('IWP10'!UnitsOfServicePeriod2, 5, 2, 1, 1)</f>
        <v>0</v>
      </c>
      <c r="G295" s="128">
        <f ca="1">IF(OFFSET('IWP10'!UnitsOfServicePeriod2, 5, 3, 1, 1) = "", 0, OFFSET('IWP10'!UnitsOfServicePeriod2, 5, 3, 1, 1))</f>
        <v>0</v>
      </c>
      <c r="H295" s="128">
        <f ca="1">OFFSET('IWP10'!UnitsOfServicePeriod2, 5, 4, 1, 1)</f>
        <v>0</v>
      </c>
      <c r="I295" s="128">
        <f ca="1">IF(OFFSET('IWP10'!UnitsOfServicePeriod2, 5, 5, 1, 1) = "", 0, OFFSET('IWP10'!UnitsOfServicePeriod2, 5, 5, 1, 1))</f>
        <v>0</v>
      </c>
      <c r="J295" s="128">
        <f ca="1">OFFSET('IWP10'!UnitsOfServicePeriod2, 5, 6, 1, 1)</f>
        <v>0</v>
      </c>
      <c r="K295" s="128">
        <f ca="1">IF(OFFSET('IWP10'!UnitsOfServicePeriod2, 5, 7, 1, 1) = "", 0, OFFSET('IWP10'!UnitsOfServicePeriod2, 5, 7, 1, 1))</f>
        <v>0</v>
      </c>
      <c r="L295" s="128">
        <f ca="1">OFFSET('IWP10'!UnitsOfServicePeriod2, 5, 8, 1, 1)</f>
        <v>0</v>
      </c>
      <c r="M295" s="128">
        <f ca="1">IF(OFFSET('IWP10'!UnitsOfServicePeriod2, 5, 9, 1, 1) = "", 0, OFFSET('IWP10'!UnitsOfServicePeriod2, 5, 9, 1, 1))</f>
        <v>0</v>
      </c>
      <c r="N295" s="128">
        <f ca="1">OFFSET('IWP10'!UnitsOfServicePeriod2, 5, 10, 1, 1)</f>
        <v>0</v>
      </c>
      <c r="O295" s="128">
        <f ca="1">IF(OFFSET('IWP10'!UnitsOfServicePeriod2, 5, 11, 1, 1) = "", 0, OFFSET('IWP10'!UnitsOfServicePeriod2, 5, 11, 1, 1))</f>
        <v>0</v>
      </c>
      <c r="P295" s="128">
        <f ca="1">OFFSET('IWP10'!UnitsOfServicePeriod2, 5, 12, 1, 1)</f>
        <v>0</v>
      </c>
      <c r="Q295" s="128">
        <f ca="1">IF(OFFSET('IWP10'!UnitsOfServicePeriod2, 5, 13, 1, 1) = "", 0, OFFSET('IWP10'!UnitsOfServicePeriod2, 5, 13, 1, 1))</f>
        <v>0</v>
      </c>
      <c r="R295" s="128">
        <f ca="1">OFFSET('IWP10'!UnitsOfServicePeriod2, 5, 14, 1, 1)</f>
        <v>0</v>
      </c>
      <c r="S295" s="128">
        <f ca="1">IF(OFFSET('IWP10'!UnitsOfServicePeriod2, 5, 15, 1, 1) = "", 0, OFFSET('IWP10'!UnitsOfServicePeriod2, 5, 15, 1, 1))</f>
        <v>0</v>
      </c>
      <c r="T295" s="128">
        <f ca="1">IF(OFFSET('IWP10'!UnitsOfServicePeriod2, 5, 16, 1, 1) = "", 0, OFFSET('IWP10'!UnitsOfServicePeriod2, 5, 16, 1, 1))</f>
        <v>0</v>
      </c>
      <c r="U295" s="128">
        <f ca="1">OFFSET('IWP10'!UnitsOfServicePeriod2, 5, 17, 1, 1)</f>
        <v>0</v>
      </c>
      <c r="V295" s="128">
        <f ca="1">IF(OFFSET('IWP10'!UnitsOfServicePeriod2, 5, 19, 1, 1) = "", 0, OFFSET('IWP10'!UnitsOfServicePeriod2, 5, 19, 1, 1))</f>
        <v>0</v>
      </c>
      <c r="W295" s="128">
        <f ca="1">OFFSET('IWP10'!UnitsOfServicePeriod2, 5, 20, 1, 1)</f>
        <v>0</v>
      </c>
      <c r="X295" s="128">
        <f ca="1">IF(OFFSET('IWP10'!UnitsOfServicePeriod2, 5, 21, 1, 1) = "", 0, OFFSET('IWP10'!UnitsOfServicePeriod2, 5, 21, 1, 1))</f>
        <v>0</v>
      </c>
      <c r="Y295" s="137">
        <f ca="1">OFFSET('IWP10'!UnitsOfServicePeriod2, 5, 22, 1, 1)</f>
        <v>0</v>
      </c>
    </row>
    <row r="296" spans="1:25">
      <c r="A296" s="125" t="s">
        <v>484</v>
      </c>
      <c r="B296" s="128">
        <v>1</v>
      </c>
      <c r="C296" s="128">
        <v>1</v>
      </c>
      <c r="D296" s="107">
        <f ca="1">IF(OFFSET('IWP11'!UnitsOfServicePeriod1, 0, 0, 1, 1)=DATE(1900,1,0), DATE(1900,1,1),OFFSET('IWP11'!UnitsOfServicePeriod1, 0, 0, 1, 1))</f>
        <v>1</v>
      </c>
      <c r="E296" s="107">
        <f ca="1">IF(OFFSET('IWP11'!UnitsOfServicePeriod1, 0, 1, 1, 1)=DATE(1900,1,0), DATE(1900,1,1),OFFSET('IWP11'!UnitsOfServicePeriod1, 0, 1, 1, 1))</f>
        <v>1</v>
      </c>
      <c r="F296" s="128">
        <f ca="1">OFFSET('IWP11'!UnitsOfServicePeriod1, 0, 2, 1, 1)</f>
        <v>0</v>
      </c>
      <c r="G296" s="128">
        <f ca="1">IF(OFFSET('IWP11'!UnitsOfServicePeriod1, 0, 3, 1, 1) = "", 0, OFFSET('IWP11'!UnitsOfServicePeriod1, 0, 3, 1, 1))</f>
        <v>0</v>
      </c>
      <c r="H296" s="128">
        <f ca="1">OFFSET('IWP11'!UnitsOfServicePeriod1, 0, 4, 1, 1)</f>
        <v>0</v>
      </c>
      <c r="I296" s="128">
        <f ca="1">IF(OFFSET('IWP11'!UnitsOfServicePeriod1, 0, 5, 1, 1) = "", 0, OFFSET('IWP11'!UnitsOfServicePeriod1, 0, 5, 1, 1))</f>
        <v>0</v>
      </c>
      <c r="J296" s="128">
        <f ca="1">OFFSET('IWP11'!UnitsOfServicePeriod1, 0, 6, 1, 1)</f>
        <v>0</v>
      </c>
      <c r="K296" s="128">
        <f ca="1">IF(OFFSET('IWP11'!UnitsOfServicePeriod1, 0, 7, 1, 1) = "", 0, OFFSET('IWP11'!UnitsOfServicePeriod1, 0, 7, 1, 1))</f>
        <v>0</v>
      </c>
      <c r="L296" s="128">
        <f ca="1">OFFSET('IWP11'!UnitsOfServicePeriod1, 0, 8, 1, 1)</f>
        <v>0</v>
      </c>
      <c r="M296" s="128">
        <f ca="1">IF(OFFSET('IWP11'!UnitsOfServicePeriod1, 0, 9, 1, 1) = "", 0, OFFSET('IWP11'!UnitsOfServicePeriod1, 0, 9, 1, 1))</f>
        <v>0</v>
      </c>
      <c r="N296" s="128">
        <f ca="1">OFFSET('IWP11'!UnitsOfServicePeriod1, 0, 10, 1, 1)</f>
        <v>0</v>
      </c>
      <c r="O296" s="128">
        <f ca="1">IF(OFFSET('IWP11'!UnitsOfServicePeriod1, 0, 11, 1, 1) = "", 0, OFFSET('IWP11'!UnitsOfServicePeriod1, 0, 11, 1, 1))</f>
        <v>0</v>
      </c>
      <c r="P296" s="128">
        <f ca="1">OFFSET('IWP11'!UnitsOfServicePeriod1, 0, 12, 1, 1)</f>
        <v>0</v>
      </c>
      <c r="Q296" s="128">
        <f ca="1">IF(OFFSET('IWP11'!UnitsOfServicePeriod1, 0, 13, 1, 1) = "", 0, OFFSET('IWP11'!UnitsOfServicePeriod1, 0, 13, 1, 1))</f>
        <v>0</v>
      </c>
      <c r="R296" s="128">
        <f ca="1">OFFSET('IWP11'!UnitsOfServicePeriod1, 0, 14, 1, 1)</f>
        <v>0</v>
      </c>
      <c r="S296" s="128">
        <f ca="1">IF(OFFSET('IWP11'!UnitsOfServicePeriod1, 0, 15, 1, 1) = "", 0, OFFSET('IWP11'!UnitsOfServicePeriod1, 0, 15, 1, 1))</f>
        <v>0</v>
      </c>
      <c r="T296" s="128">
        <f ca="1">IF(OFFSET('IWP11'!UnitsOfServicePeriod1, 0, 16, 1, 1) = "", 0, OFFSET('IWP11'!UnitsOfServicePeriod1, 0, 16, 1, 1))</f>
        <v>0</v>
      </c>
      <c r="U296" s="128">
        <f ca="1">OFFSET('IWP11'!UnitsOfServicePeriod1, 0, 17, 1, 1)</f>
        <v>0</v>
      </c>
      <c r="V296" s="128">
        <f ca="1">IF(OFFSET('IWP11'!UnitsOfServicePeriod1, 0, 19, 1, 1) = "", 0, OFFSET('IWP11'!UnitsOfServicePeriod1, 0, 19, 1, 1))</f>
        <v>0</v>
      </c>
      <c r="W296" s="128">
        <f ca="1">OFFSET('IWP11'!UnitsOfServicePeriod1, 0, 20, 1, 1)</f>
        <v>0</v>
      </c>
      <c r="X296" s="128">
        <f ca="1">IF(OFFSET('IWP11'!UnitsOfServicePeriod1, 0, 21, 1, 1) = "", 0, OFFSET('IWP11'!UnitsOfServicePeriod1, 0, 21, 1, 1))</f>
        <v>0</v>
      </c>
      <c r="Y296" s="137">
        <f ca="1">OFFSET('IWP11'!UnitsOfServicePeriod1, 0, 22, 1, 1)</f>
        <v>0</v>
      </c>
    </row>
    <row r="297" spans="1:25">
      <c r="A297" s="125" t="s">
        <v>484</v>
      </c>
      <c r="B297" s="128">
        <v>1</v>
      </c>
      <c r="C297" s="128">
        <v>2</v>
      </c>
      <c r="D297" s="107">
        <f ca="1">IF(OFFSET('IWP11'!UnitsOfServicePeriod1, 1, 0, 1, 1)=DATE(1900,1,0), DATE(1900,1,1),OFFSET('IWP11'!UnitsOfServicePeriod1, 1, 0, 1, 1))</f>
        <v>1</v>
      </c>
      <c r="E297" s="107">
        <f ca="1">IF(OFFSET('IWP11'!UnitsOfServicePeriod1, 1, 1, 1, 1)=DATE(1900,1,0), DATE(1900,1,1),OFFSET('IWP11'!UnitsOfServicePeriod1, 1, 1, 1, 1))</f>
        <v>1</v>
      </c>
      <c r="F297" s="128">
        <f ca="1">OFFSET('IWP11'!UnitsOfServicePeriod1, 1, 2, 1, 1)</f>
        <v>0</v>
      </c>
      <c r="G297" s="128">
        <f ca="1">IF(OFFSET('IWP11'!UnitsOfServicePeriod1, 1, 3, 1, 1) = "", 0, OFFSET('IWP11'!UnitsOfServicePeriod1, 1, 3, 1, 1))</f>
        <v>0</v>
      </c>
      <c r="H297" s="128">
        <f ca="1">OFFSET('IWP11'!UnitsOfServicePeriod1, 1, 4, 1, 1)</f>
        <v>0</v>
      </c>
      <c r="I297" s="128">
        <f ca="1">IF(OFFSET('IWP11'!UnitsOfServicePeriod1, 1, 5, 1, 1) = "", 0, OFFSET('IWP11'!UnitsOfServicePeriod1, 1, 5, 1, 1))</f>
        <v>0</v>
      </c>
      <c r="J297" s="128">
        <f ca="1">OFFSET('IWP11'!UnitsOfServicePeriod1, 1, 6, 1, 1)</f>
        <v>0</v>
      </c>
      <c r="K297" s="128">
        <f ca="1">IF(OFFSET('IWP11'!UnitsOfServicePeriod1, 1, 7, 1, 1) = "", 0, OFFSET('IWP11'!UnitsOfServicePeriod1, 1, 7, 1, 1))</f>
        <v>0</v>
      </c>
      <c r="L297" s="128">
        <f ca="1">OFFSET('IWP11'!UnitsOfServicePeriod1, 1, 8, 1, 1)</f>
        <v>0</v>
      </c>
      <c r="M297" s="128">
        <f ca="1">IF(OFFSET('IWP11'!UnitsOfServicePeriod1, 1, 9, 1, 1) = "", 0, OFFSET('IWP11'!UnitsOfServicePeriod1, 1, 9, 1, 1))</f>
        <v>0</v>
      </c>
      <c r="N297" s="128">
        <f ca="1">OFFSET('IWP11'!UnitsOfServicePeriod1, 1, 10, 1, 1)</f>
        <v>0</v>
      </c>
      <c r="O297" s="128">
        <f ca="1">IF(OFFSET('IWP11'!UnitsOfServicePeriod1, 1, 11, 1, 1) = "", 0, OFFSET('IWP11'!UnitsOfServicePeriod1, 1, 11, 1, 1))</f>
        <v>0</v>
      </c>
      <c r="P297" s="128">
        <f ca="1">OFFSET('IWP11'!UnitsOfServicePeriod1, 1, 12, 1, 1)</f>
        <v>0</v>
      </c>
      <c r="Q297" s="128">
        <f ca="1">IF(OFFSET('IWP11'!UnitsOfServicePeriod1, 1, 13, 1, 1) = "", 0, OFFSET('IWP11'!UnitsOfServicePeriod1, 1, 13, 1, 1))</f>
        <v>0</v>
      </c>
      <c r="R297" s="128">
        <f ca="1">OFFSET('IWP11'!UnitsOfServicePeriod1, 1, 14, 1, 1)</f>
        <v>0</v>
      </c>
      <c r="S297" s="128">
        <f ca="1">IF(OFFSET('IWP11'!UnitsOfServicePeriod1, 1, 15, 1, 1) = "", 0, OFFSET('IWP11'!UnitsOfServicePeriod1, 1, 15, 1, 1))</f>
        <v>0</v>
      </c>
      <c r="T297" s="128">
        <f ca="1">IF(OFFSET('IWP11'!UnitsOfServicePeriod1, 1, 16, 1, 1) = "", 0, OFFSET('IWP11'!UnitsOfServicePeriod1, 1, 16, 1, 1))</f>
        <v>0</v>
      </c>
      <c r="U297" s="128">
        <f ca="1">OFFSET('IWP11'!UnitsOfServicePeriod1, 1, 17, 1, 1)</f>
        <v>0</v>
      </c>
      <c r="V297" s="128">
        <f ca="1">IF(OFFSET('IWP11'!UnitsOfServicePeriod1, 1, 19, 1, 1) = "", 0, OFFSET('IWP11'!UnitsOfServicePeriod1, 1, 19, 1, 1))</f>
        <v>0</v>
      </c>
      <c r="W297" s="128">
        <f ca="1">OFFSET('IWP11'!UnitsOfServicePeriod1, 1, 20, 1, 1)</f>
        <v>0</v>
      </c>
      <c r="X297" s="128">
        <f ca="1">IF(OFFSET('IWP11'!UnitsOfServicePeriod1, 1, 21, 1, 1) = "", 0, OFFSET('IWP11'!UnitsOfServicePeriod1, 1, 21, 1, 1))</f>
        <v>0</v>
      </c>
      <c r="Y297" s="137">
        <f ca="1">OFFSET('IWP11'!UnitsOfServicePeriod1, 1, 22, 1, 1)</f>
        <v>0</v>
      </c>
    </row>
    <row r="298" spans="1:25">
      <c r="A298" s="125" t="s">
        <v>484</v>
      </c>
      <c r="B298" s="128">
        <v>1</v>
      </c>
      <c r="C298" s="128">
        <v>3</v>
      </c>
      <c r="D298" s="107">
        <f ca="1">IF(OFFSET('IWP11'!UnitsOfServicePeriod1, 2, 0, 1, 1)=DATE(1900,1,0), DATE(1900,1,1),OFFSET('IWP11'!UnitsOfServicePeriod1, 2, 0, 1, 1))</f>
        <v>1</v>
      </c>
      <c r="E298" s="107">
        <f ca="1">IF(OFFSET('IWP11'!UnitsOfServicePeriod1, 2, 1, 1, 1)=DATE(1900,1,0), DATE(1900,1,1),OFFSET('IWP11'!UnitsOfServicePeriod1, 2, 1, 1, 1))</f>
        <v>1</v>
      </c>
      <c r="F298" s="128">
        <f ca="1">OFFSET('IWP11'!UnitsOfServicePeriod1, 2, 2, 1, 1)</f>
        <v>0</v>
      </c>
      <c r="G298" s="128">
        <f ca="1">IF(OFFSET('IWP11'!UnitsOfServicePeriod1, 2, 3, 1, 1) = "", 0, OFFSET('IWP11'!UnitsOfServicePeriod1, 2, 3, 1, 1))</f>
        <v>0</v>
      </c>
      <c r="H298" s="128">
        <f ca="1">OFFSET('IWP11'!UnitsOfServicePeriod1, 2, 4, 1, 1)</f>
        <v>0</v>
      </c>
      <c r="I298" s="128">
        <f ca="1">IF(OFFSET('IWP11'!UnitsOfServicePeriod1, 2, 5, 1, 1) = "", 0, OFFSET('IWP11'!UnitsOfServicePeriod1, 2, 5, 1, 1))</f>
        <v>0</v>
      </c>
      <c r="J298" s="128">
        <f ca="1">OFFSET('IWP11'!UnitsOfServicePeriod1, 2, 6, 1, 1)</f>
        <v>0</v>
      </c>
      <c r="K298" s="128">
        <f ca="1">IF(OFFSET('IWP11'!UnitsOfServicePeriod1, 2, 7, 1, 1) = "", 0, OFFSET('IWP11'!UnitsOfServicePeriod1, 2, 7, 1, 1))</f>
        <v>0</v>
      </c>
      <c r="L298" s="128">
        <f ca="1">OFFSET('IWP11'!UnitsOfServicePeriod1, 2, 8, 1, 1)</f>
        <v>0</v>
      </c>
      <c r="M298" s="128">
        <f ca="1">IF(OFFSET('IWP11'!UnitsOfServicePeriod1, 2, 9, 1, 1) = "", 0, OFFSET('IWP11'!UnitsOfServicePeriod1, 2, 9, 1, 1))</f>
        <v>0</v>
      </c>
      <c r="N298" s="128">
        <f ca="1">OFFSET('IWP11'!UnitsOfServicePeriod1, 2, 10, 1, 1)</f>
        <v>0</v>
      </c>
      <c r="O298" s="128">
        <f ca="1">IF(OFFSET('IWP11'!UnitsOfServicePeriod1, 2, 11, 1, 1) = "", 0, OFFSET('IWP11'!UnitsOfServicePeriod1, 2, 11, 1, 1))</f>
        <v>0</v>
      </c>
      <c r="P298" s="128">
        <f ca="1">OFFSET('IWP11'!UnitsOfServicePeriod1, 2, 12, 1, 1)</f>
        <v>0</v>
      </c>
      <c r="Q298" s="128">
        <f ca="1">IF(OFFSET('IWP11'!UnitsOfServicePeriod1, 2, 13, 1, 1) = "", 0, OFFSET('IWP11'!UnitsOfServicePeriod1, 2, 13, 1, 1))</f>
        <v>0</v>
      </c>
      <c r="R298" s="128">
        <f ca="1">OFFSET('IWP11'!UnitsOfServicePeriod1, 2, 14, 1, 1)</f>
        <v>0</v>
      </c>
      <c r="S298" s="128">
        <f ca="1">IF(OFFSET('IWP11'!UnitsOfServicePeriod1, 2, 15, 1, 1) = "", 0, OFFSET('IWP11'!UnitsOfServicePeriod1, 2, 15, 1, 1))</f>
        <v>0</v>
      </c>
      <c r="T298" s="128">
        <f ca="1">IF(OFFSET('IWP11'!UnitsOfServicePeriod1, 2, 16, 1, 1) = "", 0, OFFSET('IWP11'!UnitsOfServicePeriod1, 2, 16, 1, 1))</f>
        <v>0</v>
      </c>
      <c r="U298" s="128">
        <f ca="1">OFFSET('IWP11'!UnitsOfServicePeriod1, 2, 17, 1, 1)</f>
        <v>0</v>
      </c>
      <c r="V298" s="128">
        <f ca="1">IF(OFFSET('IWP11'!UnitsOfServicePeriod1, 2, 19, 1, 1) = "", 0, OFFSET('IWP11'!UnitsOfServicePeriod1, 2, 19, 1, 1))</f>
        <v>0</v>
      </c>
      <c r="W298" s="128">
        <f ca="1">OFFSET('IWP11'!UnitsOfServicePeriod1, 2, 20, 1, 1)</f>
        <v>0</v>
      </c>
      <c r="X298" s="128">
        <f ca="1">IF(OFFSET('IWP11'!UnitsOfServicePeriod1, 2, 21, 1, 1) = "", 0, OFFSET('IWP11'!UnitsOfServicePeriod1, 2, 21, 1, 1))</f>
        <v>0</v>
      </c>
      <c r="Y298" s="137">
        <f ca="1">OFFSET('IWP11'!UnitsOfServicePeriod1, 2, 22, 1, 1)</f>
        <v>0</v>
      </c>
    </row>
    <row r="299" spans="1:25">
      <c r="A299" s="125" t="s">
        <v>484</v>
      </c>
      <c r="B299" s="128">
        <v>1</v>
      </c>
      <c r="C299" s="128">
        <v>4</v>
      </c>
      <c r="D299" s="107">
        <f ca="1">IF(OFFSET('IWP11'!UnitsOfServicePeriod1, 3, 0, 1, 1)=DATE(1900,1,0), DATE(1900,1,1),OFFSET('IWP11'!UnitsOfServicePeriod1, 3, 0, 1, 1))</f>
        <v>1</v>
      </c>
      <c r="E299" s="107">
        <f ca="1">IF(OFFSET('IWP11'!UnitsOfServicePeriod1, 3, 1, 1, 1)=DATE(1900,1,0), DATE(1900,1,1),OFFSET('IWP11'!UnitsOfServicePeriod1, 3, 1, 1, 1))</f>
        <v>1</v>
      </c>
      <c r="F299" s="128">
        <f ca="1">OFFSET('IWP11'!UnitsOfServicePeriod1, 3, 2, 1, 1)</f>
        <v>0</v>
      </c>
      <c r="G299" s="128">
        <f ca="1">IF(OFFSET('IWP11'!UnitsOfServicePeriod1, 3, 3, 1, 1) = "", 0, OFFSET('IWP11'!UnitsOfServicePeriod1, 3, 3, 1, 1))</f>
        <v>0</v>
      </c>
      <c r="H299" s="128">
        <f ca="1">OFFSET('IWP11'!UnitsOfServicePeriod1, 3, 4, 1, 1)</f>
        <v>0</v>
      </c>
      <c r="I299" s="128">
        <f ca="1">IF(OFFSET('IWP11'!UnitsOfServicePeriod1, 3, 5, 1, 1) = "", 0, OFFSET('IWP11'!UnitsOfServicePeriod1, 3, 5, 1, 1))</f>
        <v>0</v>
      </c>
      <c r="J299" s="128">
        <f ca="1">OFFSET('IWP11'!UnitsOfServicePeriod1, 3, 6, 1, 1)</f>
        <v>0</v>
      </c>
      <c r="K299" s="128">
        <f ca="1">IF(OFFSET('IWP11'!UnitsOfServicePeriod1, 3, 7, 1, 1) = "", 0, OFFSET('IWP11'!UnitsOfServicePeriod1, 3, 7, 1, 1))</f>
        <v>0</v>
      </c>
      <c r="L299" s="128">
        <f ca="1">OFFSET('IWP11'!UnitsOfServicePeriod1, 3, 8, 1, 1)</f>
        <v>0</v>
      </c>
      <c r="M299" s="128">
        <f ca="1">IF(OFFSET('IWP11'!UnitsOfServicePeriod1, 3, 9, 1, 1) = "", 0, OFFSET('IWP11'!UnitsOfServicePeriod1, 3, 9, 1, 1))</f>
        <v>0</v>
      </c>
      <c r="N299" s="128">
        <f ca="1">OFFSET('IWP11'!UnitsOfServicePeriod1, 3, 10, 1, 1)</f>
        <v>0</v>
      </c>
      <c r="O299" s="128">
        <f ca="1">IF(OFFSET('IWP11'!UnitsOfServicePeriod1, 3, 11, 1, 1) = "", 0, OFFSET('IWP11'!UnitsOfServicePeriod1, 3, 11, 1, 1))</f>
        <v>0</v>
      </c>
      <c r="P299" s="128">
        <f ca="1">OFFSET('IWP11'!UnitsOfServicePeriod1, 3, 12, 1, 1)</f>
        <v>0</v>
      </c>
      <c r="Q299" s="128">
        <f ca="1">IF(OFFSET('IWP11'!UnitsOfServicePeriod1, 3, 13, 1, 1) = "", 0, OFFSET('IWP11'!UnitsOfServicePeriod1, 3, 13, 1, 1))</f>
        <v>0</v>
      </c>
      <c r="R299" s="128">
        <f ca="1">OFFSET('IWP11'!UnitsOfServicePeriod1, 3, 14, 1, 1)</f>
        <v>0</v>
      </c>
      <c r="S299" s="128">
        <f ca="1">IF(OFFSET('IWP11'!UnitsOfServicePeriod1, 3, 15, 1, 1) = "", 0, OFFSET('IWP11'!UnitsOfServicePeriod1, 3, 15, 1, 1))</f>
        <v>0</v>
      </c>
      <c r="T299" s="128">
        <f ca="1">IF(OFFSET('IWP11'!UnitsOfServicePeriod1, 3, 16, 1, 1) = "", 0, OFFSET('IWP11'!UnitsOfServicePeriod1, 3, 16, 1, 1))</f>
        <v>0</v>
      </c>
      <c r="U299" s="128">
        <f ca="1">OFFSET('IWP11'!UnitsOfServicePeriod1, 3, 17, 1, 1)</f>
        <v>0</v>
      </c>
      <c r="V299" s="128">
        <f ca="1">IF(OFFSET('IWP11'!UnitsOfServicePeriod1, 3, 19, 1, 1) = "", 0, OFFSET('IWP11'!UnitsOfServicePeriod1, 3, 19, 1, 1))</f>
        <v>0</v>
      </c>
      <c r="W299" s="128">
        <f ca="1">OFFSET('IWP11'!UnitsOfServicePeriod1, 3, 20, 1, 1)</f>
        <v>0</v>
      </c>
      <c r="X299" s="128">
        <f ca="1">IF(OFFSET('IWP11'!UnitsOfServicePeriod1, 3, 21, 1, 1) = "", 0, OFFSET('IWP11'!UnitsOfServicePeriod1, 3, 21, 1, 1))</f>
        <v>0</v>
      </c>
      <c r="Y299" s="137">
        <f ca="1">OFFSET('IWP11'!UnitsOfServicePeriod1, 3, 22, 1, 1)</f>
        <v>0</v>
      </c>
    </row>
    <row r="300" spans="1:25">
      <c r="A300" s="125" t="s">
        <v>484</v>
      </c>
      <c r="B300" s="128">
        <v>1</v>
      </c>
      <c r="C300" s="128">
        <v>5</v>
      </c>
      <c r="D300" s="107">
        <f ca="1">IF(OFFSET('IWP11'!UnitsOfServicePeriod1, 4, 0, 1, 1)=DATE(1900,1,0), DATE(1900,1,1),OFFSET('IWP11'!UnitsOfServicePeriod1, 4, 0, 1, 1))</f>
        <v>1</v>
      </c>
      <c r="E300" s="107">
        <f ca="1">IF(OFFSET('IWP11'!UnitsOfServicePeriod1, 4, 1, 1, 1)=DATE(1900,1,0), DATE(1900,1,1),OFFSET('IWP11'!UnitsOfServicePeriod1, 4, 1, 1, 1))</f>
        <v>1</v>
      </c>
      <c r="F300" s="128">
        <f ca="1">OFFSET('IWP11'!UnitsOfServicePeriod1, 4, 2, 1, 1)</f>
        <v>0</v>
      </c>
      <c r="G300" s="128">
        <f ca="1">IF(OFFSET('IWP11'!UnitsOfServicePeriod1, 4, 3, 1, 1) = "", 0, OFFSET('IWP11'!UnitsOfServicePeriod1, 4, 3, 1, 1))</f>
        <v>0</v>
      </c>
      <c r="H300" s="128">
        <f ca="1">OFFSET('IWP11'!UnitsOfServicePeriod1, 4, 4, 1, 1)</f>
        <v>0</v>
      </c>
      <c r="I300" s="128">
        <f ca="1">IF(OFFSET('IWP11'!UnitsOfServicePeriod1, 4, 5, 1, 1) = "", 0, OFFSET('IWP11'!UnitsOfServicePeriod1, 4, 5, 1, 1))</f>
        <v>0</v>
      </c>
      <c r="J300" s="128">
        <f ca="1">OFFSET('IWP11'!UnitsOfServicePeriod1, 4, 6, 1, 1)</f>
        <v>0</v>
      </c>
      <c r="K300" s="128">
        <f ca="1">IF(OFFSET('IWP11'!UnitsOfServicePeriod1, 4, 7, 1, 1) = "", 0, OFFSET('IWP11'!UnitsOfServicePeriod1, 4, 7, 1, 1))</f>
        <v>0</v>
      </c>
      <c r="L300" s="128">
        <f ca="1">OFFSET('IWP11'!UnitsOfServicePeriod1, 4, 8, 1, 1)</f>
        <v>0</v>
      </c>
      <c r="M300" s="128">
        <f ca="1">IF(OFFSET('IWP11'!UnitsOfServicePeriod1, 4, 9, 1, 1) = "", 0, OFFSET('IWP11'!UnitsOfServicePeriod1, 4, 9, 1, 1))</f>
        <v>0</v>
      </c>
      <c r="N300" s="128">
        <f ca="1">OFFSET('IWP11'!UnitsOfServicePeriod1, 4, 10, 1, 1)</f>
        <v>0</v>
      </c>
      <c r="O300" s="128">
        <f ca="1">IF(OFFSET('IWP11'!UnitsOfServicePeriod1, 4, 11, 1, 1) = "", 0, OFFSET('IWP11'!UnitsOfServicePeriod1, 4, 11, 1, 1))</f>
        <v>0</v>
      </c>
      <c r="P300" s="128">
        <f ca="1">OFFSET('IWP11'!UnitsOfServicePeriod1, 4, 12, 1, 1)</f>
        <v>0</v>
      </c>
      <c r="Q300" s="128">
        <f ca="1">IF(OFFSET('IWP11'!UnitsOfServicePeriod1, 4, 13, 1, 1) = "", 0, OFFSET('IWP11'!UnitsOfServicePeriod1, 4, 13, 1, 1))</f>
        <v>0</v>
      </c>
      <c r="R300" s="128">
        <f ca="1">OFFSET('IWP11'!UnitsOfServicePeriod1, 4, 14, 1, 1)</f>
        <v>0</v>
      </c>
      <c r="S300" s="128">
        <f ca="1">IF(OFFSET('IWP11'!UnitsOfServicePeriod1, 4, 15, 1, 1) = "", 0, OFFSET('IWP11'!UnitsOfServicePeriod1, 4, 15, 1, 1))</f>
        <v>0</v>
      </c>
      <c r="T300" s="128">
        <f ca="1">IF(OFFSET('IWP11'!UnitsOfServicePeriod1, 4, 16, 1, 1) = "", 0, OFFSET('IWP11'!UnitsOfServicePeriod1, 4, 16, 1, 1))</f>
        <v>0</v>
      </c>
      <c r="U300" s="128">
        <f ca="1">OFFSET('IWP11'!UnitsOfServicePeriod1, 4, 17, 1, 1)</f>
        <v>0</v>
      </c>
      <c r="V300" s="128">
        <f ca="1">IF(OFFSET('IWP11'!UnitsOfServicePeriod1, 4, 19, 1, 1) = "", 0, OFFSET('IWP11'!UnitsOfServicePeriod1, 4, 19, 1, 1))</f>
        <v>0</v>
      </c>
      <c r="W300" s="128">
        <f ca="1">OFFSET('IWP11'!UnitsOfServicePeriod1, 4, 20, 1, 1)</f>
        <v>0</v>
      </c>
      <c r="X300" s="128">
        <f ca="1">IF(OFFSET('IWP11'!UnitsOfServicePeriod1, 4, 21, 1, 1) = "", 0, OFFSET('IWP11'!UnitsOfServicePeriod1, 4, 21, 1, 1))</f>
        <v>0</v>
      </c>
      <c r="Y300" s="137">
        <f ca="1">OFFSET('IWP11'!UnitsOfServicePeriod1, 4, 22, 1, 1)</f>
        <v>0</v>
      </c>
    </row>
    <row r="301" spans="1:25">
      <c r="A301" s="125" t="s">
        <v>484</v>
      </c>
      <c r="B301" s="128">
        <v>1</v>
      </c>
      <c r="C301" s="128">
        <v>6</v>
      </c>
      <c r="D301" s="107">
        <f ca="1">IF(OFFSET('IWP11'!UnitsOfServicePeriod1, 5, 0, 1, 1)=DATE(1900,1,0), DATE(1900,1,1),OFFSET('IWP11'!UnitsOfServicePeriod1, 5, 0, 1, 1))</f>
        <v>1</v>
      </c>
      <c r="E301" s="107">
        <f ca="1">IF(OFFSET('IWP11'!UnitsOfServicePeriod1, 5, 1, 1, 1)=DATE(1900,1,0), DATE(1900,1,1),OFFSET('IWP11'!UnitsOfServicePeriod1, 5, 1, 1, 1))</f>
        <v>1</v>
      </c>
      <c r="F301" s="128">
        <f ca="1">OFFSET('IWP11'!UnitsOfServicePeriod1, 5, 2, 1, 1)</f>
        <v>0</v>
      </c>
      <c r="G301" s="128">
        <f ca="1">IF(OFFSET('IWP11'!UnitsOfServicePeriod1, 5, 3, 1, 1) = "", 0, OFFSET('IWP11'!UnitsOfServicePeriod1, 5, 3, 1, 1))</f>
        <v>0</v>
      </c>
      <c r="H301" s="128">
        <f ca="1">OFFSET('IWP11'!UnitsOfServicePeriod1, 5, 4, 1, 1)</f>
        <v>0</v>
      </c>
      <c r="I301" s="128">
        <f ca="1">IF(OFFSET('IWP11'!UnitsOfServicePeriod1, 5, 5, 1, 1) = "", 0, OFFSET('IWP11'!UnitsOfServicePeriod1, 5, 5, 1, 1))</f>
        <v>0</v>
      </c>
      <c r="J301" s="128">
        <f ca="1">OFFSET('IWP11'!UnitsOfServicePeriod1, 5, 6, 1, 1)</f>
        <v>0</v>
      </c>
      <c r="K301" s="128">
        <f ca="1">IF(OFFSET('IWP11'!UnitsOfServicePeriod1, 5, 7, 1, 1) = "", 0, OFFSET('IWP11'!UnitsOfServicePeriod1, 5, 7, 1, 1))</f>
        <v>0</v>
      </c>
      <c r="L301" s="128">
        <f ca="1">OFFSET('IWP11'!UnitsOfServicePeriod1, 5, 8, 1, 1)</f>
        <v>0</v>
      </c>
      <c r="M301" s="128">
        <f ca="1">IF(OFFSET('IWP11'!UnitsOfServicePeriod1, 5, 9, 1, 1) = "", 0, OFFSET('IWP11'!UnitsOfServicePeriod1, 5, 9, 1, 1))</f>
        <v>0</v>
      </c>
      <c r="N301" s="128">
        <f ca="1">OFFSET('IWP11'!UnitsOfServicePeriod1, 5, 10, 1, 1)</f>
        <v>0</v>
      </c>
      <c r="O301" s="128">
        <f ca="1">IF(OFFSET('IWP11'!UnitsOfServicePeriod1, 5, 11, 1, 1) = "", 0, OFFSET('IWP11'!UnitsOfServicePeriod1, 5, 11, 1, 1))</f>
        <v>0</v>
      </c>
      <c r="P301" s="128">
        <f ca="1">OFFSET('IWP11'!UnitsOfServicePeriod1, 5, 12, 1, 1)</f>
        <v>0</v>
      </c>
      <c r="Q301" s="128">
        <f ca="1">IF(OFFSET('IWP11'!UnitsOfServicePeriod1, 5, 13, 1, 1) = "", 0, OFFSET('IWP11'!UnitsOfServicePeriod1, 5, 13, 1, 1))</f>
        <v>0</v>
      </c>
      <c r="R301" s="128">
        <f ca="1">OFFSET('IWP11'!UnitsOfServicePeriod1, 5, 14, 1, 1)</f>
        <v>0</v>
      </c>
      <c r="S301" s="128">
        <f ca="1">IF(OFFSET('IWP11'!UnitsOfServicePeriod1, 5, 15, 1, 1) = "", 0, OFFSET('IWP11'!UnitsOfServicePeriod1, 5, 15, 1, 1))</f>
        <v>0</v>
      </c>
      <c r="T301" s="128">
        <f ca="1">IF(OFFSET('IWP11'!UnitsOfServicePeriod1, 5, 16, 1, 1) = "", 0, OFFSET('IWP11'!UnitsOfServicePeriod1, 5, 16, 1, 1))</f>
        <v>0</v>
      </c>
      <c r="U301" s="128">
        <f ca="1">OFFSET('IWP11'!UnitsOfServicePeriod1, 5, 17, 1, 1)</f>
        <v>0</v>
      </c>
      <c r="V301" s="128">
        <f ca="1">IF(OFFSET('IWP11'!UnitsOfServicePeriod1, 5, 19, 1, 1) = "", 0, OFFSET('IWP11'!UnitsOfServicePeriod1, 5, 19, 1, 1))</f>
        <v>0</v>
      </c>
      <c r="W301" s="128">
        <f ca="1">OFFSET('IWP11'!UnitsOfServicePeriod1, 5, 20, 1, 1)</f>
        <v>0</v>
      </c>
      <c r="X301" s="128">
        <f ca="1">IF(OFFSET('IWP11'!UnitsOfServicePeriod1, 5, 21, 1, 1) = "", 0, OFFSET('IWP11'!UnitsOfServicePeriod1, 5, 21, 1, 1))</f>
        <v>0</v>
      </c>
      <c r="Y301" s="137">
        <f ca="1">OFFSET('IWP11'!UnitsOfServicePeriod1, 5, 22, 1, 1)</f>
        <v>0</v>
      </c>
    </row>
    <row r="302" spans="1:25">
      <c r="A302" s="125" t="s">
        <v>484</v>
      </c>
      <c r="B302" s="128">
        <v>2</v>
      </c>
      <c r="C302" s="128">
        <v>1</v>
      </c>
      <c r="D302" s="107">
        <f ca="1">IF(OFFSET('IWP11'!UnitsOfServicePeriod2, 0, 0, 1, 1)=DATE(1900,1,0), DATE(1900,1,1),OFFSET('IWP11'!UnitsOfServicePeriod2, 0, 0, 1, 1))</f>
        <v>1</v>
      </c>
      <c r="E302" s="107">
        <f ca="1">IF(OFFSET('IWP11'!UnitsOfServicePeriod2, 0, 1, 1, 1)=DATE(1900,1,0), DATE(1900,1,1),OFFSET('IWP11'!UnitsOfServicePeriod2, 0, 1, 1, 1))</f>
        <v>1</v>
      </c>
      <c r="F302" s="128">
        <f ca="1">OFFSET('IWP11'!UnitsOfServicePeriod2, 0, 2, 1, 1)</f>
        <v>0</v>
      </c>
      <c r="G302" s="128">
        <f ca="1">IF(OFFSET('IWP11'!UnitsOfServicePeriod2, 0, 3, 1, 1) = "", 0, OFFSET('IWP11'!UnitsOfServicePeriod2, 0, 3, 1, 1))</f>
        <v>0</v>
      </c>
      <c r="H302" s="128">
        <f ca="1">OFFSET('IWP11'!UnitsOfServicePeriod2, 0, 4, 1, 1)</f>
        <v>0</v>
      </c>
      <c r="I302" s="128">
        <f ca="1">IF(OFFSET('IWP11'!UnitsOfServicePeriod2, 0, 5, 1, 1) = "", 0, OFFSET('IWP11'!UnitsOfServicePeriod2, 0, 5, 1, 1))</f>
        <v>0</v>
      </c>
      <c r="J302" s="128">
        <f ca="1">OFFSET('IWP11'!UnitsOfServicePeriod2, 0, 6, 1, 1)</f>
        <v>0</v>
      </c>
      <c r="K302" s="128">
        <f ca="1">IF(OFFSET('IWP11'!UnitsOfServicePeriod2, 0, 7, 1, 1) = "", 0, OFFSET('IWP11'!UnitsOfServicePeriod2, 0, 7, 1, 1))</f>
        <v>0</v>
      </c>
      <c r="L302" s="128">
        <f ca="1">OFFSET('IWP11'!UnitsOfServicePeriod2, 0, 8, 1, 1)</f>
        <v>0</v>
      </c>
      <c r="M302" s="128">
        <f ca="1">IF(OFFSET('IWP11'!UnitsOfServicePeriod2, 0, 9, 1, 1) = "", 0, OFFSET('IWP11'!UnitsOfServicePeriod2, 0, 9, 1, 1))</f>
        <v>0</v>
      </c>
      <c r="N302" s="128">
        <f ca="1">OFFSET('IWP11'!UnitsOfServicePeriod2, 0, 10, 1, 1)</f>
        <v>0</v>
      </c>
      <c r="O302" s="128">
        <f ca="1">IF(OFFSET('IWP11'!UnitsOfServicePeriod2, 0, 11, 1, 1) = "", 0, OFFSET('IWP11'!UnitsOfServicePeriod2, 0, 11, 1, 1))</f>
        <v>0</v>
      </c>
      <c r="P302" s="128">
        <f ca="1">OFFSET('IWP11'!UnitsOfServicePeriod2, 0, 12, 1, 1)</f>
        <v>0</v>
      </c>
      <c r="Q302" s="128">
        <f ca="1">IF(OFFSET('IWP11'!UnitsOfServicePeriod2, 0, 13, 1, 1) = "", 0, OFFSET('IWP11'!UnitsOfServicePeriod2, 0, 13, 1, 1))</f>
        <v>0</v>
      </c>
      <c r="R302" s="128">
        <f ca="1">OFFSET('IWP11'!UnitsOfServicePeriod2, 0, 14, 1, 1)</f>
        <v>0</v>
      </c>
      <c r="S302" s="128">
        <f ca="1">IF(OFFSET('IWP11'!UnitsOfServicePeriod2, 0, 15, 1, 1) = "", 0, OFFSET('IWP11'!UnitsOfServicePeriod2, 0, 15, 1, 1))</f>
        <v>0</v>
      </c>
      <c r="T302" s="128">
        <f ca="1">IF(OFFSET('IWP11'!UnitsOfServicePeriod2, 0, 16, 1, 1) = "", 0, OFFSET('IWP11'!UnitsOfServicePeriod2, 0, 16, 1, 1))</f>
        <v>0</v>
      </c>
      <c r="U302" s="128">
        <f ca="1">OFFSET('IWP11'!UnitsOfServicePeriod2, 0, 17, 1, 1)</f>
        <v>0</v>
      </c>
      <c r="V302" s="128">
        <f ca="1">IF(OFFSET('IWP11'!UnitsOfServicePeriod2, 0, 19, 1, 1) = "", 0, OFFSET('IWP11'!UnitsOfServicePeriod2, 0, 19, 1, 1))</f>
        <v>0</v>
      </c>
      <c r="W302" s="128">
        <f ca="1">OFFSET('IWP11'!UnitsOfServicePeriod2, 0, 20, 1, 1)</f>
        <v>0</v>
      </c>
      <c r="X302" s="128">
        <f ca="1">IF(OFFSET('IWP11'!UnitsOfServicePeriod2, 0, 21, 1, 1) = "", 0, OFFSET('IWP11'!UnitsOfServicePeriod2, 0, 21, 1, 1))</f>
        <v>0</v>
      </c>
      <c r="Y302" s="137">
        <f ca="1">OFFSET('IWP11'!UnitsOfServicePeriod2, 0, 22, 1, 1)</f>
        <v>0</v>
      </c>
    </row>
    <row r="303" spans="1:25">
      <c r="A303" s="125" t="s">
        <v>484</v>
      </c>
      <c r="B303" s="128">
        <v>2</v>
      </c>
      <c r="C303" s="128">
        <v>2</v>
      </c>
      <c r="D303" s="107">
        <f ca="1">IF(OFFSET('IWP11'!UnitsOfServicePeriod2, 1, 0, 1, 1)=DATE(1900,1,0), DATE(1900,1,1),OFFSET('IWP11'!UnitsOfServicePeriod2, 1, 0, 1, 1))</f>
        <v>1</v>
      </c>
      <c r="E303" s="107">
        <f ca="1">IF(OFFSET('IWP11'!UnitsOfServicePeriod2, 1, 1, 1, 1)=DATE(1900,1,0), DATE(1900,1,1),OFFSET('IWP11'!UnitsOfServicePeriod2, 1, 1, 1, 1))</f>
        <v>1</v>
      </c>
      <c r="F303" s="128">
        <f ca="1">OFFSET('IWP11'!UnitsOfServicePeriod2, 1, 2, 1, 1)</f>
        <v>0</v>
      </c>
      <c r="G303" s="128">
        <f ca="1">IF(OFFSET('IWP11'!UnitsOfServicePeriod2, 1, 3, 1, 1) = "", 0, OFFSET('IWP11'!UnitsOfServicePeriod2, 1, 3, 1, 1))</f>
        <v>0</v>
      </c>
      <c r="H303" s="128">
        <f ca="1">OFFSET('IWP11'!UnitsOfServicePeriod2, 1, 4, 1, 1)</f>
        <v>0</v>
      </c>
      <c r="I303" s="128">
        <f ca="1">IF(OFFSET('IWP11'!UnitsOfServicePeriod2, 1, 5, 1, 1) = "", 0, OFFSET('IWP11'!UnitsOfServicePeriod2, 1, 5, 1, 1))</f>
        <v>0</v>
      </c>
      <c r="J303" s="128">
        <f ca="1">OFFSET('IWP11'!UnitsOfServicePeriod2, 1, 6, 1, 1)</f>
        <v>0</v>
      </c>
      <c r="K303" s="128">
        <f ca="1">IF(OFFSET('IWP11'!UnitsOfServicePeriod2, 1, 7, 1, 1) = "", 0, OFFSET('IWP11'!UnitsOfServicePeriod2, 1, 7, 1, 1))</f>
        <v>0</v>
      </c>
      <c r="L303" s="128">
        <f ca="1">OFFSET('IWP11'!UnitsOfServicePeriod2, 1, 8, 1, 1)</f>
        <v>0</v>
      </c>
      <c r="M303" s="128">
        <f ca="1">IF(OFFSET('IWP11'!UnitsOfServicePeriod2, 1, 9, 1, 1) = "", 0, OFFSET('IWP11'!UnitsOfServicePeriod2, 1, 9, 1, 1))</f>
        <v>0</v>
      </c>
      <c r="N303" s="128">
        <f ca="1">OFFSET('IWP11'!UnitsOfServicePeriod2, 1, 10, 1, 1)</f>
        <v>0</v>
      </c>
      <c r="O303" s="128">
        <f ca="1">IF(OFFSET('IWP11'!UnitsOfServicePeriod2, 1, 11, 1, 1) = "", 0, OFFSET('IWP11'!UnitsOfServicePeriod2, 1, 11, 1, 1))</f>
        <v>0</v>
      </c>
      <c r="P303" s="128">
        <f ca="1">OFFSET('IWP11'!UnitsOfServicePeriod2, 1, 12, 1, 1)</f>
        <v>0</v>
      </c>
      <c r="Q303" s="128">
        <f ca="1">IF(OFFSET('IWP11'!UnitsOfServicePeriod2, 1, 13, 1, 1) = "", 0, OFFSET('IWP11'!UnitsOfServicePeriod2, 1, 13, 1, 1))</f>
        <v>0</v>
      </c>
      <c r="R303" s="128">
        <f ca="1">OFFSET('IWP11'!UnitsOfServicePeriod2, 1, 14, 1, 1)</f>
        <v>0</v>
      </c>
      <c r="S303" s="128">
        <f ca="1">IF(OFFSET('IWP11'!UnitsOfServicePeriod2, 1, 15, 1, 1) = "", 0, OFFSET('IWP11'!UnitsOfServicePeriod2, 1, 15, 1, 1))</f>
        <v>0</v>
      </c>
      <c r="T303" s="128">
        <f ca="1">IF(OFFSET('IWP11'!UnitsOfServicePeriod2, 1, 16, 1, 1) = "", 0, OFFSET('IWP11'!UnitsOfServicePeriod2, 1, 16, 1, 1))</f>
        <v>0</v>
      </c>
      <c r="U303" s="128">
        <f ca="1">OFFSET('IWP11'!UnitsOfServicePeriod2, 1, 17, 1, 1)</f>
        <v>0</v>
      </c>
      <c r="V303" s="128">
        <f ca="1">IF(OFFSET('IWP11'!UnitsOfServicePeriod2, 1, 19, 1, 1) = "", 0, OFFSET('IWP11'!UnitsOfServicePeriod2, 1, 19, 1, 1))</f>
        <v>0</v>
      </c>
      <c r="W303" s="128">
        <f ca="1">OFFSET('IWP11'!UnitsOfServicePeriod2, 1, 20, 1, 1)</f>
        <v>0</v>
      </c>
      <c r="X303" s="128">
        <f ca="1">IF(OFFSET('IWP11'!UnitsOfServicePeriod2, 1, 21, 1, 1) = "", 0, OFFSET('IWP11'!UnitsOfServicePeriod2, 1, 21, 1, 1))</f>
        <v>0</v>
      </c>
      <c r="Y303" s="137">
        <f ca="1">OFFSET('IWP11'!UnitsOfServicePeriod2, 1, 22, 1, 1)</f>
        <v>0</v>
      </c>
    </row>
    <row r="304" spans="1:25">
      <c r="A304" s="125" t="s">
        <v>484</v>
      </c>
      <c r="B304" s="128">
        <v>2</v>
      </c>
      <c r="C304" s="128">
        <v>3</v>
      </c>
      <c r="D304" s="107">
        <f ca="1">IF(OFFSET('IWP11'!UnitsOfServicePeriod2, 2, 0, 1, 1)=DATE(1900,1,0), DATE(1900,1,1),OFFSET('IWP11'!UnitsOfServicePeriod2, 2, 0, 1, 1))</f>
        <v>1</v>
      </c>
      <c r="E304" s="107">
        <f ca="1">IF(OFFSET('IWP11'!UnitsOfServicePeriod2, 2, 1, 1, 1)=DATE(1900,1,0), DATE(1900,1,1),OFFSET('IWP11'!UnitsOfServicePeriod2, 2, 1, 1, 1))</f>
        <v>1</v>
      </c>
      <c r="F304" s="128">
        <f ca="1">OFFSET('IWP11'!UnitsOfServicePeriod2, 2, 2, 1, 1)</f>
        <v>0</v>
      </c>
      <c r="G304" s="128">
        <f ca="1">IF(OFFSET('IWP11'!UnitsOfServicePeriod2, 2, 3, 1, 1) = "", 0, OFFSET('IWP11'!UnitsOfServicePeriod2, 2, 3, 1, 1))</f>
        <v>0</v>
      </c>
      <c r="H304" s="128">
        <f ca="1">OFFSET('IWP11'!UnitsOfServicePeriod2, 2, 4, 1, 1)</f>
        <v>0</v>
      </c>
      <c r="I304" s="128">
        <f ca="1">IF(OFFSET('IWP11'!UnitsOfServicePeriod2, 2, 5, 1, 1) = "", 0, OFFSET('IWP11'!UnitsOfServicePeriod2, 2, 5, 1, 1))</f>
        <v>0</v>
      </c>
      <c r="J304" s="128">
        <f ca="1">OFFSET('IWP11'!UnitsOfServicePeriod2, 2, 6, 1, 1)</f>
        <v>0</v>
      </c>
      <c r="K304" s="128">
        <f ca="1">IF(OFFSET('IWP11'!UnitsOfServicePeriod2, 2, 7, 1, 1) = "", 0, OFFSET('IWP11'!UnitsOfServicePeriod2, 2, 7, 1, 1))</f>
        <v>0</v>
      </c>
      <c r="L304" s="128">
        <f ca="1">OFFSET('IWP11'!UnitsOfServicePeriod2, 2, 8, 1, 1)</f>
        <v>0</v>
      </c>
      <c r="M304" s="128">
        <f ca="1">IF(OFFSET('IWP11'!UnitsOfServicePeriod2, 2, 9, 1, 1) = "", 0, OFFSET('IWP11'!UnitsOfServicePeriod2, 2, 9, 1, 1))</f>
        <v>0</v>
      </c>
      <c r="N304" s="128">
        <f ca="1">OFFSET('IWP11'!UnitsOfServicePeriod2, 2, 10, 1, 1)</f>
        <v>0</v>
      </c>
      <c r="O304" s="128">
        <f ca="1">IF(OFFSET('IWP11'!UnitsOfServicePeriod2, 2, 11, 1, 1) = "", 0, OFFSET('IWP11'!UnitsOfServicePeriod2, 2, 11, 1, 1))</f>
        <v>0</v>
      </c>
      <c r="P304" s="128">
        <f ca="1">OFFSET('IWP11'!UnitsOfServicePeriod2, 2, 12, 1, 1)</f>
        <v>0</v>
      </c>
      <c r="Q304" s="128">
        <f ca="1">IF(OFFSET('IWP11'!UnitsOfServicePeriod2, 2, 13, 1, 1) = "", 0, OFFSET('IWP11'!UnitsOfServicePeriod2, 2, 13, 1, 1))</f>
        <v>0</v>
      </c>
      <c r="R304" s="128">
        <f ca="1">OFFSET('IWP11'!UnitsOfServicePeriod2, 2, 14, 1, 1)</f>
        <v>0</v>
      </c>
      <c r="S304" s="128">
        <f ca="1">IF(OFFSET('IWP11'!UnitsOfServicePeriod2, 2, 15, 1, 1) = "", 0, OFFSET('IWP11'!UnitsOfServicePeriod2, 2, 15, 1, 1))</f>
        <v>0</v>
      </c>
      <c r="T304" s="128">
        <f ca="1">IF(OFFSET('IWP11'!UnitsOfServicePeriod2, 2, 16, 1, 1) = "", 0, OFFSET('IWP11'!UnitsOfServicePeriod2, 2, 16, 1, 1))</f>
        <v>0</v>
      </c>
      <c r="U304" s="128">
        <f ca="1">OFFSET('IWP11'!UnitsOfServicePeriod2, 2, 17, 1, 1)</f>
        <v>0</v>
      </c>
      <c r="V304" s="128">
        <f ca="1">IF(OFFSET('IWP11'!UnitsOfServicePeriod2, 2, 19, 1, 1) = "", 0, OFFSET('IWP11'!UnitsOfServicePeriod2, 2, 19, 1, 1))</f>
        <v>0</v>
      </c>
      <c r="W304" s="128">
        <f ca="1">OFFSET('IWP11'!UnitsOfServicePeriod2, 2, 20, 1, 1)</f>
        <v>0</v>
      </c>
      <c r="X304" s="128">
        <f ca="1">IF(OFFSET('IWP11'!UnitsOfServicePeriod2, 2, 21, 1, 1) = "", 0, OFFSET('IWP11'!UnitsOfServicePeriod2, 2, 21, 1, 1))</f>
        <v>0</v>
      </c>
      <c r="Y304" s="137">
        <f ca="1">OFFSET('IWP11'!UnitsOfServicePeriod2, 2, 22, 1, 1)</f>
        <v>0</v>
      </c>
    </row>
    <row r="305" spans="1:25">
      <c r="A305" s="125" t="s">
        <v>484</v>
      </c>
      <c r="B305" s="128">
        <v>2</v>
      </c>
      <c r="C305" s="128">
        <v>4</v>
      </c>
      <c r="D305" s="107">
        <f ca="1">IF(OFFSET('IWP11'!UnitsOfServicePeriod2, 3, 0, 1, 1)=DATE(1900,1,0), DATE(1900,1,1),OFFSET('IWP11'!UnitsOfServicePeriod2, 3, 0, 1, 1))</f>
        <v>1</v>
      </c>
      <c r="E305" s="107">
        <f ca="1">IF(OFFSET('IWP11'!UnitsOfServicePeriod2, 3, 1, 1, 1)=DATE(1900,1,0), DATE(1900,1,1),OFFSET('IWP11'!UnitsOfServicePeriod2, 3, 1, 1, 1))</f>
        <v>1</v>
      </c>
      <c r="F305" s="128">
        <f ca="1">OFFSET('IWP11'!UnitsOfServicePeriod2, 3, 2, 1, 1)</f>
        <v>0</v>
      </c>
      <c r="G305" s="128">
        <f ca="1">IF(OFFSET('IWP11'!UnitsOfServicePeriod2, 3, 3, 1, 1) = "", 0, OFFSET('IWP11'!UnitsOfServicePeriod2, 3, 3, 1, 1))</f>
        <v>0</v>
      </c>
      <c r="H305" s="128">
        <f ca="1">OFFSET('IWP11'!UnitsOfServicePeriod2, 3, 4, 1, 1)</f>
        <v>0</v>
      </c>
      <c r="I305" s="128">
        <f ca="1">IF(OFFSET('IWP11'!UnitsOfServicePeriod2, 3, 5, 1, 1) = "", 0, OFFSET('IWP11'!UnitsOfServicePeriod2, 3, 5, 1, 1))</f>
        <v>0</v>
      </c>
      <c r="J305" s="128">
        <f ca="1">OFFSET('IWP11'!UnitsOfServicePeriod2, 3, 6, 1, 1)</f>
        <v>0</v>
      </c>
      <c r="K305" s="128">
        <f ca="1">IF(OFFSET('IWP11'!UnitsOfServicePeriod2, 3, 7, 1, 1) = "", 0, OFFSET('IWP11'!UnitsOfServicePeriod2, 3, 7, 1, 1))</f>
        <v>0</v>
      </c>
      <c r="L305" s="128">
        <f ca="1">OFFSET('IWP11'!UnitsOfServicePeriod2, 3, 8, 1, 1)</f>
        <v>0</v>
      </c>
      <c r="M305" s="128">
        <f ca="1">IF(OFFSET('IWP11'!UnitsOfServicePeriod2, 3, 9, 1, 1) = "", 0, OFFSET('IWP11'!UnitsOfServicePeriod2, 3, 9, 1, 1))</f>
        <v>0</v>
      </c>
      <c r="N305" s="128">
        <f ca="1">OFFSET('IWP11'!UnitsOfServicePeriod2, 3, 10, 1, 1)</f>
        <v>0</v>
      </c>
      <c r="O305" s="128">
        <f ca="1">IF(OFFSET('IWP11'!UnitsOfServicePeriod2, 3, 11, 1, 1) = "", 0, OFFSET('IWP11'!UnitsOfServicePeriod2, 3, 11, 1, 1))</f>
        <v>0</v>
      </c>
      <c r="P305" s="128">
        <f ca="1">OFFSET('IWP11'!UnitsOfServicePeriod2, 3, 12, 1, 1)</f>
        <v>0</v>
      </c>
      <c r="Q305" s="128">
        <f ca="1">IF(OFFSET('IWP11'!UnitsOfServicePeriod2, 3, 13, 1, 1) = "", 0, OFFSET('IWP11'!UnitsOfServicePeriod2, 3, 13, 1, 1))</f>
        <v>0</v>
      </c>
      <c r="R305" s="128">
        <f ca="1">OFFSET('IWP11'!UnitsOfServicePeriod2, 3, 14, 1, 1)</f>
        <v>0</v>
      </c>
      <c r="S305" s="128">
        <f ca="1">IF(OFFSET('IWP11'!UnitsOfServicePeriod2, 3, 15, 1, 1) = "", 0, OFFSET('IWP11'!UnitsOfServicePeriod2, 3, 15, 1, 1))</f>
        <v>0</v>
      </c>
      <c r="T305" s="128">
        <f ca="1">IF(OFFSET('IWP11'!UnitsOfServicePeriod2, 3, 16, 1, 1) = "", 0, OFFSET('IWP11'!UnitsOfServicePeriod2, 3, 16, 1, 1))</f>
        <v>0</v>
      </c>
      <c r="U305" s="128">
        <f ca="1">OFFSET('IWP11'!UnitsOfServicePeriod2, 3, 17, 1, 1)</f>
        <v>0</v>
      </c>
      <c r="V305" s="128">
        <f ca="1">IF(OFFSET('IWP11'!UnitsOfServicePeriod2, 3, 19, 1, 1) = "", 0, OFFSET('IWP11'!UnitsOfServicePeriod2, 3, 19, 1, 1))</f>
        <v>0</v>
      </c>
      <c r="W305" s="128">
        <f ca="1">OFFSET('IWP11'!UnitsOfServicePeriod2, 3, 20, 1, 1)</f>
        <v>0</v>
      </c>
      <c r="X305" s="128">
        <f ca="1">IF(OFFSET('IWP11'!UnitsOfServicePeriod2, 3, 21, 1, 1) = "", 0, OFFSET('IWP11'!UnitsOfServicePeriod2, 3, 21, 1, 1))</f>
        <v>0</v>
      </c>
      <c r="Y305" s="137">
        <f ca="1">OFFSET('IWP11'!UnitsOfServicePeriod2, 3, 22, 1, 1)</f>
        <v>0</v>
      </c>
    </row>
    <row r="306" spans="1:25">
      <c r="A306" s="125" t="s">
        <v>484</v>
      </c>
      <c r="B306" s="128">
        <v>2</v>
      </c>
      <c r="C306" s="128">
        <v>5</v>
      </c>
      <c r="D306" s="107">
        <f ca="1">IF(OFFSET('IWP11'!UnitsOfServicePeriod2, 4, 0, 1, 1)=DATE(1900,1,0), DATE(1900,1,1),OFFSET('IWP11'!UnitsOfServicePeriod2, 4, 0, 1, 1))</f>
        <v>1</v>
      </c>
      <c r="E306" s="107">
        <f ca="1">IF(OFFSET('IWP11'!UnitsOfServicePeriod2, 4, 1, 1, 1)=DATE(1900,1,0), DATE(1900,1,1),OFFSET('IWP11'!UnitsOfServicePeriod2, 4, 1, 1, 1))</f>
        <v>1</v>
      </c>
      <c r="F306" s="128">
        <f ca="1">OFFSET('IWP11'!UnitsOfServicePeriod2, 4, 2, 1, 1)</f>
        <v>0</v>
      </c>
      <c r="G306" s="128">
        <f ca="1">IF(OFFSET('IWP11'!UnitsOfServicePeriod2, 4, 3, 1, 1) = "", 0, OFFSET('IWP11'!UnitsOfServicePeriod2, 4, 3, 1, 1))</f>
        <v>0</v>
      </c>
      <c r="H306" s="128">
        <f ca="1">OFFSET('IWP11'!UnitsOfServicePeriod2, 4, 4, 1, 1)</f>
        <v>0</v>
      </c>
      <c r="I306" s="128">
        <f ca="1">IF(OFFSET('IWP11'!UnitsOfServicePeriod2, 4, 5, 1, 1) = "", 0, OFFSET('IWP11'!UnitsOfServicePeriod2, 4, 5, 1, 1))</f>
        <v>0</v>
      </c>
      <c r="J306" s="128">
        <f ca="1">OFFSET('IWP11'!UnitsOfServicePeriod2, 4, 6, 1, 1)</f>
        <v>0</v>
      </c>
      <c r="K306" s="128">
        <f ca="1">IF(OFFSET('IWP11'!UnitsOfServicePeriod2, 4, 7, 1, 1) = "", 0, OFFSET('IWP11'!UnitsOfServicePeriod2, 4, 7, 1, 1))</f>
        <v>0</v>
      </c>
      <c r="L306" s="128">
        <f ca="1">OFFSET('IWP11'!UnitsOfServicePeriod2, 4, 8, 1, 1)</f>
        <v>0</v>
      </c>
      <c r="M306" s="128">
        <f ca="1">IF(OFFSET('IWP11'!UnitsOfServicePeriod2, 4, 9, 1, 1) = "", 0, OFFSET('IWP11'!UnitsOfServicePeriod2, 4, 9, 1, 1))</f>
        <v>0</v>
      </c>
      <c r="N306" s="128">
        <f ca="1">OFFSET('IWP11'!UnitsOfServicePeriod2, 4, 10, 1, 1)</f>
        <v>0</v>
      </c>
      <c r="O306" s="128">
        <f ca="1">IF(OFFSET('IWP11'!UnitsOfServicePeriod2, 4, 11, 1, 1) = "", 0, OFFSET('IWP11'!UnitsOfServicePeriod2, 4, 11, 1, 1))</f>
        <v>0</v>
      </c>
      <c r="P306" s="128">
        <f ca="1">OFFSET('IWP11'!UnitsOfServicePeriod2, 4, 12, 1, 1)</f>
        <v>0</v>
      </c>
      <c r="Q306" s="128">
        <f ca="1">IF(OFFSET('IWP11'!UnitsOfServicePeriod2, 4, 13, 1, 1) = "", 0, OFFSET('IWP11'!UnitsOfServicePeriod2, 4, 13, 1, 1))</f>
        <v>0</v>
      </c>
      <c r="R306" s="128">
        <f ca="1">OFFSET('IWP11'!UnitsOfServicePeriod2, 4, 14, 1, 1)</f>
        <v>0</v>
      </c>
      <c r="S306" s="128">
        <f ca="1">IF(OFFSET('IWP11'!UnitsOfServicePeriod2, 4, 15, 1, 1) = "", 0, OFFSET('IWP11'!UnitsOfServicePeriod2, 4, 15, 1, 1))</f>
        <v>0</v>
      </c>
      <c r="T306" s="128">
        <f ca="1">IF(OFFSET('IWP11'!UnitsOfServicePeriod2, 4, 16, 1, 1) = "", 0, OFFSET('IWP11'!UnitsOfServicePeriod2, 4, 16, 1, 1))</f>
        <v>0</v>
      </c>
      <c r="U306" s="128">
        <f ca="1">OFFSET('IWP11'!UnitsOfServicePeriod2, 4, 17, 1, 1)</f>
        <v>0</v>
      </c>
      <c r="V306" s="128">
        <f ca="1">IF(OFFSET('IWP11'!UnitsOfServicePeriod2, 4, 19, 1, 1) = "", 0, OFFSET('IWP11'!UnitsOfServicePeriod2, 4, 19, 1, 1))</f>
        <v>0</v>
      </c>
      <c r="W306" s="128">
        <f ca="1">OFFSET('IWP11'!UnitsOfServicePeriod2, 4, 20, 1, 1)</f>
        <v>0</v>
      </c>
      <c r="X306" s="128">
        <f ca="1">IF(OFFSET('IWP11'!UnitsOfServicePeriod2, 4, 21, 1, 1) = "", 0, OFFSET('IWP11'!UnitsOfServicePeriod2, 4, 21, 1, 1))</f>
        <v>0</v>
      </c>
      <c r="Y306" s="137">
        <f ca="1">OFFSET('IWP11'!UnitsOfServicePeriod2, 4, 22, 1, 1)</f>
        <v>0</v>
      </c>
    </row>
    <row r="307" spans="1:25">
      <c r="A307" s="125" t="s">
        <v>484</v>
      </c>
      <c r="B307" s="128">
        <v>2</v>
      </c>
      <c r="C307" s="128">
        <v>6</v>
      </c>
      <c r="D307" s="107">
        <f ca="1">IF(OFFSET('IWP11'!UnitsOfServicePeriod2, 5, 0, 1, 1)=DATE(1900,1,0), DATE(1900,1,1),OFFSET('IWP11'!UnitsOfServicePeriod2, 5, 0, 1, 1))</f>
        <v>1</v>
      </c>
      <c r="E307" s="107">
        <f ca="1">IF(OFFSET('IWP11'!UnitsOfServicePeriod2, 5, 1, 1, 1)=DATE(1900,1,0), DATE(1900,1,1),OFFSET('IWP11'!UnitsOfServicePeriod2, 5, 1, 1, 1))</f>
        <v>1</v>
      </c>
      <c r="F307" s="128">
        <f ca="1">OFFSET('IWP11'!UnitsOfServicePeriod2, 5, 2, 1, 1)</f>
        <v>0</v>
      </c>
      <c r="G307" s="128">
        <f ca="1">IF(OFFSET('IWP11'!UnitsOfServicePeriod2, 5, 3, 1, 1) = "", 0, OFFSET('IWP11'!UnitsOfServicePeriod2, 5, 3, 1, 1))</f>
        <v>0</v>
      </c>
      <c r="H307" s="128">
        <f ca="1">OFFSET('IWP11'!UnitsOfServicePeriod2, 5, 4, 1, 1)</f>
        <v>0</v>
      </c>
      <c r="I307" s="128">
        <f ca="1">IF(OFFSET('IWP11'!UnitsOfServicePeriod2, 5, 5, 1, 1) = "", 0, OFFSET('IWP11'!UnitsOfServicePeriod2, 5, 5, 1, 1))</f>
        <v>0</v>
      </c>
      <c r="J307" s="128">
        <f ca="1">OFFSET('IWP11'!UnitsOfServicePeriod2, 5, 6, 1, 1)</f>
        <v>0</v>
      </c>
      <c r="K307" s="128">
        <f ca="1">IF(OFFSET('IWP11'!UnitsOfServicePeriod2, 5, 7, 1, 1) = "", 0, OFFSET('IWP11'!UnitsOfServicePeriod2, 5, 7, 1, 1))</f>
        <v>0</v>
      </c>
      <c r="L307" s="128">
        <f ca="1">OFFSET('IWP11'!UnitsOfServicePeriod2, 5, 8, 1, 1)</f>
        <v>0</v>
      </c>
      <c r="M307" s="128">
        <f ca="1">IF(OFFSET('IWP11'!UnitsOfServicePeriod2, 5, 9, 1, 1) = "", 0, OFFSET('IWP11'!UnitsOfServicePeriod2, 5, 9, 1, 1))</f>
        <v>0</v>
      </c>
      <c r="N307" s="128">
        <f ca="1">OFFSET('IWP11'!UnitsOfServicePeriod2, 5, 10, 1, 1)</f>
        <v>0</v>
      </c>
      <c r="O307" s="128">
        <f ca="1">IF(OFFSET('IWP11'!UnitsOfServicePeriod2, 5, 11, 1, 1) = "", 0, OFFSET('IWP11'!UnitsOfServicePeriod2, 5, 11, 1, 1))</f>
        <v>0</v>
      </c>
      <c r="P307" s="128">
        <f ca="1">OFFSET('IWP11'!UnitsOfServicePeriod2, 5, 12, 1, 1)</f>
        <v>0</v>
      </c>
      <c r="Q307" s="128">
        <f ca="1">IF(OFFSET('IWP11'!UnitsOfServicePeriod2, 5, 13, 1, 1) = "", 0, OFFSET('IWP11'!UnitsOfServicePeriod2, 5, 13, 1, 1))</f>
        <v>0</v>
      </c>
      <c r="R307" s="128">
        <f ca="1">OFFSET('IWP11'!UnitsOfServicePeriod2, 5, 14, 1, 1)</f>
        <v>0</v>
      </c>
      <c r="S307" s="128">
        <f ca="1">IF(OFFSET('IWP11'!UnitsOfServicePeriod2, 5, 15, 1, 1) = "", 0, OFFSET('IWP11'!UnitsOfServicePeriod2, 5, 15, 1, 1))</f>
        <v>0</v>
      </c>
      <c r="T307" s="128">
        <f ca="1">IF(OFFSET('IWP11'!UnitsOfServicePeriod2, 5, 16, 1, 1) = "", 0, OFFSET('IWP11'!UnitsOfServicePeriod2, 5, 16, 1, 1))</f>
        <v>0</v>
      </c>
      <c r="U307" s="128">
        <f ca="1">OFFSET('IWP11'!UnitsOfServicePeriod2, 5, 17, 1, 1)</f>
        <v>0</v>
      </c>
      <c r="V307" s="128">
        <f ca="1">IF(OFFSET('IWP11'!UnitsOfServicePeriod2, 5, 19, 1, 1) = "", 0, OFFSET('IWP11'!UnitsOfServicePeriod2, 5, 19, 1, 1))</f>
        <v>0</v>
      </c>
      <c r="W307" s="128">
        <f ca="1">OFFSET('IWP11'!UnitsOfServicePeriod2, 5, 20, 1, 1)</f>
        <v>0</v>
      </c>
      <c r="X307" s="128">
        <f ca="1">IF(OFFSET('IWP11'!UnitsOfServicePeriod2, 5, 21, 1, 1) = "", 0, OFFSET('IWP11'!UnitsOfServicePeriod2, 5, 21, 1, 1))</f>
        <v>0</v>
      </c>
      <c r="Y307" s="137">
        <f ca="1">OFFSET('IWP11'!UnitsOfServicePeriod2, 5, 22, 1, 1)</f>
        <v>0</v>
      </c>
    </row>
    <row r="308" spans="1:25">
      <c r="A308" s="125" t="s">
        <v>485</v>
      </c>
      <c r="B308" s="128">
        <v>1</v>
      </c>
      <c r="C308" s="128">
        <v>1</v>
      </c>
      <c r="D308" s="107">
        <f ca="1">IF(OFFSET('IWP12'!UnitsOfServicePeriod1, 0, 0, 1, 1)=DATE(1900,1,0), DATE(1900,1,1),OFFSET('IWP12'!UnitsOfServicePeriod1, 0, 0, 1, 1))</f>
        <v>1</v>
      </c>
      <c r="E308" s="107">
        <f ca="1">IF(OFFSET('IWP12'!UnitsOfServicePeriod1, 0, 1, 1, 1)=DATE(1900,1,0), DATE(1900,1,1),OFFSET('IWP12'!UnitsOfServicePeriod1, 0, 1, 1, 1))</f>
        <v>1</v>
      </c>
      <c r="F308" s="128">
        <f ca="1">OFFSET('IWP12'!UnitsOfServicePeriod1, 0, 2, 1, 1)</f>
        <v>0</v>
      </c>
      <c r="G308" s="128">
        <f ca="1">IF(OFFSET('IWP12'!UnitsOfServicePeriod1, 0, 3, 1, 1) = "", 0, OFFSET('IWP12'!UnitsOfServicePeriod1, 0, 3, 1, 1))</f>
        <v>0</v>
      </c>
      <c r="H308" s="128">
        <f ca="1">OFFSET('IWP12'!UnitsOfServicePeriod1, 0, 4, 1, 1)</f>
        <v>0</v>
      </c>
      <c r="I308" s="128">
        <f ca="1">IF(OFFSET('IWP12'!UnitsOfServicePeriod1, 0, 5, 1, 1) = "", 0, OFFSET('IWP12'!UnitsOfServicePeriod1, 0, 5, 1, 1))</f>
        <v>0</v>
      </c>
      <c r="J308" s="128">
        <f ca="1">OFFSET('IWP12'!UnitsOfServicePeriod1, 0, 6, 1, 1)</f>
        <v>0</v>
      </c>
      <c r="K308" s="128">
        <f ca="1">IF(OFFSET('IWP12'!UnitsOfServicePeriod1, 0, 7, 1, 1) = "", 0, OFFSET('IWP12'!UnitsOfServicePeriod1, 0, 7, 1, 1))</f>
        <v>0</v>
      </c>
      <c r="L308" s="128">
        <f ca="1">OFFSET('IWP12'!UnitsOfServicePeriod1, 0, 8, 1, 1)</f>
        <v>0</v>
      </c>
      <c r="M308" s="128">
        <f ca="1">IF(OFFSET('IWP12'!UnitsOfServicePeriod1, 0, 9, 1, 1) = "", 0, OFFSET('IWP12'!UnitsOfServicePeriod1, 0, 9, 1, 1))</f>
        <v>0</v>
      </c>
      <c r="N308" s="128">
        <f ca="1">OFFSET('IWP12'!UnitsOfServicePeriod1, 0, 10, 1, 1)</f>
        <v>0</v>
      </c>
      <c r="O308" s="128">
        <f ca="1">IF(OFFSET('IWP12'!UnitsOfServicePeriod1, 0, 11, 1, 1) = "", 0, OFFSET('IWP12'!UnitsOfServicePeriod1, 0, 11, 1, 1))</f>
        <v>0</v>
      </c>
      <c r="P308" s="128">
        <f ca="1">OFFSET('IWP12'!UnitsOfServicePeriod1, 0, 12, 1, 1)</f>
        <v>0</v>
      </c>
      <c r="Q308" s="128">
        <f ca="1">IF(OFFSET('IWP12'!UnitsOfServicePeriod1, 0, 13, 1, 1) = "", 0, OFFSET('IWP12'!UnitsOfServicePeriod1, 0, 13, 1, 1))</f>
        <v>0</v>
      </c>
      <c r="R308" s="128">
        <f ca="1">OFFSET('IWP12'!UnitsOfServicePeriod1, 0, 14, 1, 1)</f>
        <v>0</v>
      </c>
      <c r="S308" s="128">
        <f ca="1">IF(OFFSET('IWP12'!UnitsOfServicePeriod1, 0, 15, 1, 1) = "", 0, OFFSET('IWP12'!UnitsOfServicePeriod1, 0, 15, 1, 1))</f>
        <v>0</v>
      </c>
      <c r="T308" s="128">
        <f ca="1">IF(OFFSET('IWP12'!UnitsOfServicePeriod1, 0, 16, 1, 1) = "", 0, OFFSET('IWP12'!UnitsOfServicePeriod1, 0, 16, 1, 1))</f>
        <v>0</v>
      </c>
      <c r="U308" s="128">
        <f ca="1">OFFSET('IWP12'!UnitsOfServicePeriod1, 0, 17, 1, 1)</f>
        <v>0</v>
      </c>
      <c r="V308" s="128">
        <f ca="1">IF(OFFSET('IWP12'!UnitsOfServicePeriod1, 0, 19, 1, 1) = "", 0, OFFSET('IWP12'!UnitsOfServicePeriod1, 0, 19, 1, 1))</f>
        <v>0</v>
      </c>
      <c r="W308" s="128">
        <f ca="1">OFFSET('IWP12'!UnitsOfServicePeriod1, 0, 20, 1, 1)</f>
        <v>0</v>
      </c>
      <c r="X308" s="128">
        <f ca="1">IF(OFFSET('IWP12'!UnitsOfServicePeriod1, 0, 21, 1, 1) = "", 0, OFFSET('IWP12'!UnitsOfServicePeriod1, 0, 21, 1, 1))</f>
        <v>0</v>
      </c>
      <c r="Y308" s="137">
        <f ca="1">OFFSET('IWP12'!UnitsOfServicePeriod1, 0, 22, 1, 1)</f>
        <v>0</v>
      </c>
    </row>
    <row r="309" spans="1:25">
      <c r="A309" s="125" t="s">
        <v>485</v>
      </c>
      <c r="B309" s="128">
        <v>1</v>
      </c>
      <c r="C309" s="128">
        <v>2</v>
      </c>
      <c r="D309" s="107">
        <f ca="1">IF(OFFSET('IWP12'!UnitsOfServicePeriod1, 1, 0, 1, 1)=DATE(1900,1,0), DATE(1900,1,1),OFFSET('IWP12'!UnitsOfServicePeriod1, 1, 0, 1, 1))</f>
        <v>1</v>
      </c>
      <c r="E309" s="107">
        <f ca="1">IF(OFFSET('IWP12'!UnitsOfServicePeriod1, 1, 1, 1, 1)=DATE(1900,1,0), DATE(1900,1,1),OFFSET('IWP12'!UnitsOfServicePeriod1, 1, 1, 1, 1))</f>
        <v>1</v>
      </c>
      <c r="F309" s="128">
        <f ca="1">OFFSET('IWP12'!UnitsOfServicePeriod1, 1, 2, 1, 1)</f>
        <v>0</v>
      </c>
      <c r="G309" s="128">
        <f ca="1">IF(OFFSET('IWP12'!UnitsOfServicePeriod1, 1, 3, 1, 1) = "", 0, OFFSET('IWP12'!UnitsOfServicePeriod1, 1, 3, 1, 1))</f>
        <v>0</v>
      </c>
      <c r="H309" s="128">
        <f ca="1">OFFSET('IWP12'!UnitsOfServicePeriod1, 1, 4, 1, 1)</f>
        <v>0</v>
      </c>
      <c r="I309" s="128">
        <f ca="1">IF(OFFSET('IWP12'!UnitsOfServicePeriod1, 1, 5, 1, 1) = "", 0, OFFSET('IWP12'!UnitsOfServicePeriod1, 1, 5, 1, 1))</f>
        <v>0</v>
      </c>
      <c r="J309" s="128">
        <f ca="1">OFFSET('IWP12'!UnitsOfServicePeriod1, 1, 6, 1, 1)</f>
        <v>0</v>
      </c>
      <c r="K309" s="128">
        <f ca="1">IF(OFFSET('IWP12'!UnitsOfServicePeriod1, 1, 7, 1, 1) = "", 0, OFFSET('IWP12'!UnitsOfServicePeriod1, 1, 7, 1, 1))</f>
        <v>0</v>
      </c>
      <c r="L309" s="128">
        <f ca="1">OFFSET('IWP12'!UnitsOfServicePeriod1, 1, 8, 1, 1)</f>
        <v>0</v>
      </c>
      <c r="M309" s="128">
        <f ca="1">IF(OFFSET('IWP12'!UnitsOfServicePeriod1, 1, 9, 1, 1) = "", 0, OFFSET('IWP12'!UnitsOfServicePeriod1, 1, 9, 1, 1))</f>
        <v>0</v>
      </c>
      <c r="N309" s="128">
        <f ca="1">OFFSET('IWP12'!UnitsOfServicePeriod1, 1, 10, 1, 1)</f>
        <v>0</v>
      </c>
      <c r="O309" s="128">
        <f ca="1">IF(OFFSET('IWP12'!UnitsOfServicePeriod1, 1, 11, 1, 1) = "", 0, OFFSET('IWP12'!UnitsOfServicePeriod1, 1, 11, 1, 1))</f>
        <v>0</v>
      </c>
      <c r="P309" s="128">
        <f ca="1">OFFSET('IWP12'!UnitsOfServicePeriod1, 1, 12, 1, 1)</f>
        <v>0</v>
      </c>
      <c r="Q309" s="128">
        <f ca="1">IF(OFFSET('IWP12'!UnitsOfServicePeriod1, 1, 13, 1, 1) = "", 0, OFFSET('IWP12'!UnitsOfServicePeriod1, 1, 13, 1, 1))</f>
        <v>0</v>
      </c>
      <c r="R309" s="128">
        <f ca="1">OFFSET('IWP12'!UnitsOfServicePeriod1, 1, 14, 1, 1)</f>
        <v>0</v>
      </c>
      <c r="S309" s="128">
        <f ca="1">IF(OFFSET('IWP12'!UnitsOfServicePeriod1, 1, 15, 1, 1) = "", 0, OFFSET('IWP12'!UnitsOfServicePeriod1, 1, 15, 1, 1))</f>
        <v>0</v>
      </c>
      <c r="T309" s="128">
        <f ca="1">IF(OFFSET('IWP12'!UnitsOfServicePeriod1, 1, 16, 1, 1) = "", 0, OFFSET('IWP12'!UnitsOfServicePeriod1, 1, 16, 1, 1))</f>
        <v>0</v>
      </c>
      <c r="U309" s="128">
        <f ca="1">OFFSET('IWP12'!UnitsOfServicePeriod1, 1, 17, 1, 1)</f>
        <v>0</v>
      </c>
      <c r="V309" s="128">
        <f ca="1">IF(OFFSET('IWP12'!UnitsOfServicePeriod1, 1, 19, 1, 1) = "", 0, OFFSET('IWP12'!UnitsOfServicePeriod1, 1, 19, 1, 1))</f>
        <v>0</v>
      </c>
      <c r="W309" s="128">
        <f ca="1">OFFSET('IWP12'!UnitsOfServicePeriod1, 1, 20, 1, 1)</f>
        <v>0</v>
      </c>
      <c r="X309" s="128">
        <f ca="1">IF(OFFSET('IWP12'!UnitsOfServicePeriod1, 1, 21, 1, 1) = "", 0, OFFSET('IWP12'!UnitsOfServicePeriod1, 1, 21, 1, 1))</f>
        <v>0</v>
      </c>
      <c r="Y309" s="137">
        <f ca="1">OFFSET('IWP12'!UnitsOfServicePeriod1, 1, 22, 1, 1)</f>
        <v>0</v>
      </c>
    </row>
    <row r="310" spans="1:25">
      <c r="A310" s="125" t="s">
        <v>485</v>
      </c>
      <c r="B310" s="128">
        <v>1</v>
      </c>
      <c r="C310" s="128">
        <v>3</v>
      </c>
      <c r="D310" s="107">
        <f ca="1">IF(OFFSET('IWP12'!UnitsOfServicePeriod1, 2, 0, 1, 1)=DATE(1900,1,0), DATE(1900,1,1),OFFSET('IWP12'!UnitsOfServicePeriod1, 2, 0, 1, 1))</f>
        <v>1</v>
      </c>
      <c r="E310" s="107">
        <f ca="1">IF(OFFSET('IWP12'!UnitsOfServicePeriod1, 2, 1, 1, 1)=DATE(1900,1,0), DATE(1900,1,1),OFFSET('IWP12'!UnitsOfServicePeriod1, 2, 1, 1, 1))</f>
        <v>1</v>
      </c>
      <c r="F310" s="128">
        <f ca="1">OFFSET('IWP12'!UnitsOfServicePeriod1, 2, 2, 1, 1)</f>
        <v>0</v>
      </c>
      <c r="G310" s="128">
        <f ca="1">IF(OFFSET('IWP12'!UnitsOfServicePeriod1, 2, 3, 1, 1) = "", 0, OFFSET('IWP12'!UnitsOfServicePeriod1, 2, 3, 1, 1))</f>
        <v>0</v>
      </c>
      <c r="H310" s="128">
        <f ca="1">OFFSET('IWP12'!UnitsOfServicePeriod1, 2, 4, 1, 1)</f>
        <v>0</v>
      </c>
      <c r="I310" s="128">
        <f ca="1">IF(OFFSET('IWP12'!UnitsOfServicePeriod1, 2, 5, 1, 1) = "", 0, OFFSET('IWP12'!UnitsOfServicePeriod1, 2, 5, 1, 1))</f>
        <v>0</v>
      </c>
      <c r="J310" s="128">
        <f ca="1">OFFSET('IWP12'!UnitsOfServicePeriod1, 2, 6, 1, 1)</f>
        <v>0</v>
      </c>
      <c r="K310" s="128">
        <f ca="1">IF(OFFSET('IWP12'!UnitsOfServicePeriod1, 2, 7, 1, 1) = "", 0, OFFSET('IWP12'!UnitsOfServicePeriod1, 2, 7, 1, 1))</f>
        <v>0</v>
      </c>
      <c r="L310" s="128">
        <f ca="1">OFFSET('IWP12'!UnitsOfServicePeriod1, 2, 8, 1, 1)</f>
        <v>0</v>
      </c>
      <c r="M310" s="128">
        <f ca="1">IF(OFFSET('IWP12'!UnitsOfServicePeriod1, 2, 9, 1, 1) = "", 0, OFFSET('IWP12'!UnitsOfServicePeriod1, 2, 9, 1, 1))</f>
        <v>0</v>
      </c>
      <c r="N310" s="128">
        <f ca="1">OFFSET('IWP12'!UnitsOfServicePeriod1, 2, 10, 1, 1)</f>
        <v>0</v>
      </c>
      <c r="O310" s="128">
        <f ca="1">IF(OFFSET('IWP12'!UnitsOfServicePeriod1, 2, 11, 1, 1) = "", 0, OFFSET('IWP12'!UnitsOfServicePeriod1, 2, 11, 1, 1))</f>
        <v>0</v>
      </c>
      <c r="P310" s="128">
        <f ca="1">OFFSET('IWP12'!UnitsOfServicePeriod1, 2, 12, 1, 1)</f>
        <v>0</v>
      </c>
      <c r="Q310" s="128">
        <f ca="1">IF(OFFSET('IWP12'!UnitsOfServicePeriod1, 2, 13, 1, 1) = "", 0, OFFSET('IWP12'!UnitsOfServicePeriod1, 2, 13, 1, 1))</f>
        <v>0</v>
      </c>
      <c r="R310" s="128">
        <f ca="1">OFFSET('IWP12'!UnitsOfServicePeriod1, 2, 14, 1, 1)</f>
        <v>0</v>
      </c>
      <c r="S310" s="128">
        <f ca="1">IF(OFFSET('IWP12'!UnitsOfServicePeriod1, 2, 15, 1, 1) = "", 0, OFFSET('IWP12'!UnitsOfServicePeriod1, 2, 15, 1, 1))</f>
        <v>0</v>
      </c>
      <c r="T310" s="128">
        <f ca="1">IF(OFFSET('IWP12'!UnitsOfServicePeriod1, 2, 16, 1, 1) = "", 0, OFFSET('IWP12'!UnitsOfServicePeriod1, 2, 16, 1, 1))</f>
        <v>0</v>
      </c>
      <c r="U310" s="128">
        <f ca="1">OFFSET('IWP12'!UnitsOfServicePeriod1, 2, 17, 1, 1)</f>
        <v>0</v>
      </c>
      <c r="V310" s="128">
        <f ca="1">IF(OFFSET('IWP12'!UnitsOfServicePeriod1, 2, 19, 1, 1) = "", 0, OFFSET('IWP12'!UnitsOfServicePeriod1, 2, 19, 1, 1))</f>
        <v>0</v>
      </c>
      <c r="W310" s="128">
        <f ca="1">OFFSET('IWP12'!UnitsOfServicePeriod1, 2, 20, 1, 1)</f>
        <v>0</v>
      </c>
      <c r="X310" s="128">
        <f ca="1">IF(OFFSET('IWP12'!UnitsOfServicePeriod1, 2, 21, 1, 1) = "", 0, OFFSET('IWP12'!UnitsOfServicePeriod1, 2, 21, 1, 1))</f>
        <v>0</v>
      </c>
      <c r="Y310" s="137">
        <f ca="1">OFFSET('IWP12'!UnitsOfServicePeriod1, 2, 22, 1, 1)</f>
        <v>0</v>
      </c>
    </row>
    <row r="311" spans="1:25">
      <c r="A311" s="125" t="s">
        <v>485</v>
      </c>
      <c r="B311" s="128">
        <v>1</v>
      </c>
      <c r="C311" s="128">
        <v>4</v>
      </c>
      <c r="D311" s="107">
        <f ca="1">IF(OFFSET('IWP12'!UnitsOfServicePeriod1, 3, 0, 1, 1)=DATE(1900,1,0), DATE(1900,1,1),OFFSET('IWP12'!UnitsOfServicePeriod1, 3, 0, 1, 1))</f>
        <v>1</v>
      </c>
      <c r="E311" s="107">
        <f ca="1">IF(OFFSET('IWP12'!UnitsOfServicePeriod1, 3, 1, 1, 1)=DATE(1900,1,0), DATE(1900,1,1),OFFSET('IWP12'!UnitsOfServicePeriod1, 3, 1, 1, 1))</f>
        <v>1</v>
      </c>
      <c r="F311" s="128">
        <f ca="1">OFFSET('IWP12'!UnitsOfServicePeriod1, 3, 2, 1, 1)</f>
        <v>0</v>
      </c>
      <c r="G311" s="128">
        <f ca="1">IF(OFFSET('IWP12'!UnitsOfServicePeriod1, 3, 3, 1, 1) = "", 0, OFFSET('IWP12'!UnitsOfServicePeriod1, 3, 3, 1, 1))</f>
        <v>0</v>
      </c>
      <c r="H311" s="128">
        <f ca="1">OFFSET('IWP12'!UnitsOfServicePeriod1, 3, 4, 1, 1)</f>
        <v>0</v>
      </c>
      <c r="I311" s="128">
        <f ca="1">IF(OFFSET('IWP12'!UnitsOfServicePeriod1, 3, 5, 1, 1) = "", 0, OFFSET('IWP12'!UnitsOfServicePeriod1, 3, 5, 1, 1))</f>
        <v>0</v>
      </c>
      <c r="J311" s="128">
        <f ca="1">OFFSET('IWP12'!UnitsOfServicePeriod1, 3, 6, 1, 1)</f>
        <v>0</v>
      </c>
      <c r="K311" s="128">
        <f ca="1">IF(OFFSET('IWP12'!UnitsOfServicePeriod1, 3, 7, 1, 1) = "", 0, OFFSET('IWP12'!UnitsOfServicePeriod1, 3, 7, 1, 1))</f>
        <v>0</v>
      </c>
      <c r="L311" s="128">
        <f ca="1">OFFSET('IWP12'!UnitsOfServicePeriod1, 3, 8, 1, 1)</f>
        <v>0</v>
      </c>
      <c r="M311" s="128">
        <f ca="1">IF(OFFSET('IWP12'!UnitsOfServicePeriod1, 3, 9, 1, 1) = "", 0, OFFSET('IWP12'!UnitsOfServicePeriod1, 3, 9, 1, 1))</f>
        <v>0</v>
      </c>
      <c r="N311" s="128">
        <f ca="1">OFFSET('IWP12'!UnitsOfServicePeriod1, 3, 10, 1, 1)</f>
        <v>0</v>
      </c>
      <c r="O311" s="128">
        <f ca="1">IF(OFFSET('IWP12'!UnitsOfServicePeriod1, 3, 11, 1, 1) = "", 0, OFFSET('IWP12'!UnitsOfServicePeriod1, 3, 11, 1, 1))</f>
        <v>0</v>
      </c>
      <c r="P311" s="128">
        <f ca="1">OFFSET('IWP12'!UnitsOfServicePeriod1, 3, 12, 1, 1)</f>
        <v>0</v>
      </c>
      <c r="Q311" s="128">
        <f ca="1">IF(OFFSET('IWP12'!UnitsOfServicePeriod1, 3, 13, 1, 1) = "", 0, OFFSET('IWP12'!UnitsOfServicePeriod1, 3, 13, 1, 1))</f>
        <v>0</v>
      </c>
      <c r="R311" s="128">
        <f ca="1">OFFSET('IWP12'!UnitsOfServicePeriod1, 3, 14, 1, 1)</f>
        <v>0</v>
      </c>
      <c r="S311" s="128">
        <f ca="1">IF(OFFSET('IWP12'!UnitsOfServicePeriod1, 3, 15, 1, 1) = "", 0, OFFSET('IWP12'!UnitsOfServicePeriod1, 3, 15, 1, 1))</f>
        <v>0</v>
      </c>
      <c r="T311" s="128">
        <f ca="1">IF(OFFSET('IWP12'!UnitsOfServicePeriod1, 3, 16, 1, 1) = "", 0, OFFSET('IWP12'!UnitsOfServicePeriod1, 3, 16, 1, 1))</f>
        <v>0</v>
      </c>
      <c r="U311" s="128">
        <f ca="1">OFFSET('IWP12'!UnitsOfServicePeriod1, 3, 17, 1, 1)</f>
        <v>0</v>
      </c>
      <c r="V311" s="128">
        <f ca="1">IF(OFFSET('IWP12'!UnitsOfServicePeriod1, 3, 19, 1, 1) = "", 0, OFFSET('IWP12'!UnitsOfServicePeriod1, 3, 19, 1, 1))</f>
        <v>0</v>
      </c>
      <c r="W311" s="128">
        <f ca="1">OFFSET('IWP12'!UnitsOfServicePeriod1, 3, 20, 1, 1)</f>
        <v>0</v>
      </c>
      <c r="X311" s="128">
        <f ca="1">IF(OFFSET('IWP12'!UnitsOfServicePeriod1, 3, 21, 1, 1) = "", 0, OFFSET('IWP12'!UnitsOfServicePeriod1, 3, 21, 1, 1))</f>
        <v>0</v>
      </c>
      <c r="Y311" s="137">
        <f ca="1">OFFSET('IWP12'!UnitsOfServicePeriod1, 3, 22, 1, 1)</f>
        <v>0</v>
      </c>
    </row>
    <row r="312" spans="1:25">
      <c r="A312" s="125" t="s">
        <v>485</v>
      </c>
      <c r="B312" s="128">
        <v>1</v>
      </c>
      <c r="C312" s="128">
        <v>5</v>
      </c>
      <c r="D312" s="107">
        <f ca="1">IF(OFFSET('IWP12'!UnitsOfServicePeriod1, 4, 0, 1, 1)=DATE(1900,1,0), DATE(1900,1,1),OFFSET('IWP12'!UnitsOfServicePeriod1, 4, 0, 1, 1))</f>
        <v>1</v>
      </c>
      <c r="E312" s="107">
        <f ca="1">IF(OFFSET('IWP12'!UnitsOfServicePeriod1, 4, 1, 1, 1)=DATE(1900,1,0), DATE(1900,1,1),OFFSET('IWP12'!UnitsOfServicePeriod1, 4, 1, 1, 1))</f>
        <v>1</v>
      </c>
      <c r="F312" s="128">
        <f ca="1">OFFSET('IWP12'!UnitsOfServicePeriod1, 4, 2, 1, 1)</f>
        <v>0</v>
      </c>
      <c r="G312" s="128">
        <f ca="1">IF(OFFSET('IWP12'!UnitsOfServicePeriod1, 4, 3, 1, 1) = "", 0, OFFSET('IWP12'!UnitsOfServicePeriod1, 4, 3, 1, 1))</f>
        <v>0</v>
      </c>
      <c r="H312" s="128">
        <f ca="1">OFFSET('IWP12'!UnitsOfServicePeriod1, 4, 4, 1, 1)</f>
        <v>0</v>
      </c>
      <c r="I312" s="128">
        <f ca="1">IF(OFFSET('IWP12'!UnitsOfServicePeriod1, 4, 5, 1, 1) = "", 0, OFFSET('IWP12'!UnitsOfServicePeriod1, 4, 5, 1, 1))</f>
        <v>0</v>
      </c>
      <c r="J312" s="128">
        <f ca="1">OFFSET('IWP12'!UnitsOfServicePeriod1, 4, 6, 1, 1)</f>
        <v>0</v>
      </c>
      <c r="K312" s="128">
        <f ca="1">IF(OFFSET('IWP12'!UnitsOfServicePeriod1, 4, 7, 1, 1) = "", 0, OFFSET('IWP12'!UnitsOfServicePeriod1, 4, 7, 1, 1))</f>
        <v>0</v>
      </c>
      <c r="L312" s="128">
        <f ca="1">OFFSET('IWP12'!UnitsOfServicePeriod1, 4, 8, 1, 1)</f>
        <v>0</v>
      </c>
      <c r="M312" s="128">
        <f ca="1">IF(OFFSET('IWP12'!UnitsOfServicePeriod1, 4, 9, 1, 1) = "", 0, OFFSET('IWP12'!UnitsOfServicePeriod1, 4, 9, 1, 1))</f>
        <v>0</v>
      </c>
      <c r="N312" s="128">
        <f ca="1">OFFSET('IWP12'!UnitsOfServicePeriod1, 4, 10, 1, 1)</f>
        <v>0</v>
      </c>
      <c r="O312" s="128">
        <f ca="1">IF(OFFSET('IWP12'!UnitsOfServicePeriod1, 4, 11, 1, 1) = "", 0, OFFSET('IWP12'!UnitsOfServicePeriod1, 4, 11, 1, 1))</f>
        <v>0</v>
      </c>
      <c r="P312" s="128">
        <f ca="1">OFFSET('IWP12'!UnitsOfServicePeriod1, 4, 12, 1, 1)</f>
        <v>0</v>
      </c>
      <c r="Q312" s="128">
        <f ca="1">IF(OFFSET('IWP12'!UnitsOfServicePeriod1, 4, 13, 1, 1) = "", 0, OFFSET('IWP12'!UnitsOfServicePeriod1, 4, 13, 1, 1))</f>
        <v>0</v>
      </c>
      <c r="R312" s="128">
        <f ca="1">OFFSET('IWP12'!UnitsOfServicePeriod1, 4, 14, 1, 1)</f>
        <v>0</v>
      </c>
      <c r="S312" s="128">
        <f ca="1">IF(OFFSET('IWP12'!UnitsOfServicePeriod1, 4, 15, 1, 1) = "", 0, OFFSET('IWP12'!UnitsOfServicePeriod1, 4, 15, 1, 1))</f>
        <v>0</v>
      </c>
      <c r="T312" s="128">
        <f ca="1">IF(OFFSET('IWP12'!UnitsOfServicePeriod1, 4, 16, 1, 1) = "", 0, OFFSET('IWP12'!UnitsOfServicePeriod1, 4, 16, 1, 1))</f>
        <v>0</v>
      </c>
      <c r="U312" s="128">
        <f ca="1">OFFSET('IWP12'!UnitsOfServicePeriod1, 4, 17, 1, 1)</f>
        <v>0</v>
      </c>
      <c r="V312" s="128">
        <f ca="1">IF(OFFSET('IWP12'!UnitsOfServicePeriod1, 4, 19, 1, 1) = "", 0, OFFSET('IWP12'!UnitsOfServicePeriod1, 4, 19, 1, 1))</f>
        <v>0</v>
      </c>
      <c r="W312" s="128">
        <f ca="1">OFFSET('IWP12'!UnitsOfServicePeriod1, 4, 20, 1, 1)</f>
        <v>0</v>
      </c>
      <c r="X312" s="128">
        <f ca="1">IF(OFFSET('IWP12'!UnitsOfServicePeriod1, 4, 21, 1, 1) = "", 0, OFFSET('IWP12'!UnitsOfServicePeriod1, 4, 21, 1, 1))</f>
        <v>0</v>
      </c>
      <c r="Y312" s="137">
        <f ca="1">OFFSET('IWP12'!UnitsOfServicePeriod1, 4, 22, 1, 1)</f>
        <v>0</v>
      </c>
    </row>
    <row r="313" spans="1:25">
      <c r="A313" s="125" t="s">
        <v>485</v>
      </c>
      <c r="B313" s="128">
        <v>1</v>
      </c>
      <c r="C313" s="128">
        <v>6</v>
      </c>
      <c r="D313" s="107">
        <f ca="1">IF(OFFSET('IWP12'!UnitsOfServicePeriod1, 5, 0, 1, 1)=DATE(1900,1,0), DATE(1900,1,1),OFFSET('IWP12'!UnitsOfServicePeriod1, 5, 0, 1, 1))</f>
        <v>1</v>
      </c>
      <c r="E313" s="107">
        <f ca="1">IF(OFFSET('IWP12'!UnitsOfServicePeriod1, 5, 1, 1, 1)=DATE(1900,1,0), DATE(1900,1,1),OFFSET('IWP12'!UnitsOfServicePeriod1, 5, 1, 1, 1))</f>
        <v>1</v>
      </c>
      <c r="F313" s="128">
        <f ca="1">OFFSET('IWP12'!UnitsOfServicePeriod1, 5, 2, 1, 1)</f>
        <v>0</v>
      </c>
      <c r="G313" s="128">
        <f ca="1">IF(OFFSET('IWP12'!UnitsOfServicePeriod1, 5, 3, 1, 1) = "", 0, OFFSET('IWP12'!UnitsOfServicePeriod1, 5, 3, 1, 1))</f>
        <v>0</v>
      </c>
      <c r="H313" s="128">
        <f ca="1">OFFSET('IWP12'!UnitsOfServicePeriod1, 5, 4, 1, 1)</f>
        <v>0</v>
      </c>
      <c r="I313" s="128">
        <f ca="1">IF(OFFSET('IWP12'!UnitsOfServicePeriod1, 5, 5, 1, 1) = "", 0, OFFSET('IWP12'!UnitsOfServicePeriod1, 5, 5, 1, 1))</f>
        <v>0</v>
      </c>
      <c r="J313" s="128">
        <f ca="1">OFFSET('IWP12'!UnitsOfServicePeriod1, 5, 6, 1, 1)</f>
        <v>0</v>
      </c>
      <c r="K313" s="128">
        <f ca="1">IF(OFFSET('IWP12'!UnitsOfServicePeriod1, 5, 7, 1, 1) = "", 0, OFFSET('IWP12'!UnitsOfServicePeriod1, 5, 7, 1, 1))</f>
        <v>0</v>
      </c>
      <c r="L313" s="128">
        <f ca="1">OFFSET('IWP12'!UnitsOfServicePeriod1, 5, 8, 1, 1)</f>
        <v>0</v>
      </c>
      <c r="M313" s="128">
        <f ca="1">IF(OFFSET('IWP12'!UnitsOfServicePeriod1, 5, 9, 1, 1) = "", 0, OFFSET('IWP12'!UnitsOfServicePeriod1, 5, 9, 1, 1))</f>
        <v>0</v>
      </c>
      <c r="N313" s="128">
        <f ca="1">OFFSET('IWP12'!UnitsOfServicePeriod1, 5, 10, 1, 1)</f>
        <v>0</v>
      </c>
      <c r="O313" s="128">
        <f ca="1">IF(OFFSET('IWP12'!UnitsOfServicePeriod1, 5, 11, 1, 1) = "", 0, OFFSET('IWP12'!UnitsOfServicePeriod1, 5, 11, 1, 1))</f>
        <v>0</v>
      </c>
      <c r="P313" s="128">
        <f ca="1">OFFSET('IWP12'!UnitsOfServicePeriod1, 5, 12, 1, 1)</f>
        <v>0</v>
      </c>
      <c r="Q313" s="128">
        <f ca="1">IF(OFFSET('IWP12'!UnitsOfServicePeriod1, 5, 13, 1, 1) = "", 0, OFFSET('IWP12'!UnitsOfServicePeriod1, 5, 13, 1, 1))</f>
        <v>0</v>
      </c>
      <c r="R313" s="128">
        <f ca="1">OFFSET('IWP12'!UnitsOfServicePeriod1, 5, 14, 1, 1)</f>
        <v>0</v>
      </c>
      <c r="S313" s="128">
        <f ca="1">IF(OFFSET('IWP12'!UnitsOfServicePeriod1, 5, 15, 1, 1) = "", 0, OFFSET('IWP12'!UnitsOfServicePeriod1, 5, 15, 1, 1))</f>
        <v>0</v>
      </c>
      <c r="T313" s="128">
        <f ca="1">IF(OFFSET('IWP12'!UnitsOfServicePeriod1, 5, 16, 1, 1) = "", 0, OFFSET('IWP12'!UnitsOfServicePeriod1, 5, 16, 1, 1))</f>
        <v>0</v>
      </c>
      <c r="U313" s="128">
        <f ca="1">OFFSET('IWP12'!UnitsOfServicePeriod1, 5, 17, 1, 1)</f>
        <v>0</v>
      </c>
      <c r="V313" s="128">
        <f ca="1">IF(OFFSET('IWP12'!UnitsOfServicePeriod1, 5, 19, 1, 1) = "", 0, OFFSET('IWP12'!UnitsOfServicePeriod1, 5, 19, 1, 1))</f>
        <v>0</v>
      </c>
      <c r="W313" s="128">
        <f ca="1">OFFSET('IWP12'!UnitsOfServicePeriod1, 5, 20, 1, 1)</f>
        <v>0</v>
      </c>
      <c r="X313" s="128">
        <f ca="1">IF(OFFSET('IWP12'!UnitsOfServicePeriod1, 5, 21, 1, 1) = "", 0, OFFSET('IWP12'!UnitsOfServicePeriod1, 5, 21, 1, 1))</f>
        <v>0</v>
      </c>
      <c r="Y313" s="137">
        <f ca="1">OFFSET('IWP12'!UnitsOfServicePeriod1, 5, 22, 1, 1)</f>
        <v>0</v>
      </c>
    </row>
    <row r="314" spans="1:25">
      <c r="A314" s="125" t="s">
        <v>485</v>
      </c>
      <c r="B314" s="128">
        <v>2</v>
      </c>
      <c r="C314" s="128">
        <v>1</v>
      </c>
      <c r="D314" s="107">
        <f ca="1">IF(OFFSET('IWP12'!UnitsOfServicePeriod2, 0, 0, 1, 1)=DATE(1900,1,0), DATE(1900,1,1),OFFSET('IWP12'!UnitsOfServicePeriod2, 0, 0, 1, 1))</f>
        <v>1</v>
      </c>
      <c r="E314" s="107">
        <f ca="1">IF(OFFSET('IWP12'!UnitsOfServicePeriod2, 0, 1, 1, 1)=DATE(1900,1,0), DATE(1900,1,1),OFFSET('IWP12'!UnitsOfServicePeriod2, 0, 1, 1, 1))</f>
        <v>1</v>
      </c>
      <c r="F314" s="128">
        <f ca="1">OFFSET('IWP12'!UnitsOfServicePeriod2, 0, 2, 1, 1)</f>
        <v>0</v>
      </c>
      <c r="G314" s="128">
        <f ca="1">IF(OFFSET('IWP12'!UnitsOfServicePeriod2, 0, 3, 1, 1) = "", 0, OFFSET('IWP12'!UnitsOfServicePeriod2, 0, 3, 1, 1))</f>
        <v>0</v>
      </c>
      <c r="H314" s="128">
        <f ca="1">OFFSET('IWP12'!UnitsOfServicePeriod2, 0, 4, 1, 1)</f>
        <v>0</v>
      </c>
      <c r="I314" s="128">
        <f ca="1">IF(OFFSET('IWP12'!UnitsOfServicePeriod2, 0, 5, 1, 1) = "", 0, OFFSET('IWP12'!UnitsOfServicePeriod2, 0, 5, 1, 1))</f>
        <v>0</v>
      </c>
      <c r="J314" s="128">
        <f ca="1">OFFSET('IWP12'!UnitsOfServicePeriod2, 0, 6, 1, 1)</f>
        <v>0</v>
      </c>
      <c r="K314" s="128">
        <f ca="1">IF(OFFSET('IWP12'!UnitsOfServicePeriod2, 0, 7, 1, 1) = "", 0, OFFSET('IWP12'!UnitsOfServicePeriod2, 0, 7, 1, 1))</f>
        <v>0</v>
      </c>
      <c r="L314" s="128">
        <f ca="1">OFFSET('IWP12'!UnitsOfServicePeriod2, 0, 8, 1, 1)</f>
        <v>0</v>
      </c>
      <c r="M314" s="128">
        <f ca="1">IF(OFFSET('IWP12'!UnitsOfServicePeriod2, 0, 9, 1, 1) = "", 0, OFFSET('IWP12'!UnitsOfServicePeriod2, 0, 9, 1, 1))</f>
        <v>0</v>
      </c>
      <c r="N314" s="128">
        <f ca="1">OFFSET('IWP12'!UnitsOfServicePeriod2, 0, 10, 1, 1)</f>
        <v>0</v>
      </c>
      <c r="O314" s="128">
        <f ca="1">IF(OFFSET('IWP12'!UnitsOfServicePeriod2, 0, 11, 1, 1) = "", 0, OFFSET('IWP12'!UnitsOfServicePeriod2, 0, 11, 1, 1))</f>
        <v>0</v>
      </c>
      <c r="P314" s="128">
        <f ca="1">OFFSET('IWP12'!UnitsOfServicePeriod2, 0, 12, 1, 1)</f>
        <v>0</v>
      </c>
      <c r="Q314" s="128">
        <f ca="1">IF(OFFSET('IWP12'!UnitsOfServicePeriod2, 0, 13, 1, 1) = "", 0, OFFSET('IWP12'!UnitsOfServicePeriod2, 0, 13, 1, 1))</f>
        <v>0</v>
      </c>
      <c r="R314" s="128">
        <f ca="1">OFFSET('IWP12'!UnitsOfServicePeriod2, 0, 14, 1, 1)</f>
        <v>0</v>
      </c>
      <c r="S314" s="128">
        <f ca="1">IF(OFFSET('IWP12'!UnitsOfServicePeriod2, 0, 15, 1, 1) = "", 0, OFFSET('IWP12'!UnitsOfServicePeriod2, 0, 15, 1, 1))</f>
        <v>0</v>
      </c>
      <c r="T314" s="128">
        <f ca="1">IF(OFFSET('IWP12'!UnitsOfServicePeriod2, 0, 16, 1, 1) = "", 0, OFFSET('IWP12'!UnitsOfServicePeriod2, 0, 16, 1, 1))</f>
        <v>0</v>
      </c>
      <c r="U314" s="128">
        <f ca="1">OFFSET('IWP12'!UnitsOfServicePeriod2, 0, 17, 1, 1)</f>
        <v>0</v>
      </c>
      <c r="V314" s="128">
        <f ca="1">IF(OFFSET('IWP12'!UnitsOfServicePeriod2, 0, 19, 1, 1) = "", 0, OFFSET('IWP12'!UnitsOfServicePeriod2, 0, 19, 1, 1))</f>
        <v>0</v>
      </c>
      <c r="W314" s="128">
        <f ca="1">OFFSET('IWP12'!UnitsOfServicePeriod2, 0, 20, 1, 1)</f>
        <v>0</v>
      </c>
      <c r="X314" s="128">
        <f ca="1">IF(OFFSET('IWP12'!UnitsOfServicePeriod2, 0, 21, 1, 1) = "", 0, OFFSET('IWP12'!UnitsOfServicePeriod2, 0, 21, 1, 1))</f>
        <v>0</v>
      </c>
      <c r="Y314" s="137">
        <f ca="1">OFFSET('IWP12'!UnitsOfServicePeriod2, 0, 22, 1, 1)</f>
        <v>0</v>
      </c>
    </row>
    <row r="315" spans="1:25">
      <c r="A315" s="125" t="s">
        <v>485</v>
      </c>
      <c r="B315" s="128">
        <v>2</v>
      </c>
      <c r="C315" s="128">
        <v>2</v>
      </c>
      <c r="D315" s="107">
        <f ca="1">IF(OFFSET('IWP12'!UnitsOfServicePeriod2, 1, 0, 1, 1)=DATE(1900,1,0), DATE(1900,1,1),OFFSET('IWP12'!UnitsOfServicePeriod2, 1, 0, 1, 1))</f>
        <v>1</v>
      </c>
      <c r="E315" s="107">
        <f ca="1">IF(OFFSET('IWP12'!UnitsOfServicePeriod2, 1, 1, 1, 1)=DATE(1900,1,0), DATE(1900,1,1),OFFSET('IWP12'!UnitsOfServicePeriod2, 1, 1, 1, 1))</f>
        <v>1</v>
      </c>
      <c r="F315" s="128">
        <f ca="1">OFFSET('IWP12'!UnitsOfServicePeriod2, 1, 2, 1, 1)</f>
        <v>0</v>
      </c>
      <c r="G315" s="128">
        <f ca="1">IF(OFFSET('IWP12'!UnitsOfServicePeriod2, 1, 3, 1, 1) = "", 0, OFFSET('IWP12'!UnitsOfServicePeriod2, 1, 3, 1, 1))</f>
        <v>0</v>
      </c>
      <c r="H315" s="128">
        <f ca="1">OFFSET('IWP12'!UnitsOfServicePeriod2, 1, 4, 1, 1)</f>
        <v>0</v>
      </c>
      <c r="I315" s="128">
        <f ca="1">IF(OFFSET('IWP12'!UnitsOfServicePeriod2, 1, 5, 1, 1) = "", 0, OFFSET('IWP12'!UnitsOfServicePeriod2, 1, 5, 1, 1))</f>
        <v>0</v>
      </c>
      <c r="J315" s="128">
        <f ca="1">OFFSET('IWP12'!UnitsOfServicePeriod2, 1, 6, 1, 1)</f>
        <v>0</v>
      </c>
      <c r="K315" s="128">
        <f ca="1">IF(OFFSET('IWP12'!UnitsOfServicePeriod2, 1, 7, 1, 1) = "", 0, OFFSET('IWP12'!UnitsOfServicePeriod2, 1, 7, 1, 1))</f>
        <v>0</v>
      </c>
      <c r="L315" s="128">
        <f ca="1">OFFSET('IWP12'!UnitsOfServicePeriod2, 1, 8, 1, 1)</f>
        <v>0</v>
      </c>
      <c r="M315" s="128">
        <f ca="1">IF(OFFSET('IWP12'!UnitsOfServicePeriod2, 1, 9, 1, 1) = "", 0, OFFSET('IWP12'!UnitsOfServicePeriod2, 1, 9, 1, 1))</f>
        <v>0</v>
      </c>
      <c r="N315" s="128">
        <f ca="1">OFFSET('IWP12'!UnitsOfServicePeriod2, 1, 10, 1, 1)</f>
        <v>0</v>
      </c>
      <c r="O315" s="128">
        <f ca="1">IF(OFFSET('IWP12'!UnitsOfServicePeriod2, 1, 11, 1, 1) = "", 0, OFFSET('IWP12'!UnitsOfServicePeriod2, 1, 11, 1, 1))</f>
        <v>0</v>
      </c>
      <c r="P315" s="128">
        <f ca="1">OFFSET('IWP12'!UnitsOfServicePeriod2, 1, 12, 1, 1)</f>
        <v>0</v>
      </c>
      <c r="Q315" s="128">
        <f ca="1">IF(OFFSET('IWP12'!UnitsOfServicePeriod2, 1, 13, 1, 1) = "", 0, OFFSET('IWP12'!UnitsOfServicePeriod2, 1, 13, 1, 1))</f>
        <v>0</v>
      </c>
      <c r="R315" s="128">
        <f ca="1">OFFSET('IWP12'!UnitsOfServicePeriod2, 1, 14, 1, 1)</f>
        <v>0</v>
      </c>
      <c r="S315" s="128">
        <f ca="1">IF(OFFSET('IWP12'!UnitsOfServicePeriod2, 1, 15, 1, 1) = "", 0, OFFSET('IWP12'!UnitsOfServicePeriod2, 1, 15, 1, 1))</f>
        <v>0</v>
      </c>
      <c r="T315" s="128">
        <f ca="1">IF(OFFSET('IWP12'!UnitsOfServicePeriod2, 1, 16, 1, 1) = "", 0, OFFSET('IWP12'!UnitsOfServicePeriod2, 1, 16, 1, 1))</f>
        <v>0</v>
      </c>
      <c r="U315" s="128">
        <f ca="1">OFFSET('IWP12'!UnitsOfServicePeriod2, 1, 17, 1, 1)</f>
        <v>0</v>
      </c>
      <c r="V315" s="128">
        <f ca="1">IF(OFFSET('IWP12'!UnitsOfServicePeriod2, 1, 19, 1, 1) = "", 0, OFFSET('IWP12'!UnitsOfServicePeriod2, 1, 19, 1, 1))</f>
        <v>0</v>
      </c>
      <c r="W315" s="128">
        <f ca="1">OFFSET('IWP12'!UnitsOfServicePeriod2, 1, 20, 1, 1)</f>
        <v>0</v>
      </c>
      <c r="X315" s="128">
        <f ca="1">IF(OFFSET('IWP12'!UnitsOfServicePeriod2, 1, 21, 1, 1) = "", 0, OFFSET('IWP12'!UnitsOfServicePeriod2, 1, 21, 1, 1))</f>
        <v>0</v>
      </c>
      <c r="Y315" s="137">
        <f ca="1">OFFSET('IWP12'!UnitsOfServicePeriod2, 1, 22, 1, 1)</f>
        <v>0</v>
      </c>
    </row>
    <row r="316" spans="1:25">
      <c r="A316" s="125" t="s">
        <v>485</v>
      </c>
      <c r="B316" s="128">
        <v>2</v>
      </c>
      <c r="C316" s="128">
        <v>3</v>
      </c>
      <c r="D316" s="107">
        <f ca="1">IF(OFFSET('IWP12'!UnitsOfServicePeriod2, 2, 0, 1, 1)=DATE(1900,1,0), DATE(1900,1,1),OFFSET('IWP12'!UnitsOfServicePeriod2, 2, 0, 1, 1))</f>
        <v>1</v>
      </c>
      <c r="E316" s="107">
        <f ca="1">IF(OFFSET('IWP12'!UnitsOfServicePeriod2, 2, 1, 1, 1)=DATE(1900,1,0), DATE(1900,1,1),OFFSET('IWP12'!UnitsOfServicePeriod2, 2, 1, 1, 1))</f>
        <v>1</v>
      </c>
      <c r="F316" s="128">
        <f ca="1">OFFSET('IWP12'!UnitsOfServicePeriod2, 2, 2, 1, 1)</f>
        <v>0</v>
      </c>
      <c r="G316" s="128">
        <f ca="1">IF(OFFSET('IWP12'!UnitsOfServicePeriod2, 2, 3, 1, 1) = "", 0, OFFSET('IWP12'!UnitsOfServicePeriod2, 2, 3, 1, 1))</f>
        <v>0</v>
      </c>
      <c r="H316" s="128">
        <f ca="1">OFFSET('IWP12'!UnitsOfServicePeriod2, 2, 4, 1, 1)</f>
        <v>0</v>
      </c>
      <c r="I316" s="128">
        <f ca="1">IF(OFFSET('IWP12'!UnitsOfServicePeriod2, 2, 5, 1, 1) = "", 0, OFFSET('IWP12'!UnitsOfServicePeriod2, 2, 5, 1, 1))</f>
        <v>0</v>
      </c>
      <c r="J316" s="128">
        <f ca="1">OFFSET('IWP12'!UnitsOfServicePeriod2, 2, 6, 1, 1)</f>
        <v>0</v>
      </c>
      <c r="K316" s="128">
        <f ca="1">IF(OFFSET('IWP12'!UnitsOfServicePeriod2, 2, 7, 1, 1) = "", 0, OFFSET('IWP12'!UnitsOfServicePeriod2, 2, 7, 1, 1))</f>
        <v>0</v>
      </c>
      <c r="L316" s="128">
        <f ca="1">OFFSET('IWP12'!UnitsOfServicePeriod2, 2, 8, 1, 1)</f>
        <v>0</v>
      </c>
      <c r="M316" s="128">
        <f ca="1">IF(OFFSET('IWP12'!UnitsOfServicePeriod2, 2, 9, 1, 1) = "", 0, OFFSET('IWP12'!UnitsOfServicePeriod2, 2, 9, 1, 1))</f>
        <v>0</v>
      </c>
      <c r="N316" s="128">
        <f ca="1">OFFSET('IWP12'!UnitsOfServicePeriod2, 2, 10, 1, 1)</f>
        <v>0</v>
      </c>
      <c r="O316" s="128">
        <f ca="1">IF(OFFSET('IWP12'!UnitsOfServicePeriod2, 2, 11, 1, 1) = "", 0, OFFSET('IWP12'!UnitsOfServicePeriod2, 2, 11, 1, 1))</f>
        <v>0</v>
      </c>
      <c r="P316" s="128">
        <f ca="1">OFFSET('IWP12'!UnitsOfServicePeriod2, 2, 12, 1, 1)</f>
        <v>0</v>
      </c>
      <c r="Q316" s="128">
        <f ca="1">IF(OFFSET('IWP12'!UnitsOfServicePeriod2, 2, 13, 1, 1) = "", 0, OFFSET('IWP12'!UnitsOfServicePeriod2, 2, 13, 1, 1))</f>
        <v>0</v>
      </c>
      <c r="R316" s="128">
        <f ca="1">OFFSET('IWP12'!UnitsOfServicePeriod2, 2, 14, 1, 1)</f>
        <v>0</v>
      </c>
      <c r="S316" s="128">
        <f ca="1">IF(OFFSET('IWP12'!UnitsOfServicePeriod2, 2, 15, 1, 1) = "", 0, OFFSET('IWP12'!UnitsOfServicePeriod2, 2, 15, 1, 1))</f>
        <v>0</v>
      </c>
      <c r="T316" s="128">
        <f ca="1">IF(OFFSET('IWP12'!UnitsOfServicePeriod2, 2, 16, 1, 1) = "", 0, OFFSET('IWP12'!UnitsOfServicePeriod2, 2, 16, 1, 1))</f>
        <v>0</v>
      </c>
      <c r="U316" s="128">
        <f ca="1">OFFSET('IWP12'!UnitsOfServicePeriod2, 2, 17, 1, 1)</f>
        <v>0</v>
      </c>
      <c r="V316" s="128">
        <f ca="1">IF(OFFSET('IWP12'!UnitsOfServicePeriod2, 2, 19, 1, 1) = "", 0, OFFSET('IWP12'!UnitsOfServicePeriod2, 2, 19, 1, 1))</f>
        <v>0</v>
      </c>
      <c r="W316" s="128">
        <f ca="1">OFFSET('IWP12'!UnitsOfServicePeriod2, 2, 20, 1, 1)</f>
        <v>0</v>
      </c>
      <c r="X316" s="128">
        <f ca="1">IF(OFFSET('IWP12'!UnitsOfServicePeriod2, 2, 21, 1, 1) = "", 0, OFFSET('IWP12'!UnitsOfServicePeriod2, 2, 21, 1, 1))</f>
        <v>0</v>
      </c>
      <c r="Y316" s="137">
        <f ca="1">OFFSET('IWP12'!UnitsOfServicePeriod2, 2, 22, 1, 1)</f>
        <v>0</v>
      </c>
    </row>
    <row r="317" spans="1:25">
      <c r="A317" s="125" t="s">
        <v>485</v>
      </c>
      <c r="B317" s="128">
        <v>2</v>
      </c>
      <c r="C317" s="128">
        <v>4</v>
      </c>
      <c r="D317" s="107">
        <f ca="1">IF(OFFSET('IWP12'!UnitsOfServicePeriod2, 3, 0, 1, 1)=DATE(1900,1,0), DATE(1900,1,1),OFFSET('IWP12'!UnitsOfServicePeriod2, 3, 0, 1, 1))</f>
        <v>1</v>
      </c>
      <c r="E317" s="107">
        <f ca="1">IF(OFFSET('IWP12'!UnitsOfServicePeriod2, 3, 1, 1, 1)=DATE(1900,1,0), DATE(1900,1,1),OFFSET('IWP12'!UnitsOfServicePeriod2, 3, 1, 1, 1))</f>
        <v>1</v>
      </c>
      <c r="F317" s="128">
        <f ca="1">OFFSET('IWP12'!UnitsOfServicePeriod2, 3, 2, 1, 1)</f>
        <v>0</v>
      </c>
      <c r="G317" s="128">
        <f ca="1">IF(OFFSET('IWP12'!UnitsOfServicePeriod2, 3, 3, 1, 1) = "", 0, OFFSET('IWP12'!UnitsOfServicePeriod2, 3, 3, 1, 1))</f>
        <v>0</v>
      </c>
      <c r="H317" s="128">
        <f ca="1">OFFSET('IWP12'!UnitsOfServicePeriod2, 3, 4, 1, 1)</f>
        <v>0</v>
      </c>
      <c r="I317" s="128">
        <f ca="1">IF(OFFSET('IWP12'!UnitsOfServicePeriod2, 3, 5, 1, 1) = "", 0, OFFSET('IWP12'!UnitsOfServicePeriod2, 3, 5, 1, 1))</f>
        <v>0</v>
      </c>
      <c r="J317" s="128">
        <f ca="1">OFFSET('IWP12'!UnitsOfServicePeriod2, 3, 6, 1, 1)</f>
        <v>0</v>
      </c>
      <c r="K317" s="128">
        <f ca="1">IF(OFFSET('IWP12'!UnitsOfServicePeriod2, 3, 7, 1, 1) = "", 0, OFFSET('IWP12'!UnitsOfServicePeriod2, 3, 7, 1, 1))</f>
        <v>0</v>
      </c>
      <c r="L317" s="128">
        <f ca="1">OFFSET('IWP12'!UnitsOfServicePeriod2, 3, 8, 1, 1)</f>
        <v>0</v>
      </c>
      <c r="M317" s="128">
        <f ca="1">IF(OFFSET('IWP12'!UnitsOfServicePeriod2, 3, 9, 1, 1) = "", 0, OFFSET('IWP12'!UnitsOfServicePeriod2, 3, 9, 1, 1))</f>
        <v>0</v>
      </c>
      <c r="N317" s="128">
        <f ca="1">OFFSET('IWP12'!UnitsOfServicePeriod2, 3, 10, 1, 1)</f>
        <v>0</v>
      </c>
      <c r="O317" s="128">
        <f ca="1">IF(OFFSET('IWP12'!UnitsOfServicePeriod2, 3, 11, 1, 1) = "", 0, OFFSET('IWP12'!UnitsOfServicePeriod2, 3, 11, 1, 1))</f>
        <v>0</v>
      </c>
      <c r="P317" s="128">
        <f ca="1">OFFSET('IWP12'!UnitsOfServicePeriod2, 3, 12, 1, 1)</f>
        <v>0</v>
      </c>
      <c r="Q317" s="128">
        <f ca="1">IF(OFFSET('IWP12'!UnitsOfServicePeriod2, 3, 13, 1, 1) = "", 0, OFFSET('IWP12'!UnitsOfServicePeriod2, 3, 13, 1, 1))</f>
        <v>0</v>
      </c>
      <c r="R317" s="128">
        <f ca="1">OFFSET('IWP12'!UnitsOfServicePeriod2, 3, 14, 1, 1)</f>
        <v>0</v>
      </c>
      <c r="S317" s="128">
        <f ca="1">IF(OFFSET('IWP12'!UnitsOfServicePeriod2, 3, 15, 1, 1) = "", 0, OFFSET('IWP12'!UnitsOfServicePeriod2, 3, 15, 1, 1))</f>
        <v>0</v>
      </c>
      <c r="T317" s="128">
        <f ca="1">IF(OFFSET('IWP12'!UnitsOfServicePeriod2, 3, 16, 1, 1) = "", 0, OFFSET('IWP12'!UnitsOfServicePeriod2, 3, 16, 1, 1))</f>
        <v>0</v>
      </c>
      <c r="U317" s="128">
        <f ca="1">OFFSET('IWP12'!UnitsOfServicePeriod2, 3, 17, 1, 1)</f>
        <v>0</v>
      </c>
      <c r="V317" s="128">
        <f ca="1">IF(OFFSET('IWP12'!UnitsOfServicePeriod2, 3, 19, 1, 1) = "", 0, OFFSET('IWP12'!UnitsOfServicePeriod2, 3, 19, 1, 1))</f>
        <v>0</v>
      </c>
      <c r="W317" s="128">
        <f ca="1">OFFSET('IWP12'!UnitsOfServicePeriod2, 3, 20, 1, 1)</f>
        <v>0</v>
      </c>
      <c r="X317" s="128">
        <f ca="1">IF(OFFSET('IWP12'!UnitsOfServicePeriod2, 3, 21, 1, 1) = "", 0, OFFSET('IWP12'!UnitsOfServicePeriod2, 3, 21, 1, 1))</f>
        <v>0</v>
      </c>
      <c r="Y317" s="137">
        <f ca="1">OFFSET('IWP12'!UnitsOfServicePeriod2, 3, 22, 1, 1)</f>
        <v>0</v>
      </c>
    </row>
    <row r="318" spans="1:25">
      <c r="A318" s="125" t="s">
        <v>485</v>
      </c>
      <c r="B318" s="128">
        <v>2</v>
      </c>
      <c r="C318" s="128">
        <v>5</v>
      </c>
      <c r="D318" s="107">
        <f ca="1">IF(OFFSET('IWP12'!UnitsOfServicePeriod2, 4, 0, 1, 1)=DATE(1900,1,0), DATE(1900,1,1),OFFSET('IWP12'!UnitsOfServicePeriod2, 4, 0, 1, 1))</f>
        <v>1</v>
      </c>
      <c r="E318" s="107">
        <f ca="1">IF(OFFSET('IWP12'!UnitsOfServicePeriod2, 4, 1, 1, 1)=DATE(1900,1,0), DATE(1900,1,1),OFFSET('IWP12'!UnitsOfServicePeriod2, 4, 1, 1, 1))</f>
        <v>1</v>
      </c>
      <c r="F318" s="128">
        <f ca="1">OFFSET('IWP12'!UnitsOfServicePeriod2, 4, 2, 1, 1)</f>
        <v>0</v>
      </c>
      <c r="G318" s="128">
        <f ca="1">IF(OFFSET('IWP12'!UnitsOfServicePeriod2, 4, 3, 1, 1) = "", 0, OFFSET('IWP12'!UnitsOfServicePeriod2, 4, 3, 1, 1))</f>
        <v>0</v>
      </c>
      <c r="H318" s="128">
        <f ca="1">OFFSET('IWP12'!UnitsOfServicePeriod2, 4, 4, 1, 1)</f>
        <v>0</v>
      </c>
      <c r="I318" s="128">
        <f ca="1">IF(OFFSET('IWP12'!UnitsOfServicePeriod2, 4, 5, 1, 1) = "", 0, OFFSET('IWP12'!UnitsOfServicePeriod2, 4, 5, 1, 1))</f>
        <v>0</v>
      </c>
      <c r="J318" s="128">
        <f ca="1">OFFSET('IWP12'!UnitsOfServicePeriod2, 4, 6, 1, 1)</f>
        <v>0</v>
      </c>
      <c r="K318" s="128">
        <f ca="1">IF(OFFSET('IWP12'!UnitsOfServicePeriod2, 4, 7, 1, 1) = "", 0, OFFSET('IWP12'!UnitsOfServicePeriod2, 4, 7, 1, 1))</f>
        <v>0</v>
      </c>
      <c r="L318" s="128">
        <f ca="1">OFFSET('IWP12'!UnitsOfServicePeriod2, 4, 8, 1, 1)</f>
        <v>0</v>
      </c>
      <c r="M318" s="128">
        <f ca="1">IF(OFFSET('IWP12'!UnitsOfServicePeriod2, 4, 9, 1, 1) = "", 0, OFFSET('IWP12'!UnitsOfServicePeriod2, 4, 9, 1, 1))</f>
        <v>0</v>
      </c>
      <c r="N318" s="128">
        <f ca="1">OFFSET('IWP12'!UnitsOfServicePeriod2, 4, 10, 1, 1)</f>
        <v>0</v>
      </c>
      <c r="O318" s="128">
        <f ca="1">IF(OFFSET('IWP12'!UnitsOfServicePeriod2, 4, 11, 1, 1) = "", 0, OFFSET('IWP12'!UnitsOfServicePeriod2, 4, 11, 1, 1))</f>
        <v>0</v>
      </c>
      <c r="P318" s="128">
        <f ca="1">OFFSET('IWP12'!UnitsOfServicePeriod2, 4, 12, 1, 1)</f>
        <v>0</v>
      </c>
      <c r="Q318" s="128">
        <f ca="1">IF(OFFSET('IWP12'!UnitsOfServicePeriod2, 4, 13, 1, 1) = "", 0, OFFSET('IWP12'!UnitsOfServicePeriod2, 4, 13, 1, 1))</f>
        <v>0</v>
      </c>
      <c r="R318" s="128">
        <f ca="1">OFFSET('IWP12'!UnitsOfServicePeriod2, 4, 14, 1, 1)</f>
        <v>0</v>
      </c>
      <c r="S318" s="128">
        <f ca="1">IF(OFFSET('IWP12'!UnitsOfServicePeriod2, 4, 15, 1, 1) = "", 0, OFFSET('IWP12'!UnitsOfServicePeriod2, 4, 15, 1, 1))</f>
        <v>0</v>
      </c>
      <c r="T318" s="128">
        <f ca="1">IF(OFFSET('IWP12'!UnitsOfServicePeriod2, 4, 16, 1, 1) = "", 0, OFFSET('IWP12'!UnitsOfServicePeriod2, 4, 16, 1, 1))</f>
        <v>0</v>
      </c>
      <c r="U318" s="128">
        <f ca="1">OFFSET('IWP12'!UnitsOfServicePeriod2, 4, 17, 1, 1)</f>
        <v>0</v>
      </c>
      <c r="V318" s="128">
        <f ca="1">IF(OFFSET('IWP12'!UnitsOfServicePeriod2, 4, 19, 1, 1) = "", 0, OFFSET('IWP12'!UnitsOfServicePeriod2, 4, 19, 1, 1))</f>
        <v>0</v>
      </c>
      <c r="W318" s="128">
        <f ca="1">OFFSET('IWP12'!UnitsOfServicePeriod2, 4, 20, 1, 1)</f>
        <v>0</v>
      </c>
      <c r="X318" s="128">
        <f ca="1">IF(OFFSET('IWP12'!UnitsOfServicePeriod2, 4, 21, 1, 1) = "", 0, OFFSET('IWP12'!UnitsOfServicePeriod2, 4, 21, 1, 1))</f>
        <v>0</v>
      </c>
      <c r="Y318" s="137">
        <f ca="1">OFFSET('IWP12'!UnitsOfServicePeriod2, 4, 22, 1, 1)</f>
        <v>0</v>
      </c>
    </row>
    <row r="319" spans="1:25">
      <c r="A319" s="125" t="s">
        <v>485</v>
      </c>
      <c r="B319" s="128">
        <v>2</v>
      </c>
      <c r="C319" s="128">
        <v>6</v>
      </c>
      <c r="D319" s="107">
        <f ca="1">IF(OFFSET('IWP12'!UnitsOfServicePeriod2, 5, 0, 1, 1)=DATE(1900,1,0), DATE(1900,1,1),OFFSET('IWP12'!UnitsOfServicePeriod2, 5, 0, 1, 1))</f>
        <v>1</v>
      </c>
      <c r="E319" s="107">
        <f ca="1">IF(OFFSET('IWP12'!UnitsOfServicePeriod2, 5, 1, 1, 1)=DATE(1900,1,0), DATE(1900,1,1),OFFSET('IWP12'!UnitsOfServicePeriod2, 5, 1, 1, 1))</f>
        <v>1</v>
      </c>
      <c r="F319" s="128">
        <f ca="1">OFFSET('IWP12'!UnitsOfServicePeriod2, 5, 2, 1, 1)</f>
        <v>0</v>
      </c>
      <c r="G319" s="128">
        <f ca="1">IF(OFFSET('IWP12'!UnitsOfServicePeriod2, 5, 3, 1, 1) = "", 0, OFFSET('IWP12'!UnitsOfServicePeriod2, 5, 3, 1, 1))</f>
        <v>0</v>
      </c>
      <c r="H319" s="128">
        <f ca="1">OFFSET('IWP12'!UnitsOfServicePeriod2, 5, 4, 1, 1)</f>
        <v>0</v>
      </c>
      <c r="I319" s="128">
        <f ca="1">IF(OFFSET('IWP12'!UnitsOfServicePeriod2, 5, 5, 1, 1) = "", 0, OFFSET('IWP12'!UnitsOfServicePeriod2, 5, 5, 1, 1))</f>
        <v>0</v>
      </c>
      <c r="J319" s="128">
        <f ca="1">OFFSET('IWP12'!UnitsOfServicePeriod2, 5, 6, 1, 1)</f>
        <v>0</v>
      </c>
      <c r="K319" s="128">
        <f ca="1">IF(OFFSET('IWP12'!UnitsOfServicePeriod2, 5, 7, 1, 1) = "", 0, OFFSET('IWP12'!UnitsOfServicePeriod2, 5, 7, 1, 1))</f>
        <v>0</v>
      </c>
      <c r="L319" s="128">
        <f ca="1">OFFSET('IWP12'!UnitsOfServicePeriod2, 5, 8, 1, 1)</f>
        <v>0</v>
      </c>
      <c r="M319" s="128">
        <f ca="1">IF(OFFSET('IWP12'!UnitsOfServicePeriod2, 5, 9, 1, 1) = "", 0, OFFSET('IWP12'!UnitsOfServicePeriod2, 5, 9, 1, 1))</f>
        <v>0</v>
      </c>
      <c r="N319" s="128">
        <f ca="1">OFFSET('IWP12'!UnitsOfServicePeriod2, 5, 10, 1, 1)</f>
        <v>0</v>
      </c>
      <c r="O319" s="128">
        <f ca="1">IF(OFFSET('IWP12'!UnitsOfServicePeriod2, 5, 11, 1, 1) = "", 0, OFFSET('IWP12'!UnitsOfServicePeriod2, 5, 11, 1, 1))</f>
        <v>0</v>
      </c>
      <c r="P319" s="128">
        <f ca="1">OFFSET('IWP12'!UnitsOfServicePeriod2, 5, 12, 1, 1)</f>
        <v>0</v>
      </c>
      <c r="Q319" s="128">
        <f ca="1">IF(OFFSET('IWP12'!UnitsOfServicePeriod2, 5, 13, 1, 1) = "", 0, OFFSET('IWP12'!UnitsOfServicePeriod2, 5, 13, 1, 1))</f>
        <v>0</v>
      </c>
      <c r="R319" s="128">
        <f ca="1">OFFSET('IWP12'!UnitsOfServicePeriod2, 5, 14, 1, 1)</f>
        <v>0</v>
      </c>
      <c r="S319" s="128">
        <f ca="1">IF(OFFSET('IWP12'!UnitsOfServicePeriod2, 5, 15, 1, 1) = "", 0, OFFSET('IWP12'!UnitsOfServicePeriod2, 5, 15, 1, 1))</f>
        <v>0</v>
      </c>
      <c r="T319" s="128">
        <f ca="1">IF(OFFSET('IWP12'!UnitsOfServicePeriod2, 5, 16, 1, 1) = "", 0, OFFSET('IWP12'!UnitsOfServicePeriod2, 5, 16, 1, 1))</f>
        <v>0</v>
      </c>
      <c r="U319" s="128">
        <f ca="1">OFFSET('IWP12'!UnitsOfServicePeriod2, 5, 17, 1, 1)</f>
        <v>0</v>
      </c>
      <c r="V319" s="128">
        <f ca="1">IF(OFFSET('IWP12'!UnitsOfServicePeriod2, 5, 19, 1, 1) = "", 0, OFFSET('IWP12'!UnitsOfServicePeriod2, 5, 19, 1, 1))</f>
        <v>0</v>
      </c>
      <c r="W319" s="128">
        <f ca="1">OFFSET('IWP12'!UnitsOfServicePeriod2, 5, 20, 1, 1)</f>
        <v>0</v>
      </c>
      <c r="X319" s="128">
        <f ca="1">IF(OFFSET('IWP12'!UnitsOfServicePeriod2, 5, 21, 1, 1) = "", 0, OFFSET('IWP12'!UnitsOfServicePeriod2, 5, 21, 1, 1))</f>
        <v>0</v>
      </c>
      <c r="Y319" s="137">
        <f ca="1">OFFSET('IWP12'!UnitsOfServicePeriod2, 5, 22, 1, 1)</f>
        <v>0</v>
      </c>
    </row>
    <row r="320" spans="1:25">
      <c r="A320" s="125" t="s">
        <v>486</v>
      </c>
      <c r="B320" s="128">
        <v>1</v>
      </c>
      <c r="C320" s="128">
        <v>1</v>
      </c>
      <c r="D320" s="107">
        <f ca="1">IF(OFFSET('IWP13'!UnitsOfServicePeriod1, 0, 0, 1, 1)=DATE(1900,1,0), DATE(1900,1,1),OFFSET('IWP13'!UnitsOfServicePeriod1, 0, 0, 1, 1))</f>
        <v>1</v>
      </c>
      <c r="E320" s="107">
        <f ca="1">IF(OFFSET('IWP13'!UnitsOfServicePeriod1, 0, 1, 1, 1)=DATE(1900,1,0), DATE(1900,1,1),OFFSET('IWP13'!UnitsOfServicePeriod1, 0, 1, 1, 1))</f>
        <v>1</v>
      </c>
      <c r="F320" s="128">
        <f ca="1">OFFSET('IWP13'!UnitsOfServicePeriod1, 0, 2, 1, 1)</f>
        <v>0</v>
      </c>
      <c r="G320" s="128">
        <f ca="1">IF(OFFSET('IWP13'!UnitsOfServicePeriod1, 0, 3, 1, 1) = "", 0, OFFSET('IWP13'!UnitsOfServicePeriod1, 0, 3, 1, 1))</f>
        <v>0</v>
      </c>
      <c r="H320" s="128">
        <f ca="1">OFFSET('IWP13'!UnitsOfServicePeriod1, 0, 4, 1, 1)</f>
        <v>0</v>
      </c>
      <c r="I320" s="128">
        <f ca="1">IF(OFFSET('IWP13'!UnitsOfServicePeriod1, 0, 5, 1, 1) = "", 0, OFFSET('IWP13'!UnitsOfServicePeriod1, 0, 5, 1, 1))</f>
        <v>0</v>
      </c>
      <c r="J320" s="128">
        <f ca="1">OFFSET('IWP13'!UnitsOfServicePeriod1, 0, 6, 1, 1)</f>
        <v>0</v>
      </c>
      <c r="K320" s="128">
        <f ca="1">IF(OFFSET('IWP13'!UnitsOfServicePeriod1, 0, 7, 1, 1) = "", 0, OFFSET('IWP13'!UnitsOfServicePeriod1, 0, 7, 1, 1))</f>
        <v>0</v>
      </c>
      <c r="L320" s="128">
        <f ca="1">OFFSET('IWP13'!UnitsOfServicePeriod1, 0, 8, 1, 1)</f>
        <v>0</v>
      </c>
      <c r="M320" s="128">
        <f ca="1">IF(OFFSET('IWP13'!UnitsOfServicePeriod1, 0, 9, 1, 1) = "", 0, OFFSET('IWP13'!UnitsOfServicePeriod1, 0, 9, 1, 1))</f>
        <v>0</v>
      </c>
      <c r="N320" s="128">
        <f ca="1">OFFSET('IWP13'!UnitsOfServicePeriod1, 0, 10, 1, 1)</f>
        <v>0</v>
      </c>
      <c r="O320" s="128">
        <f ca="1">IF(OFFSET('IWP13'!UnitsOfServicePeriod1, 0, 11, 1, 1) = "", 0, OFFSET('IWP13'!UnitsOfServicePeriod1, 0, 11, 1, 1))</f>
        <v>0</v>
      </c>
      <c r="P320" s="128">
        <f ca="1">OFFSET('IWP13'!UnitsOfServicePeriod1, 0, 12, 1, 1)</f>
        <v>0</v>
      </c>
      <c r="Q320" s="128">
        <f ca="1">IF(OFFSET('IWP13'!UnitsOfServicePeriod1, 0, 13, 1, 1) = "", 0, OFFSET('IWP13'!UnitsOfServicePeriod1, 0, 13, 1, 1))</f>
        <v>0</v>
      </c>
      <c r="R320" s="128">
        <f ca="1">OFFSET('IWP13'!UnitsOfServicePeriod1, 0, 14, 1, 1)</f>
        <v>0</v>
      </c>
      <c r="S320" s="128">
        <f ca="1">IF(OFFSET('IWP13'!UnitsOfServicePeriod1, 0, 15, 1, 1) = "", 0, OFFSET('IWP13'!UnitsOfServicePeriod1, 0, 15, 1, 1))</f>
        <v>0</v>
      </c>
      <c r="T320" s="128">
        <f ca="1">IF(OFFSET('IWP13'!UnitsOfServicePeriod1, 0, 16, 1, 1) = "", 0, OFFSET('IWP13'!UnitsOfServicePeriod1, 0, 16, 1, 1))</f>
        <v>0</v>
      </c>
      <c r="U320" s="128">
        <f ca="1">OFFSET('IWP13'!UnitsOfServicePeriod1, 0, 17, 1, 1)</f>
        <v>0</v>
      </c>
      <c r="V320" s="128">
        <f ca="1">IF(OFFSET('IWP13'!UnitsOfServicePeriod1, 0, 19, 1, 1) = "", 0, OFFSET('IWP13'!UnitsOfServicePeriod1, 0, 19, 1, 1))</f>
        <v>0</v>
      </c>
      <c r="W320" s="128">
        <f ca="1">OFFSET('IWP13'!UnitsOfServicePeriod1, 0, 20, 1, 1)</f>
        <v>0</v>
      </c>
      <c r="X320" s="128">
        <f ca="1">IF(OFFSET('IWP13'!UnitsOfServicePeriod1, 0, 21, 1, 1) = "", 0, OFFSET('IWP13'!UnitsOfServicePeriod1, 0, 21, 1, 1))</f>
        <v>0</v>
      </c>
      <c r="Y320" s="137">
        <f ca="1">OFFSET('IWP13'!UnitsOfServicePeriod1, 0, 22, 1, 1)</f>
        <v>0</v>
      </c>
    </row>
    <row r="321" spans="1:25">
      <c r="A321" s="125" t="s">
        <v>486</v>
      </c>
      <c r="B321" s="128">
        <v>1</v>
      </c>
      <c r="C321" s="128">
        <v>2</v>
      </c>
      <c r="D321" s="107">
        <f ca="1">IF(OFFSET('IWP13'!UnitsOfServicePeriod1, 1, 0, 1, 1)=DATE(1900,1,0), DATE(1900,1,1),OFFSET('IWP13'!UnitsOfServicePeriod1, 1, 0, 1, 1))</f>
        <v>1</v>
      </c>
      <c r="E321" s="107">
        <f ca="1">IF(OFFSET('IWP13'!UnitsOfServicePeriod1, 1, 1, 1, 1)=DATE(1900,1,0), DATE(1900,1,1),OFFSET('IWP13'!UnitsOfServicePeriod1, 1, 1, 1, 1))</f>
        <v>1</v>
      </c>
      <c r="F321" s="128">
        <f ca="1">OFFSET('IWP13'!UnitsOfServicePeriod1, 1, 2, 1, 1)</f>
        <v>0</v>
      </c>
      <c r="G321" s="128">
        <f ca="1">IF(OFFSET('IWP13'!UnitsOfServicePeriod1, 1, 3, 1, 1) = "", 0, OFFSET('IWP13'!UnitsOfServicePeriod1, 1, 3, 1, 1))</f>
        <v>0</v>
      </c>
      <c r="H321" s="128">
        <f ca="1">OFFSET('IWP13'!UnitsOfServicePeriod1, 1, 4, 1, 1)</f>
        <v>0</v>
      </c>
      <c r="I321" s="128">
        <f ca="1">IF(OFFSET('IWP13'!UnitsOfServicePeriod1, 1, 5, 1, 1) = "", 0, OFFSET('IWP13'!UnitsOfServicePeriod1, 1, 5, 1, 1))</f>
        <v>0</v>
      </c>
      <c r="J321" s="128">
        <f ca="1">OFFSET('IWP13'!UnitsOfServicePeriod1, 1, 6, 1, 1)</f>
        <v>0</v>
      </c>
      <c r="K321" s="128">
        <f ca="1">IF(OFFSET('IWP13'!UnitsOfServicePeriod1, 1, 7, 1, 1) = "", 0, OFFSET('IWP13'!UnitsOfServicePeriod1, 1, 7, 1, 1))</f>
        <v>0</v>
      </c>
      <c r="L321" s="128">
        <f ca="1">OFFSET('IWP13'!UnitsOfServicePeriod1, 1, 8, 1, 1)</f>
        <v>0</v>
      </c>
      <c r="M321" s="128">
        <f ca="1">IF(OFFSET('IWP13'!UnitsOfServicePeriod1, 1, 9, 1, 1) = "", 0, OFFSET('IWP13'!UnitsOfServicePeriod1, 1, 9, 1, 1))</f>
        <v>0</v>
      </c>
      <c r="N321" s="128">
        <f ca="1">OFFSET('IWP13'!UnitsOfServicePeriod1, 1, 10, 1, 1)</f>
        <v>0</v>
      </c>
      <c r="O321" s="128">
        <f ca="1">IF(OFFSET('IWP13'!UnitsOfServicePeriod1, 1, 11, 1, 1) = "", 0, OFFSET('IWP13'!UnitsOfServicePeriod1, 1, 11, 1, 1))</f>
        <v>0</v>
      </c>
      <c r="P321" s="128">
        <f ca="1">OFFSET('IWP13'!UnitsOfServicePeriod1, 1, 12, 1, 1)</f>
        <v>0</v>
      </c>
      <c r="Q321" s="128">
        <f ca="1">IF(OFFSET('IWP13'!UnitsOfServicePeriod1, 1, 13, 1, 1) = "", 0, OFFSET('IWP13'!UnitsOfServicePeriod1, 1, 13, 1, 1))</f>
        <v>0</v>
      </c>
      <c r="R321" s="128">
        <f ca="1">OFFSET('IWP13'!UnitsOfServicePeriod1, 1, 14, 1, 1)</f>
        <v>0</v>
      </c>
      <c r="S321" s="128">
        <f ca="1">IF(OFFSET('IWP13'!UnitsOfServicePeriod1, 1, 15, 1, 1) = "", 0, OFFSET('IWP13'!UnitsOfServicePeriod1, 1, 15, 1, 1))</f>
        <v>0</v>
      </c>
      <c r="T321" s="128">
        <f ca="1">IF(OFFSET('IWP13'!UnitsOfServicePeriod1, 1, 16, 1, 1) = "", 0, OFFSET('IWP13'!UnitsOfServicePeriod1, 1, 16, 1, 1))</f>
        <v>0</v>
      </c>
      <c r="U321" s="128">
        <f ca="1">OFFSET('IWP13'!UnitsOfServicePeriod1, 1, 17, 1, 1)</f>
        <v>0</v>
      </c>
      <c r="V321" s="128">
        <f ca="1">IF(OFFSET('IWP13'!UnitsOfServicePeriod1, 1, 19, 1, 1) = "", 0, OFFSET('IWP13'!UnitsOfServicePeriod1, 1, 19, 1, 1))</f>
        <v>0</v>
      </c>
      <c r="W321" s="128">
        <f ca="1">OFFSET('IWP13'!UnitsOfServicePeriod1, 1, 20, 1, 1)</f>
        <v>0</v>
      </c>
      <c r="X321" s="128">
        <f ca="1">IF(OFFSET('IWP13'!UnitsOfServicePeriod1, 1, 21, 1, 1) = "", 0, OFFSET('IWP13'!UnitsOfServicePeriod1, 1, 21, 1, 1))</f>
        <v>0</v>
      </c>
      <c r="Y321" s="137">
        <f ca="1">OFFSET('IWP13'!UnitsOfServicePeriod1, 1, 22, 1, 1)</f>
        <v>0</v>
      </c>
    </row>
    <row r="322" spans="1:25">
      <c r="A322" s="125" t="s">
        <v>486</v>
      </c>
      <c r="B322" s="128">
        <v>1</v>
      </c>
      <c r="C322" s="128">
        <v>3</v>
      </c>
      <c r="D322" s="107">
        <f ca="1">IF(OFFSET('IWP13'!UnitsOfServicePeriod1, 2, 0, 1, 1)=DATE(1900,1,0), DATE(1900,1,1),OFFSET('IWP13'!UnitsOfServicePeriod1, 2, 0, 1, 1))</f>
        <v>1</v>
      </c>
      <c r="E322" s="107">
        <f ca="1">IF(OFFSET('IWP13'!UnitsOfServicePeriod1, 2, 1, 1, 1)=DATE(1900,1,0), DATE(1900,1,1),OFFSET('IWP13'!UnitsOfServicePeriod1, 2, 1, 1, 1))</f>
        <v>1</v>
      </c>
      <c r="F322" s="128">
        <f ca="1">OFFSET('IWP13'!UnitsOfServicePeriod1, 2, 2, 1, 1)</f>
        <v>0</v>
      </c>
      <c r="G322" s="128">
        <f ca="1">IF(OFFSET('IWP13'!UnitsOfServicePeriod1, 2, 3, 1, 1) = "", 0, OFFSET('IWP13'!UnitsOfServicePeriod1, 2, 3, 1, 1))</f>
        <v>0</v>
      </c>
      <c r="H322" s="128">
        <f ca="1">OFFSET('IWP13'!UnitsOfServicePeriod1, 2, 4, 1, 1)</f>
        <v>0</v>
      </c>
      <c r="I322" s="128">
        <f ca="1">IF(OFFSET('IWP13'!UnitsOfServicePeriod1, 2, 5, 1, 1) = "", 0, OFFSET('IWP13'!UnitsOfServicePeriod1, 2, 5, 1, 1))</f>
        <v>0</v>
      </c>
      <c r="J322" s="128">
        <f ca="1">OFFSET('IWP13'!UnitsOfServicePeriod1, 2, 6, 1, 1)</f>
        <v>0</v>
      </c>
      <c r="K322" s="128">
        <f ca="1">IF(OFFSET('IWP13'!UnitsOfServicePeriod1, 2, 7, 1, 1) = "", 0, OFFSET('IWP13'!UnitsOfServicePeriod1, 2, 7, 1, 1))</f>
        <v>0</v>
      </c>
      <c r="L322" s="128">
        <f ca="1">OFFSET('IWP13'!UnitsOfServicePeriod1, 2, 8, 1, 1)</f>
        <v>0</v>
      </c>
      <c r="M322" s="128">
        <f ca="1">IF(OFFSET('IWP13'!UnitsOfServicePeriod1, 2, 9, 1, 1) = "", 0, OFFSET('IWP13'!UnitsOfServicePeriod1, 2, 9, 1, 1))</f>
        <v>0</v>
      </c>
      <c r="N322" s="128">
        <f ca="1">OFFSET('IWP13'!UnitsOfServicePeriod1, 2, 10, 1, 1)</f>
        <v>0</v>
      </c>
      <c r="O322" s="128">
        <f ca="1">IF(OFFSET('IWP13'!UnitsOfServicePeriod1, 2, 11, 1, 1) = "", 0, OFFSET('IWP13'!UnitsOfServicePeriod1, 2, 11, 1, 1))</f>
        <v>0</v>
      </c>
      <c r="P322" s="128">
        <f ca="1">OFFSET('IWP13'!UnitsOfServicePeriod1, 2, 12, 1, 1)</f>
        <v>0</v>
      </c>
      <c r="Q322" s="128">
        <f ca="1">IF(OFFSET('IWP13'!UnitsOfServicePeriod1, 2, 13, 1, 1) = "", 0, OFFSET('IWP13'!UnitsOfServicePeriod1, 2, 13, 1, 1))</f>
        <v>0</v>
      </c>
      <c r="R322" s="128">
        <f ca="1">OFFSET('IWP13'!UnitsOfServicePeriod1, 2, 14, 1, 1)</f>
        <v>0</v>
      </c>
      <c r="S322" s="128">
        <f ca="1">IF(OFFSET('IWP13'!UnitsOfServicePeriod1, 2, 15, 1, 1) = "", 0, OFFSET('IWP13'!UnitsOfServicePeriod1, 2, 15, 1, 1))</f>
        <v>0</v>
      </c>
      <c r="T322" s="128">
        <f ca="1">IF(OFFSET('IWP13'!UnitsOfServicePeriod1, 2, 16, 1, 1) = "", 0, OFFSET('IWP13'!UnitsOfServicePeriod1, 2, 16, 1, 1))</f>
        <v>0</v>
      </c>
      <c r="U322" s="128">
        <f ca="1">OFFSET('IWP13'!UnitsOfServicePeriod1, 2, 17, 1, 1)</f>
        <v>0</v>
      </c>
      <c r="V322" s="128">
        <f ca="1">IF(OFFSET('IWP13'!UnitsOfServicePeriod1, 2, 19, 1, 1) = "", 0, OFFSET('IWP13'!UnitsOfServicePeriod1, 2, 19, 1, 1))</f>
        <v>0</v>
      </c>
      <c r="W322" s="128">
        <f ca="1">OFFSET('IWP13'!UnitsOfServicePeriod1, 2, 20, 1, 1)</f>
        <v>0</v>
      </c>
      <c r="X322" s="128">
        <f ca="1">IF(OFFSET('IWP13'!UnitsOfServicePeriod1, 2, 21, 1, 1) = "", 0, OFFSET('IWP13'!UnitsOfServicePeriod1, 2, 21, 1, 1))</f>
        <v>0</v>
      </c>
      <c r="Y322" s="137">
        <f ca="1">OFFSET('IWP13'!UnitsOfServicePeriod1, 2, 22, 1, 1)</f>
        <v>0</v>
      </c>
    </row>
    <row r="323" spans="1:25">
      <c r="A323" s="125" t="s">
        <v>486</v>
      </c>
      <c r="B323" s="128">
        <v>1</v>
      </c>
      <c r="C323" s="128">
        <v>4</v>
      </c>
      <c r="D323" s="107">
        <f ca="1">IF(OFFSET('IWP13'!UnitsOfServicePeriod1, 3, 0, 1, 1)=DATE(1900,1,0), DATE(1900,1,1),OFFSET('IWP13'!UnitsOfServicePeriod1, 3, 0, 1, 1))</f>
        <v>1</v>
      </c>
      <c r="E323" s="107">
        <f ca="1">IF(OFFSET('IWP13'!UnitsOfServicePeriod1, 3, 1, 1, 1)=DATE(1900,1,0), DATE(1900,1,1),OFFSET('IWP13'!UnitsOfServicePeriod1, 3, 1, 1, 1))</f>
        <v>1</v>
      </c>
      <c r="F323" s="128">
        <f ca="1">OFFSET('IWP13'!UnitsOfServicePeriod1, 3, 2, 1, 1)</f>
        <v>0</v>
      </c>
      <c r="G323" s="128">
        <f ca="1">IF(OFFSET('IWP13'!UnitsOfServicePeriod1, 3, 3, 1, 1) = "", 0, OFFSET('IWP13'!UnitsOfServicePeriod1, 3, 3, 1, 1))</f>
        <v>0</v>
      </c>
      <c r="H323" s="128">
        <f ca="1">OFFSET('IWP13'!UnitsOfServicePeriod1, 3, 4, 1, 1)</f>
        <v>0</v>
      </c>
      <c r="I323" s="128">
        <f ca="1">IF(OFFSET('IWP13'!UnitsOfServicePeriod1, 3, 5, 1, 1) = "", 0, OFFSET('IWP13'!UnitsOfServicePeriod1, 3, 5, 1, 1))</f>
        <v>0</v>
      </c>
      <c r="J323" s="128">
        <f ca="1">OFFSET('IWP13'!UnitsOfServicePeriod1, 3, 6, 1, 1)</f>
        <v>0</v>
      </c>
      <c r="K323" s="128">
        <f ca="1">IF(OFFSET('IWP13'!UnitsOfServicePeriod1, 3, 7, 1, 1) = "", 0, OFFSET('IWP13'!UnitsOfServicePeriod1, 3, 7, 1, 1))</f>
        <v>0</v>
      </c>
      <c r="L323" s="128">
        <f ca="1">OFFSET('IWP13'!UnitsOfServicePeriod1, 3, 8, 1, 1)</f>
        <v>0</v>
      </c>
      <c r="M323" s="128">
        <f ca="1">IF(OFFSET('IWP13'!UnitsOfServicePeriod1, 3, 9, 1, 1) = "", 0, OFFSET('IWP13'!UnitsOfServicePeriod1, 3, 9, 1, 1))</f>
        <v>0</v>
      </c>
      <c r="N323" s="128">
        <f ca="1">OFFSET('IWP13'!UnitsOfServicePeriod1, 3, 10, 1, 1)</f>
        <v>0</v>
      </c>
      <c r="O323" s="128">
        <f ca="1">IF(OFFSET('IWP13'!UnitsOfServicePeriod1, 3, 11, 1, 1) = "", 0, OFFSET('IWP13'!UnitsOfServicePeriod1, 3, 11, 1, 1))</f>
        <v>0</v>
      </c>
      <c r="P323" s="128">
        <f ca="1">OFFSET('IWP13'!UnitsOfServicePeriod1, 3, 12, 1, 1)</f>
        <v>0</v>
      </c>
      <c r="Q323" s="128">
        <f ca="1">IF(OFFSET('IWP13'!UnitsOfServicePeriod1, 3, 13, 1, 1) = "", 0, OFFSET('IWP13'!UnitsOfServicePeriod1, 3, 13, 1, 1))</f>
        <v>0</v>
      </c>
      <c r="R323" s="128">
        <f ca="1">OFFSET('IWP13'!UnitsOfServicePeriod1, 3, 14, 1, 1)</f>
        <v>0</v>
      </c>
      <c r="S323" s="128">
        <f ca="1">IF(OFFSET('IWP13'!UnitsOfServicePeriod1, 3, 15, 1, 1) = "", 0, OFFSET('IWP13'!UnitsOfServicePeriod1, 3, 15, 1, 1))</f>
        <v>0</v>
      </c>
      <c r="T323" s="128">
        <f ca="1">IF(OFFSET('IWP13'!UnitsOfServicePeriod1, 3, 16, 1, 1) = "", 0, OFFSET('IWP13'!UnitsOfServicePeriod1, 3, 16, 1, 1))</f>
        <v>0</v>
      </c>
      <c r="U323" s="128">
        <f ca="1">OFFSET('IWP13'!UnitsOfServicePeriod1, 3, 17, 1, 1)</f>
        <v>0</v>
      </c>
      <c r="V323" s="128">
        <f ca="1">IF(OFFSET('IWP13'!UnitsOfServicePeriod1, 3, 19, 1, 1) = "", 0, OFFSET('IWP13'!UnitsOfServicePeriod1, 3, 19, 1, 1))</f>
        <v>0</v>
      </c>
      <c r="W323" s="128">
        <f ca="1">OFFSET('IWP13'!UnitsOfServicePeriod1, 3, 20, 1, 1)</f>
        <v>0</v>
      </c>
      <c r="X323" s="128">
        <f ca="1">IF(OFFSET('IWP13'!UnitsOfServicePeriod1, 3, 21, 1, 1) = "", 0, OFFSET('IWP13'!UnitsOfServicePeriod1, 3, 21, 1, 1))</f>
        <v>0</v>
      </c>
      <c r="Y323" s="137">
        <f ca="1">OFFSET('IWP13'!UnitsOfServicePeriod1, 3, 22, 1, 1)</f>
        <v>0</v>
      </c>
    </row>
    <row r="324" spans="1:25">
      <c r="A324" s="125" t="s">
        <v>486</v>
      </c>
      <c r="B324" s="128">
        <v>1</v>
      </c>
      <c r="C324" s="128">
        <v>5</v>
      </c>
      <c r="D324" s="107">
        <f ca="1">IF(OFFSET('IWP13'!UnitsOfServicePeriod1, 4, 0, 1, 1)=DATE(1900,1,0), DATE(1900,1,1),OFFSET('IWP13'!UnitsOfServicePeriod1, 4, 0, 1, 1))</f>
        <v>1</v>
      </c>
      <c r="E324" s="107">
        <f ca="1">IF(OFFSET('IWP13'!UnitsOfServicePeriod1, 4, 1, 1, 1)=DATE(1900,1,0), DATE(1900,1,1),OFFSET('IWP13'!UnitsOfServicePeriod1, 4, 1, 1, 1))</f>
        <v>1</v>
      </c>
      <c r="F324" s="128">
        <f ca="1">OFFSET('IWP13'!UnitsOfServicePeriod1, 4, 2, 1, 1)</f>
        <v>0</v>
      </c>
      <c r="G324" s="128">
        <f ca="1">IF(OFFSET('IWP13'!UnitsOfServicePeriod1, 4, 3, 1, 1) = "", 0, OFFSET('IWP13'!UnitsOfServicePeriod1, 4, 3, 1, 1))</f>
        <v>0</v>
      </c>
      <c r="H324" s="128">
        <f ca="1">OFFSET('IWP13'!UnitsOfServicePeriod1, 4, 4, 1, 1)</f>
        <v>0</v>
      </c>
      <c r="I324" s="128">
        <f ca="1">IF(OFFSET('IWP13'!UnitsOfServicePeriod1, 4, 5, 1, 1) = "", 0, OFFSET('IWP13'!UnitsOfServicePeriod1, 4, 5, 1, 1))</f>
        <v>0</v>
      </c>
      <c r="J324" s="128">
        <f ca="1">OFFSET('IWP13'!UnitsOfServicePeriod1, 4, 6, 1, 1)</f>
        <v>0</v>
      </c>
      <c r="K324" s="128">
        <f ca="1">IF(OFFSET('IWP13'!UnitsOfServicePeriod1, 4, 7, 1, 1) = "", 0, OFFSET('IWP13'!UnitsOfServicePeriod1, 4, 7, 1, 1))</f>
        <v>0</v>
      </c>
      <c r="L324" s="128">
        <f ca="1">OFFSET('IWP13'!UnitsOfServicePeriod1, 4, 8, 1, 1)</f>
        <v>0</v>
      </c>
      <c r="M324" s="128">
        <f ca="1">IF(OFFSET('IWP13'!UnitsOfServicePeriod1, 4, 9, 1, 1) = "", 0, OFFSET('IWP13'!UnitsOfServicePeriod1, 4, 9, 1, 1))</f>
        <v>0</v>
      </c>
      <c r="N324" s="128">
        <f ca="1">OFFSET('IWP13'!UnitsOfServicePeriod1, 4, 10, 1, 1)</f>
        <v>0</v>
      </c>
      <c r="O324" s="128">
        <f ca="1">IF(OFFSET('IWP13'!UnitsOfServicePeriod1, 4, 11, 1, 1) = "", 0, OFFSET('IWP13'!UnitsOfServicePeriod1, 4, 11, 1, 1))</f>
        <v>0</v>
      </c>
      <c r="P324" s="128">
        <f ca="1">OFFSET('IWP13'!UnitsOfServicePeriod1, 4, 12, 1, 1)</f>
        <v>0</v>
      </c>
      <c r="Q324" s="128">
        <f ca="1">IF(OFFSET('IWP13'!UnitsOfServicePeriod1, 4, 13, 1, 1) = "", 0, OFFSET('IWP13'!UnitsOfServicePeriod1, 4, 13, 1, 1))</f>
        <v>0</v>
      </c>
      <c r="R324" s="128">
        <f ca="1">OFFSET('IWP13'!UnitsOfServicePeriod1, 4, 14, 1, 1)</f>
        <v>0</v>
      </c>
      <c r="S324" s="128">
        <f ca="1">IF(OFFSET('IWP13'!UnitsOfServicePeriod1, 4, 15, 1, 1) = "", 0, OFFSET('IWP13'!UnitsOfServicePeriod1, 4, 15, 1, 1))</f>
        <v>0</v>
      </c>
      <c r="T324" s="128">
        <f ca="1">IF(OFFSET('IWP13'!UnitsOfServicePeriod1, 4, 16, 1, 1) = "", 0, OFFSET('IWP13'!UnitsOfServicePeriod1, 4, 16, 1, 1))</f>
        <v>0</v>
      </c>
      <c r="U324" s="128">
        <f ca="1">OFFSET('IWP13'!UnitsOfServicePeriod1, 4, 17, 1, 1)</f>
        <v>0</v>
      </c>
      <c r="V324" s="128">
        <f ca="1">IF(OFFSET('IWP13'!UnitsOfServicePeriod1, 4, 19, 1, 1) = "", 0, OFFSET('IWP13'!UnitsOfServicePeriod1, 4, 19, 1, 1))</f>
        <v>0</v>
      </c>
      <c r="W324" s="128">
        <f ca="1">OFFSET('IWP13'!UnitsOfServicePeriod1, 4, 20, 1, 1)</f>
        <v>0</v>
      </c>
      <c r="X324" s="128">
        <f ca="1">IF(OFFSET('IWP13'!UnitsOfServicePeriod1, 4, 21, 1, 1) = "", 0, OFFSET('IWP13'!UnitsOfServicePeriod1, 4, 21, 1, 1))</f>
        <v>0</v>
      </c>
      <c r="Y324" s="137">
        <f ca="1">OFFSET('IWP13'!UnitsOfServicePeriod1, 4, 22, 1, 1)</f>
        <v>0</v>
      </c>
    </row>
    <row r="325" spans="1:25">
      <c r="A325" s="125" t="s">
        <v>486</v>
      </c>
      <c r="B325" s="128">
        <v>1</v>
      </c>
      <c r="C325" s="128">
        <v>6</v>
      </c>
      <c r="D325" s="107">
        <f ca="1">IF(OFFSET('IWP13'!UnitsOfServicePeriod1, 5, 0, 1, 1)=DATE(1900,1,0), DATE(1900,1,1),OFFSET('IWP13'!UnitsOfServicePeriod1, 5, 0, 1, 1))</f>
        <v>1</v>
      </c>
      <c r="E325" s="107">
        <f ca="1">IF(OFFSET('IWP13'!UnitsOfServicePeriod1, 5, 1, 1, 1)=DATE(1900,1,0), DATE(1900,1,1),OFFSET('IWP13'!UnitsOfServicePeriod1, 5, 1, 1, 1))</f>
        <v>1</v>
      </c>
      <c r="F325" s="128">
        <f ca="1">OFFSET('IWP13'!UnitsOfServicePeriod1, 5, 2, 1, 1)</f>
        <v>0</v>
      </c>
      <c r="G325" s="128">
        <f ca="1">IF(OFFSET('IWP13'!UnitsOfServicePeriod1, 5, 3, 1, 1) = "", 0, OFFSET('IWP13'!UnitsOfServicePeriod1, 5, 3, 1, 1))</f>
        <v>0</v>
      </c>
      <c r="H325" s="128">
        <f ca="1">OFFSET('IWP13'!UnitsOfServicePeriod1, 5, 4, 1, 1)</f>
        <v>0</v>
      </c>
      <c r="I325" s="128">
        <f ca="1">IF(OFFSET('IWP13'!UnitsOfServicePeriod1, 5, 5, 1, 1) = "", 0, OFFSET('IWP13'!UnitsOfServicePeriod1, 5, 5, 1, 1))</f>
        <v>0</v>
      </c>
      <c r="J325" s="128">
        <f ca="1">OFFSET('IWP13'!UnitsOfServicePeriod1, 5, 6, 1, 1)</f>
        <v>0</v>
      </c>
      <c r="K325" s="128">
        <f ca="1">IF(OFFSET('IWP13'!UnitsOfServicePeriod1, 5, 7, 1, 1) = "", 0, OFFSET('IWP13'!UnitsOfServicePeriod1, 5, 7, 1, 1))</f>
        <v>0</v>
      </c>
      <c r="L325" s="128">
        <f ca="1">OFFSET('IWP13'!UnitsOfServicePeriod1, 5, 8, 1, 1)</f>
        <v>0</v>
      </c>
      <c r="M325" s="128">
        <f ca="1">IF(OFFSET('IWP13'!UnitsOfServicePeriod1, 5, 9, 1, 1) = "", 0, OFFSET('IWP13'!UnitsOfServicePeriod1, 5, 9, 1, 1))</f>
        <v>0</v>
      </c>
      <c r="N325" s="128">
        <f ca="1">OFFSET('IWP13'!UnitsOfServicePeriod1, 5, 10, 1, 1)</f>
        <v>0</v>
      </c>
      <c r="O325" s="128">
        <f ca="1">IF(OFFSET('IWP13'!UnitsOfServicePeriod1, 5, 11, 1, 1) = "", 0, OFFSET('IWP13'!UnitsOfServicePeriod1, 5, 11, 1, 1))</f>
        <v>0</v>
      </c>
      <c r="P325" s="128">
        <f ca="1">OFFSET('IWP13'!UnitsOfServicePeriod1, 5, 12, 1, 1)</f>
        <v>0</v>
      </c>
      <c r="Q325" s="128">
        <f ca="1">IF(OFFSET('IWP13'!UnitsOfServicePeriod1, 5, 13, 1, 1) = "", 0, OFFSET('IWP13'!UnitsOfServicePeriod1, 5, 13, 1, 1))</f>
        <v>0</v>
      </c>
      <c r="R325" s="128">
        <f ca="1">OFFSET('IWP13'!UnitsOfServicePeriod1, 5, 14, 1, 1)</f>
        <v>0</v>
      </c>
      <c r="S325" s="128">
        <f ca="1">IF(OFFSET('IWP13'!UnitsOfServicePeriod1, 5, 15, 1, 1) = "", 0, OFFSET('IWP13'!UnitsOfServicePeriod1, 5, 15, 1, 1))</f>
        <v>0</v>
      </c>
      <c r="T325" s="128">
        <f ca="1">IF(OFFSET('IWP13'!UnitsOfServicePeriod1, 5, 16, 1, 1) = "", 0, OFFSET('IWP13'!UnitsOfServicePeriod1, 5, 16, 1, 1))</f>
        <v>0</v>
      </c>
      <c r="U325" s="128">
        <f ca="1">OFFSET('IWP13'!UnitsOfServicePeriod1, 5, 17, 1, 1)</f>
        <v>0</v>
      </c>
      <c r="V325" s="128">
        <f ca="1">IF(OFFSET('IWP13'!UnitsOfServicePeriod1, 5, 19, 1, 1) = "", 0, OFFSET('IWP13'!UnitsOfServicePeriod1, 5, 19, 1, 1))</f>
        <v>0</v>
      </c>
      <c r="W325" s="128">
        <f ca="1">OFFSET('IWP13'!UnitsOfServicePeriod1, 5, 20, 1, 1)</f>
        <v>0</v>
      </c>
      <c r="X325" s="128">
        <f ca="1">IF(OFFSET('IWP13'!UnitsOfServicePeriod1, 5, 21, 1, 1) = "", 0, OFFSET('IWP13'!UnitsOfServicePeriod1, 5, 21, 1, 1))</f>
        <v>0</v>
      </c>
      <c r="Y325" s="137">
        <f ca="1">OFFSET('IWP13'!UnitsOfServicePeriod1, 5, 22, 1, 1)</f>
        <v>0</v>
      </c>
    </row>
    <row r="326" spans="1:25">
      <c r="A326" s="125" t="s">
        <v>486</v>
      </c>
      <c r="B326" s="128">
        <v>2</v>
      </c>
      <c r="C326" s="128">
        <v>1</v>
      </c>
      <c r="D326" s="107">
        <f ca="1">IF(OFFSET('IWP13'!UnitsOfServicePeriod2, 0, 0, 1, 1)=DATE(1900,1,0), DATE(1900,1,1),OFFSET('IWP13'!UnitsOfServicePeriod2, 0, 0, 1, 1))</f>
        <v>1</v>
      </c>
      <c r="E326" s="107">
        <f ca="1">IF(OFFSET('IWP13'!UnitsOfServicePeriod2, 0, 1, 1, 1)=DATE(1900,1,0), DATE(1900,1,1),OFFSET('IWP13'!UnitsOfServicePeriod2, 0, 1, 1, 1))</f>
        <v>1</v>
      </c>
      <c r="F326" s="128">
        <f ca="1">OFFSET('IWP13'!UnitsOfServicePeriod2, 0, 2, 1, 1)</f>
        <v>0</v>
      </c>
      <c r="G326" s="128">
        <f ca="1">IF(OFFSET('IWP13'!UnitsOfServicePeriod2, 0, 3, 1, 1) = "", 0, OFFSET('IWP13'!UnitsOfServicePeriod2, 0, 3, 1, 1))</f>
        <v>0</v>
      </c>
      <c r="H326" s="128">
        <f ca="1">OFFSET('IWP13'!UnitsOfServicePeriod2, 0, 4, 1, 1)</f>
        <v>0</v>
      </c>
      <c r="I326" s="128">
        <f ca="1">IF(OFFSET('IWP13'!UnitsOfServicePeriod2, 0, 5, 1, 1) = "", 0, OFFSET('IWP13'!UnitsOfServicePeriod2, 0, 5, 1, 1))</f>
        <v>0</v>
      </c>
      <c r="J326" s="128">
        <f ca="1">OFFSET('IWP13'!UnitsOfServicePeriod2, 0, 6, 1, 1)</f>
        <v>0</v>
      </c>
      <c r="K326" s="128">
        <f ca="1">IF(OFFSET('IWP13'!UnitsOfServicePeriod2, 0, 7, 1, 1) = "", 0, OFFSET('IWP13'!UnitsOfServicePeriod2, 0, 7, 1, 1))</f>
        <v>0</v>
      </c>
      <c r="L326" s="128">
        <f ca="1">OFFSET('IWP13'!UnitsOfServicePeriod2, 0, 8, 1, 1)</f>
        <v>0</v>
      </c>
      <c r="M326" s="128">
        <f ca="1">IF(OFFSET('IWP13'!UnitsOfServicePeriod2, 0, 9, 1, 1) = "", 0, OFFSET('IWP13'!UnitsOfServicePeriod2, 0, 9, 1, 1))</f>
        <v>0</v>
      </c>
      <c r="N326" s="128">
        <f ca="1">OFFSET('IWP13'!UnitsOfServicePeriod2, 0, 10, 1, 1)</f>
        <v>0</v>
      </c>
      <c r="O326" s="128">
        <f ca="1">IF(OFFSET('IWP13'!UnitsOfServicePeriod2, 0, 11, 1, 1) = "", 0, OFFSET('IWP13'!UnitsOfServicePeriod2, 0, 11, 1, 1))</f>
        <v>0</v>
      </c>
      <c r="P326" s="128">
        <f ca="1">OFFSET('IWP13'!UnitsOfServicePeriod2, 0, 12, 1, 1)</f>
        <v>0</v>
      </c>
      <c r="Q326" s="128">
        <f ca="1">IF(OFFSET('IWP13'!UnitsOfServicePeriod2, 0, 13, 1, 1) = "", 0, OFFSET('IWP13'!UnitsOfServicePeriod2, 0, 13, 1, 1))</f>
        <v>0</v>
      </c>
      <c r="R326" s="128">
        <f ca="1">OFFSET('IWP13'!UnitsOfServicePeriod2, 0, 14, 1, 1)</f>
        <v>0</v>
      </c>
      <c r="S326" s="128">
        <f ca="1">IF(OFFSET('IWP13'!UnitsOfServicePeriod2, 0, 15, 1, 1) = "", 0, OFFSET('IWP13'!UnitsOfServicePeriod2, 0, 15, 1, 1))</f>
        <v>0</v>
      </c>
      <c r="T326" s="128">
        <f ca="1">IF(OFFSET('IWP13'!UnitsOfServicePeriod2, 0, 16, 1, 1) = "", 0, OFFSET('IWP13'!UnitsOfServicePeriod2, 0, 16, 1, 1))</f>
        <v>0</v>
      </c>
      <c r="U326" s="128">
        <f ca="1">OFFSET('IWP13'!UnitsOfServicePeriod2, 0, 17, 1, 1)</f>
        <v>0</v>
      </c>
      <c r="V326" s="128">
        <f ca="1">IF(OFFSET('IWP13'!UnitsOfServicePeriod2, 0, 19, 1, 1) = "", 0, OFFSET('IWP13'!UnitsOfServicePeriod2, 0, 19, 1, 1))</f>
        <v>0</v>
      </c>
      <c r="W326" s="128">
        <f ca="1">OFFSET('IWP13'!UnitsOfServicePeriod2, 0, 20, 1, 1)</f>
        <v>0</v>
      </c>
      <c r="X326" s="128">
        <f ca="1">IF(OFFSET('IWP13'!UnitsOfServicePeriod2, 0, 21, 1, 1) = "", 0, OFFSET('IWP13'!UnitsOfServicePeriod2, 0, 21, 1, 1))</f>
        <v>0</v>
      </c>
      <c r="Y326" s="137">
        <f ca="1">OFFSET('IWP13'!UnitsOfServicePeriod2, 0, 22, 1, 1)</f>
        <v>0</v>
      </c>
    </row>
    <row r="327" spans="1:25">
      <c r="A327" s="125" t="s">
        <v>486</v>
      </c>
      <c r="B327" s="128">
        <v>2</v>
      </c>
      <c r="C327" s="128">
        <v>2</v>
      </c>
      <c r="D327" s="107">
        <f ca="1">IF(OFFSET('IWP13'!UnitsOfServicePeriod2, 1, 0, 1, 1)=DATE(1900,1,0), DATE(1900,1,1),OFFSET('IWP13'!UnitsOfServicePeriod2, 1, 0, 1, 1))</f>
        <v>1</v>
      </c>
      <c r="E327" s="107">
        <f ca="1">IF(OFFSET('IWP13'!UnitsOfServicePeriod2, 1, 1, 1, 1)=DATE(1900,1,0), DATE(1900,1,1),OFFSET('IWP13'!UnitsOfServicePeriod2, 1, 1, 1, 1))</f>
        <v>1</v>
      </c>
      <c r="F327" s="128">
        <f ca="1">OFFSET('IWP13'!UnitsOfServicePeriod2, 1, 2, 1, 1)</f>
        <v>0</v>
      </c>
      <c r="G327" s="128">
        <f ca="1">IF(OFFSET('IWP13'!UnitsOfServicePeriod2, 1, 3, 1, 1) = "", 0, OFFSET('IWP13'!UnitsOfServicePeriod2, 1, 3, 1, 1))</f>
        <v>0</v>
      </c>
      <c r="H327" s="128">
        <f ca="1">OFFSET('IWP13'!UnitsOfServicePeriod2, 1, 4, 1, 1)</f>
        <v>0</v>
      </c>
      <c r="I327" s="128">
        <f ca="1">IF(OFFSET('IWP13'!UnitsOfServicePeriod2, 1, 5, 1, 1) = "", 0, OFFSET('IWP13'!UnitsOfServicePeriod2, 1, 5, 1, 1))</f>
        <v>0</v>
      </c>
      <c r="J327" s="128">
        <f ca="1">OFFSET('IWP13'!UnitsOfServicePeriod2, 1, 6, 1, 1)</f>
        <v>0</v>
      </c>
      <c r="K327" s="128">
        <f ca="1">IF(OFFSET('IWP13'!UnitsOfServicePeriod2, 1, 7, 1, 1) = "", 0, OFFSET('IWP13'!UnitsOfServicePeriod2, 1, 7, 1, 1))</f>
        <v>0</v>
      </c>
      <c r="L327" s="128">
        <f ca="1">OFFSET('IWP13'!UnitsOfServicePeriod2, 1, 8, 1, 1)</f>
        <v>0</v>
      </c>
      <c r="M327" s="128">
        <f ca="1">IF(OFFSET('IWP13'!UnitsOfServicePeriod2, 1, 9, 1, 1) = "", 0, OFFSET('IWP13'!UnitsOfServicePeriod2, 1, 9, 1, 1))</f>
        <v>0</v>
      </c>
      <c r="N327" s="128">
        <f ca="1">OFFSET('IWP13'!UnitsOfServicePeriod2, 1, 10, 1, 1)</f>
        <v>0</v>
      </c>
      <c r="O327" s="128">
        <f ca="1">IF(OFFSET('IWP13'!UnitsOfServicePeriod2, 1, 11, 1, 1) = "", 0, OFFSET('IWP13'!UnitsOfServicePeriod2, 1, 11, 1, 1))</f>
        <v>0</v>
      </c>
      <c r="P327" s="128">
        <f ca="1">OFFSET('IWP13'!UnitsOfServicePeriod2, 1, 12, 1, 1)</f>
        <v>0</v>
      </c>
      <c r="Q327" s="128">
        <f ca="1">IF(OFFSET('IWP13'!UnitsOfServicePeriod2, 1, 13, 1, 1) = "", 0, OFFSET('IWP13'!UnitsOfServicePeriod2, 1, 13, 1, 1))</f>
        <v>0</v>
      </c>
      <c r="R327" s="128">
        <f ca="1">OFFSET('IWP13'!UnitsOfServicePeriod2, 1, 14, 1, 1)</f>
        <v>0</v>
      </c>
      <c r="S327" s="128">
        <f ca="1">IF(OFFSET('IWP13'!UnitsOfServicePeriod2, 1, 15, 1, 1) = "", 0, OFFSET('IWP13'!UnitsOfServicePeriod2, 1, 15, 1, 1))</f>
        <v>0</v>
      </c>
      <c r="T327" s="128">
        <f ca="1">IF(OFFSET('IWP13'!UnitsOfServicePeriod2, 1, 16, 1, 1) = "", 0, OFFSET('IWP13'!UnitsOfServicePeriod2, 1, 16, 1, 1))</f>
        <v>0</v>
      </c>
      <c r="U327" s="128">
        <f ca="1">OFFSET('IWP13'!UnitsOfServicePeriod2, 1, 17, 1, 1)</f>
        <v>0</v>
      </c>
      <c r="V327" s="128">
        <f ca="1">IF(OFFSET('IWP13'!UnitsOfServicePeriod2, 1, 19, 1, 1) = "", 0, OFFSET('IWP13'!UnitsOfServicePeriod2, 1, 19, 1, 1))</f>
        <v>0</v>
      </c>
      <c r="W327" s="128">
        <f ca="1">OFFSET('IWP13'!UnitsOfServicePeriod2, 1, 20, 1, 1)</f>
        <v>0</v>
      </c>
      <c r="X327" s="128">
        <f ca="1">IF(OFFSET('IWP13'!UnitsOfServicePeriod2, 1, 21, 1, 1) = "", 0, OFFSET('IWP13'!UnitsOfServicePeriod2, 1, 21, 1, 1))</f>
        <v>0</v>
      </c>
      <c r="Y327" s="137">
        <f ca="1">OFFSET('IWP13'!UnitsOfServicePeriod2, 1, 22, 1, 1)</f>
        <v>0</v>
      </c>
    </row>
    <row r="328" spans="1:25">
      <c r="A328" s="125" t="s">
        <v>486</v>
      </c>
      <c r="B328" s="128">
        <v>2</v>
      </c>
      <c r="C328" s="128">
        <v>3</v>
      </c>
      <c r="D328" s="107">
        <f ca="1">IF(OFFSET('IWP13'!UnitsOfServicePeriod2, 2, 0, 1, 1)=DATE(1900,1,0), DATE(1900,1,1),OFFSET('IWP13'!UnitsOfServicePeriod2, 2, 0, 1, 1))</f>
        <v>1</v>
      </c>
      <c r="E328" s="107">
        <f ca="1">IF(OFFSET('IWP13'!UnitsOfServicePeriod2, 2, 1, 1, 1)=DATE(1900,1,0), DATE(1900,1,1),OFFSET('IWP13'!UnitsOfServicePeriod2, 2, 1, 1, 1))</f>
        <v>1</v>
      </c>
      <c r="F328" s="128">
        <f ca="1">OFFSET('IWP13'!UnitsOfServicePeriod2, 2, 2, 1, 1)</f>
        <v>0</v>
      </c>
      <c r="G328" s="128">
        <f ca="1">IF(OFFSET('IWP13'!UnitsOfServicePeriod2, 2, 3, 1, 1) = "", 0, OFFSET('IWP13'!UnitsOfServicePeriod2, 2, 3, 1, 1))</f>
        <v>0</v>
      </c>
      <c r="H328" s="128">
        <f ca="1">OFFSET('IWP13'!UnitsOfServicePeriod2, 2, 4, 1, 1)</f>
        <v>0</v>
      </c>
      <c r="I328" s="128">
        <f ca="1">IF(OFFSET('IWP13'!UnitsOfServicePeriod2, 2, 5, 1, 1) = "", 0, OFFSET('IWP13'!UnitsOfServicePeriod2, 2, 5, 1, 1))</f>
        <v>0</v>
      </c>
      <c r="J328" s="128">
        <f ca="1">OFFSET('IWP13'!UnitsOfServicePeriod2, 2, 6, 1, 1)</f>
        <v>0</v>
      </c>
      <c r="K328" s="128">
        <f ca="1">IF(OFFSET('IWP13'!UnitsOfServicePeriod2, 2, 7, 1, 1) = "", 0, OFFSET('IWP13'!UnitsOfServicePeriod2, 2, 7, 1, 1))</f>
        <v>0</v>
      </c>
      <c r="L328" s="128">
        <f ca="1">OFFSET('IWP13'!UnitsOfServicePeriod2, 2, 8, 1, 1)</f>
        <v>0</v>
      </c>
      <c r="M328" s="128">
        <f ca="1">IF(OFFSET('IWP13'!UnitsOfServicePeriod2, 2, 9, 1, 1) = "", 0, OFFSET('IWP13'!UnitsOfServicePeriod2, 2, 9, 1, 1))</f>
        <v>0</v>
      </c>
      <c r="N328" s="128">
        <f ca="1">OFFSET('IWP13'!UnitsOfServicePeriod2, 2, 10, 1, 1)</f>
        <v>0</v>
      </c>
      <c r="O328" s="128">
        <f ca="1">IF(OFFSET('IWP13'!UnitsOfServicePeriod2, 2, 11, 1, 1) = "", 0, OFFSET('IWP13'!UnitsOfServicePeriod2, 2, 11, 1, 1))</f>
        <v>0</v>
      </c>
      <c r="P328" s="128">
        <f ca="1">OFFSET('IWP13'!UnitsOfServicePeriod2, 2, 12, 1, 1)</f>
        <v>0</v>
      </c>
      <c r="Q328" s="128">
        <f ca="1">IF(OFFSET('IWP13'!UnitsOfServicePeriod2, 2, 13, 1, 1) = "", 0, OFFSET('IWP13'!UnitsOfServicePeriod2, 2, 13, 1, 1))</f>
        <v>0</v>
      </c>
      <c r="R328" s="128">
        <f ca="1">OFFSET('IWP13'!UnitsOfServicePeriod2, 2, 14, 1, 1)</f>
        <v>0</v>
      </c>
      <c r="S328" s="128">
        <f ca="1">IF(OFFSET('IWP13'!UnitsOfServicePeriod2, 2, 15, 1, 1) = "", 0, OFFSET('IWP13'!UnitsOfServicePeriod2, 2, 15, 1, 1))</f>
        <v>0</v>
      </c>
      <c r="T328" s="128">
        <f ca="1">IF(OFFSET('IWP13'!UnitsOfServicePeriod2, 2, 16, 1, 1) = "", 0, OFFSET('IWP13'!UnitsOfServicePeriod2, 2, 16, 1, 1))</f>
        <v>0</v>
      </c>
      <c r="U328" s="128">
        <f ca="1">OFFSET('IWP13'!UnitsOfServicePeriod2, 2, 17, 1, 1)</f>
        <v>0</v>
      </c>
      <c r="V328" s="128">
        <f ca="1">IF(OFFSET('IWP13'!UnitsOfServicePeriod2, 2, 19, 1, 1) = "", 0, OFFSET('IWP13'!UnitsOfServicePeriod2, 2, 19, 1, 1))</f>
        <v>0</v>
      </c>
      <c r="W328" s="128">
        <f ca="1">OFFSET('IWP13'!UnitsOfServicePeriod2, 2, 20, 1, 1)</f>
        <v>0</v>
      </c>
      <c r="X328" s="128">
        <f ca="1">IF(OFFSET('IWP13'!UnitsOfServicePeriod2, 2, 21, 1, 1) = "", 0, OFFSET('IWP13'!UnitsOfServicePeriod2, 2, 21, 1, 1))</f>
        <v>0</v>
      </c>
      <c r="Y328" s="137">
        <f ca="1">OFFSET('IWP13'!UnitsOfServicePeriod2, 2, 22, 1, 1)</f>
        <v>0</v>
      </c>
    </row>
    <row r="329" spans="1:25">
      <c r="A329" s="125" t="s">
        <v>486</v>
      </c>
      <c r="B329" s="128">
        <v>2</v>
      </c>
      <c r="C329" s="128">
        <v>4</v>
      </c>
      <c r="D329" s="107">
        <f ca="1">IF(OFFSET('IWP13'!UnitsOfServicePeriod2, 3, 0, 1, 1)=DATE(1900,1,0), DATE(1900,1,1),OFFSET('IWP13'!UnitsOfServicePeriod2, 3, 0, 1, 1))</f>
        <v>1</v>
      </c>
      <c r="E329" s="107">
        <f ca="1">IF(OFFSET('IWP13'!UnitsOfServicePeriod2, 3, 1, 1, 1)=DATE(1900,1,0), DATE(1900,1,1),OFFSET('IWP13'!UnitsOfServicePeriod2, 3, 1, 1, 1))</f>
        <v>1</v>
      </c>
      <c r="F329" s="128">
        <f ca="1">OFFSET('IWP13'!UnitsOfServicePeriod2, 3, 2, 1, 1)</f>
        <v>0</v>
      </c>
      <c r="G329" s="128">
        <f ca="1">IF(OFFSET('IWP13'!UnitsOfServicePeriod2, 3, 3, 1, 1) = "", 0, OFFSET('IWP13'!UnitsOfServicePeriod2, 3, 3, 1, 1))</f>
        <v>0</v>
      </c>
      <c r="H329" s="128">
        <f ca="1">OFFSET('IWP13'!UnitsOfServicePeriod2, 3, 4, 1, 1)</f>
        <v>0</v>
      </c>
      <c r="I329" s="128">
        <f ca="1">IF(OFFSET('IWP13'!UnitsOfServicePeriod2, 3, 5, 1, 1) = "", 0, OFFSET('IWP13'!UnitsOfServicePeriod2, 3, 5, 1, 1))</f>
        <v>0</v>
      </c>
      <c r="J329" s="128">
        <f ca="1">OFFSET('IWP13'!UnitsOfServicePeriod2, 3, 6, 1, 1)</f>
        <v>0</v>
      </c>
      <c r="K329" s="128">
        <f ca="1">IF(OFFSET('IWP13'!UnitsOfServicePeriod2, 3, 7, 1, 1) = "", 0, OFFSET('IWP13'!UnitsOfServicePeriod2, 3, 7, 1, 1))</f>
        <v>0</v>
      </c>
      <c r="L329" s="128">
        <f ca="1">OFFSET('IWP13'!UnitsOfServicePeriod2, 3, 8, 1, 1)</f>
        <v>0</v>
      </c>
      <c r="M329" s="128">
        <f ca="1">IF(OFFSET('IWP13'!UnitsOfServicePeriod2, 3, 9, 1, 1) = "", 0, OFFSET('IWP13'!UnitsOfServicePeriod2, 3, 9, 1, 1))</f>
        <v>0</v>
      </c>
      <c r="N329" s="128">
        <f ca="1">OFFSET('IWP13'!UnitsOfServicePeriod2, 3, 10, 1, 1)</f>
        <v>0</v>
      </c>
      <c r="O329" s="128">
        <f ca="1">IF(OFFSET('IWP13'!UnitsOfServicePeriod2, 3, 11, 1, 1) = "", 0, OFFSET('IWP13'!UnitsOfServicePeriod2, 3, 11, 1, 1))</f>
        <v>0</v>
      </c>
      <c r="P329" s="128">
        <f ca="1">OFFSET('IWP13'!UnitsOfServicePeriod2, 3, 12, 1, 1)</f>
        <v>0</v>
      </c>
      <c r="Q329" s="128">
        <f ca="1">IF(OFFSET('IWP13'!UnitsOfServicePeriod2, 3, 13, 1, 1) = "", 0, OFFSET('IWP13'!UnitsOfServicePeriod2, 3, 13, 1, 1))</f>
        <v>0</v>
      </c>
      <c r="R329" s="128">
        <f ca="1">OFFSET('IWP13'!UnitsOfServicePeriod2, 3, 14, 1, 1)</f>
        <v>0</v>
      </c>
      <c r="S329" s="128">
        <f ca="1">IF(OFFSET('IWP13'!UnitsOfServicePeriod2, 3, 15, 1, 1) = "", 0, OFFSET('IWP13'!UnitsOfServicePeriod2, 3, 15, 1, 1))</f>
        <v>0</v>
      </c>
      <c r="T329" s="128">
        <f ca="1">IF(OFFSET('IWP13'!UnitsOfServicePeriod2, 3, 16, 1, 1) = "", 0, OFFSET('IWP13'!UnitsOfServicePeriod2, 3, 16, 1, 1))</f>
        <v>0</v>
      </c>
      <c r="U329" s="128">
        <f ca="1">OFFSET('IWP13'!UnitsOfServicePeriod2, 3, 17, 1, 1)</f>
        <v>0</v>
      </c>
      <c r="V329" s="128">
        <f ca="1">IF(OFFSET('IWP13'!UnitsOfServicePeriod2, 3, 19, 1, 1) = "", 0, OFFSET('IWP13'!UnitsOfServicePeriod2, 3, 19, 1, 1))</f>
        <v>0</v>
      </c>
      <c r="W329" s="128">
        <f ca="1">OFFSET('IWP13'!UnitsOfServicePeriod2, 3, 20, 1, 1)</f>
        <v>0</v>
      </c>
      <c r="X329" s="128">
        <f ca="1">IF(OFFSET('IWP13'!UnitsOfServicePeriod2, 3, 21, 1, 1) = "", 0, OFFSET('IWP13'!UnitsOfServicePeriod2, 3, 21, 1, 1))</f>
        <v>0</v>
      </c>
      <c r="Y329" s="137">
        <f ca="1">OFFSET('IWP13'!UnitsOfServicePeriod2, 3, 22, 1, 1)</f>
        <v>0</v>
      </c>
    </row>
    <row r="330" spans="1:25">
      <c r="A330" s="125" t="s">
        <v>486</v>
      </c>
      <c r="B330" s="128">
        <v>2</v>
      </c>
      <c r="C330" s="128">
        <v>5</v>
      </c>
      <c r="D330" s="107">
        <f ca="1">IF(OFFSET('IWP13'!UnitsOfServicePeriod2, 4, 0, 1, 1)=DATE(1900,1,0), DATE(1900,1,1),OFFSET('IWP13'!UnitsOfServicePeriod2, 4, 0, 1, 1))</f>
        <v>1</v>
      </c>
      <c r="E330" s="107">
        <f ca="1">IF(OFFSET('IWP13'!UnitsOfServicePeriod2, 4, 1, 1, 1)=DATE(1900,1,0), DATE(1900,1,1),OFFSET('IWP13'!UnitsOfServicePeriod2, 4, 1, 1, 1))</f>
        <v>1</v>
      </c>
      <c r="F330" s="128">
        <f ca="1">OFFSET('IWP13'!UnitsOfServicePeriod2, 4, 2, 1, 1)</f>
        <v>0</v>
      </c>
      <c r="G330" s="128">
        <f ca="1">IF(OFFSET('IWP13'!UnitsOfServicePeriod2, 4, 3, 1, 1) = "", 0, OFFSET('IWP13'!UnitsOfServicePeriod2, 4, 3, 1, 1))</f>
        <v>0</v>
      </c>
      <c r="H330" s="128">
        <f ca="1">OFFSET('IWP13'!UnitsOfServicePeriod2, 4, 4, 1, 1)</f>
        <v>0</v>
      </c>
      <c r="I330" s="128">
        <f ca="1">IF(OFFSET('IWP13'!UnitsOfServicePeriod2, 4, 5, 1, 1) = "", 0, OFFSET('IWP13'!UnitsOfServicePeriod2, 4, 5, 1, 1))</f>
        <v>0</v>
      </c>
      <c r="J330" s="128">
        <f ca="1">OFFSET('IWP13'!UnitsOfServicePeriod2, 4, 6, 1, 1)</f>
        <v>0</v>
      </c>
      <c r="K330" s="128">
        <f ca="1">IF(OFFSET('IWP13'!UnitsOfServicePeriod2, 4, 7, 1, 1) = "", 0, OFFSET('IWP13'!UnitsOfServicePeriod2, 4, 7, 1, 1))</f>
        <v>0</v>
      </c>
      <c r="L330" s="128">
        <f ca="1">OFFSET('IWP13'!UnitsOfServicePeriod2, 4, 8, 1, 1)</f>
        <v>0</v>
      </c>
      <c r="M330" s="128">
        <f ca="1">IF(OFFSET('IWP13'!UnitsOfServicePeriod2, 4, 9, 1, 1) = "", 0, OFFSET('IWP13'!UnitsOfServicePeriod2, 4, 9, 1, 1))</f>
        <v>0</v>
      </c>
      <c r="N330" s="128">
        <f ca="1">OFFSET('IWP13'!UnitsOfServicePeriod2, 4, 10, 1, 1)</f>
        <v>0</v>
      </c>
      <c r="O330" s="128">
        <f ca="1">IF(OFFSET('IWP13'!UnitsOfServicePeriod2, 4, 11, 1, 1) = "", 0, OFFSET('IWP13'!UnitsOfServicePeriod2, 4, 11, 1, 1))</f>
        <v>0</v>
      </c>
      <c r="P330" s="128">
        <f ca="1">OFFSET('IWP13'!UnitsOfServicePeriod2, 4, 12, 1, 1)</f>
        <v>0</v>
      </c>
      <c r="Q330" s="128">
        <f ca="1">IF(OFFSET('IWP13'!UnitsOfServicePeriod2, 4, 13, 1, 1) = "", 0, OFFSET('IWP13'!UnitsOfServicePeriod2, 4, 13, 1, 1))</f>
        <v>0</v>
      </c>
      <c r="R330" s="128">
        <f ca="1">OFFSET('IWP13'!UnitsOfServicePeriod2, 4, 14, 1, 1)</f>
        <v>0</v>
      </c>
      <c r="S330" s="128">
        <f ca="1">IF(OFFSET('IWP13'!UnitsOfServicePeriod2, 4, 15, 1, 1) = "", 0, OFFSET('IWP13'!UnitsOfServicePeriod2, 4, 15, 1, 1))</f>
        <v>0</v>
      </c>
      <c r="T330" s="128">
        <f ca="1">IF(OFFSET('IWP13'!UnitsOfServicePeriod2, 4, 16, 1, 1) = "", 0, OFFSET('IWP13'!UnitsOfServicePeriod2, 4, 16, 1, 1))</f>
        <v>0</v>
      </c>
      <c r="U330" s="128">
        <f ca="1">OFFSET('IWP13'!UnitsOfServicePeriod2, 4, 17, 1, 1)</f>
        <v>0</v>
      </c>
      <c r="V330" s="128">
        <f ca="1">IF(OFFSET('IWP13'!UnitsOfServicePeriod2, 4, 19, 1, 1) = "", 0, OFFSET('IWP13'!UnitsOfServicePeriod2, 4, 19, 1, 1))</f>
        <v>0</v>
      </c>
      <c r="W330" s="128">
        <f ca="1">OFFSET('IWP13'!UnitsOfServicePeriod2, 4, 20, 1, 1)</f>
        <v>0</v>
      </c>
      <c r="X330" s="128">
        <f ca="1">IF(OFFSET('IWP13'!UnitsOfServicePeriod2, 4, 21, 1, 1) = "", 0, OFFSET('IWP13'!UnitsOfServicePeriod2, 4, 21, 1, 1))</f>
        <v>0</v>
      </c>
      <c r="Y330" s="137">
        <f ca="1">OFFSET('IWP13'!UnitsOfServicePeriod2, 4, 22, 1, 1)</f>
        <v>0</v>
      </c>
    </row>
    <row r="331" spans="1:25">
      <c r="A331" s="125" t="s">
        <v>486</v>
      </c>
      <c r="B331" s="128">
        <v>2</v>
      </c>
      <c r="C331" s="128">
        <v>6</v>
      </c>
      <c r="D331" s="107">
        <f ca="1">IF(OFFSET('IWP13'!UnitsOfServicePeriod2, 5, 0, 1, 1)=DATE(1900,1,0), DATE(1900,1,1),OFFSET('IWP13'!UnitsOfServicePeriod2, 5, 0, 1, 1))</f>
        <v>1</v>
      </c>
      <c r="E331" s="107">
        <f ca="1">IF(OFFSET('IWP13'!UnitsOfServicePeriod2, 5, 1, 1, 1)=DATE(1900,1,0), DATE(1900,1,1),OFFSET('IWP13'!UnitsOfServicePeriod2, 5, 1, 1, 1))</f>
        <v>1</v>
      </c>
      <c r="F331" s="128">
        <f ca="1">OFFSET('IWP13'!UnitsOfServicePeriod2, 5, 2, 1, 1)</f>
        <v>0</v>
      </c>
      <c r="G331" s="128">
        <f ca="1">IF(OFFSET('IWP13'!UnitsOfServicePeriod2, 5, 3, 1, 1) = "", 0, OFFSET('IWP13'!UnitsOfServicePeriod2, 5, 3, 1, 1))</f>
        <v>0</v>
      </c>
      <c r="H331" s="128">
        <f ca="1">OFFSET('IWP13'!UnitsOfServicePeriod2, 5, 4, 1, 1)</f>
        <v>0</v>
      </c>
      <c r="I331" s="128">
        <f ca="1">IF(OFFSET('IWP13'!UnitsOfServicePeriod2, 5, 5, 1, 1) = "", 0, OFFSET('IWP13'!UnitsOfServicePeriod2, 5, 5, 1, 1))</f>
        <v>0</v>
      </c>
      <c r="J331" s="128">
        <f ca="1">OFFSET('IWP13'!UnitsOfServicePeriod2, 5, 6, 1, 1)</f>
        <v>0</v>
      </c>
      <c r="K331" s="128">
        <f ca="1">IF(OFFSET('IWP13'!UnitsOfServicePeriod2, 5, 7, 1, 1) = "", 0, OFFSET('IWP13'!UnitsOfServicePeriod2, 5, 7, 1, 1))</f>
        <v>0</v>
      </c>
      <c r="L331" s="128">
        <f ca="1">OFFSET('IWP13'!UnitsOfServicePeriod2, 5, 8, 1, 1)</f>
        <v>0</v>
      </c>
      <c r="M331" s="128">
        <f ca="1">IF(OFFSET('IWP13'!UnitsOfServicePeriod2, 5, 9, 1, 1) = "", 0, OFFSET('IWP13'!UnitsOfServicePeriod2, 5, 9, 1, 1))</f>
        <v>0</v>
      </c>
      <c r="N331" s="128">
        <f ca="1">OFFSET('IWP13'!UnitsOfServicePeriod2, 5, 10, 1, 1)</f>
        <v>0</v>
      </c>
      <c r="O331" s="128">
        <f ca="1">IF(OFFSET('IWP13'!UnitsOfServicePeriod2, 5, 11, 1, 1) = "", 0, OFFSET('IWP13'!UnitsOfServicePeriod2, 5, 11, 1, 1))</f>
        <v>0</v>
      </c>
      <c r="P331" s="128">
        <f ca="1">OFFSET('IWP13'!UnitsOfServicePeriod2, 5, 12, 1, 1)</f>
        <v>0</v>
      </c>
      <c r="Q331" s="128">
        <f ca="1">IF(OFFSET('IWP13'!UnitsOfServicePeriod2, 5, 13, 1, 1) = "", 0, OFFSET('IWP13'!UnitsOfServicePeriod2, 5, 13, 1, 1))</f>
        <v>0</v>
      </c>
      <c r="R331" s="128">
        <f ca="1">OFFSET('IWP13'!UnitsOfServicePeriod2, 5, 14, 1, 1)</f>
        <v>0</v>
      </c>
      <c r="S331" s="128">
        <f ca="1">IF(OFFSET('IWP13'!UnitsOfServicePeriod2, 5, 15, 1, 1) = "", 0, OFFSET('IWP13'!UnitsOfServicePeriod2, 5, 15, 1, 1))</f>
        <v>0</v>
      </c>
      <c r="T331" s="128">
        <f ca="1">IF(OFFSET('IWP13'!UnitsOfServicePeriod2, 5, 16, 1, 1) = "", 0, OFFSET('IWP13'!UnitsOfServicePeriod2, 5, 16, 1, 1))</f>
        <v>0</v>
      </c>
      <c r="U331" s="128">
        <f ca="1">OFFSET('IWP13'!UnitsOfServicePeriod2, 5, 17, 1, 1)</f>
        <v>0</v>
      </c>
      <c r="V331" s="128">
        <f ca="1">IF(OFFSET('IWP13'!UnitsOfServicePeriod2, 5, 19, 1, 1) = "", 0, OFFSET('IWP13'!UnitsOfServicePeriod2, 5, 19, 1, 1))</f>
        <v>0</v>
      </c>
      <c r="W331" s="128">
        <f ca="1">OFFSET('IWP13'!UnitsOfServicePeriod2, 5, 20, 1, 1)</f>
        <v>0</v>
      </c>
      <c r="X331" s="128">
        <f ca="1">IF(OFFSET('IWP13'!UnitsOfServicePeriod2, 5, 21, 1, 1) = "", 0, OFFSET('IWP13'!UnitsOfServicePeriod2, 5, 21, 1, 1))</f>
        <v>0</v>
      </c>
      <c r="Y331" s="137">
        <f ca="1">OFFSET('IWP13'!UnitsOfServicePeriod2, 5, 22, 1, 1)</f>
        <v>0</v>
      </c>
    </row>
    <row r="332" spans="1:25">
      <c r="A332" s="125" t="s">
        <v>487</v>
      </c>
      <c r="B332" s="128">
        <v>1</v>
      </c>
      <c r="C332" s="128">
        <v>1</v>
      </c>
      <c r="D332" s="107">
        <f ca="1">IF(OFFSET('IWP14'!UnitsOfServicePeriod1, 0, 0, 1, 1)=DATE(1900,1,0), DATE(1900,1,1),OFFSET('IWP14'!UnitsOfServicePeriod1, 0, 0, 1, 1))</f>
        <v>1</v>
      </c>
      <c r="E332" s="107">
        <f ca="1">IF(OFFSET('IWP14'!UnitsOfServicePeriod1, 0, 1, 1, 1)=DATE(1900,1,0), DATE(1900,1,1),OFFSET('IWP14'!UnitsOfServicePeriod1, 0, 1, 1, 1))</f>
        <v>1</v>
      </c>
      <c r="F332" s="128">
        <f ca="1">OFFSET('IWP14'!UnitsOfServicePeriod1, 0, 2, 1, 1)</f>
        <v>0</v>
      </c>
      <c r="G332" s="128">
        <f ca="1">IF(OFFSET('IWP14'!UnitsOfServicePeriod1, 0, 3, 1, 1) = "", 0, OFFSET('IWP14'!UnitsOfServicePeriod1, 0, 3, 1, 1))</f>
        <v>0</v>
      </c>
      <c r="H332" s="128">
        <f ca="1">OFFSET('IWP14'!UnitsOfServicePeriod1, 0, 4, 1, 1)</f>
        <v>0</v>
      </c>
      <c r="I332" s="128">
        <f ca="1">IF(OFFSET('IWP14'!UnitsOfServicePeriod1, 0, 5, 1, 1) = "", 0, OFFSET('IWP14'!UnitsOfServicePeriod1, 0, 5, 1, 1))</f>
        <v>0</v>
      </c>
      <c r="J332" s="128">
        <f ca="1">OFFSET('IWP14'!UnitsOfServicePeriod1, 0, 6, 1, 1)</f>
        <v>0</v>
      </c>
      <c r="K332" s="128">
        <f ca="1">IF(OFFSET('IWP14'!UnitsOfServicePeriod1, 0, 7, 1, 1) = "", 0, OFFSET('IWP14'!UnitsOfServicePeriod1, 0, 7, 1, 1))</f>
        <v>0</v>
      </c>
      <c r="L332" s="128">
        <f ca="1">OFFSET('IWP14'!UnitsOfServicePeriod1, 0, 8, 1, 1)</f>
        <v>0</v>
      </c>
      <c r="M332" s="128">
        <f ca="1">IF(OFFSET('IWP14'!UnitsOfServicePeriod1, 0, 9, 1, 1) = "", 0, OFFSET('IWP14'!UnitsOfServicePeriod1, 0, 9, 1, 1))</f>
        <v>0</v>
      </c>
      <c r="N332" s="128">
        <f ca="1">OFFSET('IWP14'!UnitsOfServicePeriod1, 0, 10, 1, 1)</f>
        <v>0</v>
      </c>
      <c r="O332" s="128">
        <f ca="1">IF(OFFSET('IWP14'!UnitsOfServicePeriod1, 0, 11, 1, 1) = "", 0, OFFSET('IWP14'!UnitsOfServicePeriod1, 0, 11, 1, 1))</f>
        <v>0</v>
      </c>
      <c r="P332" s="128">
        <f ca="1">OFFSET('IWP14'!UnitsOfServicePeriod1, 0, 12, 1, 1)</f>
        <v>0</v>
      </c>
      <c r="Q332" s="128">
        <f ca="1">IF(OFFSET('IWP14'!UnitsOfServicePeriod1, 0, 13, 1, 1) = "", 0, OFFSET('IWP14'!UnitsOfServicePeriod1, 0, 13, 1, 1))</f>
        <v>0</v>
      </c>
      <c r="R332" s="128">
        <f ca="1">OFFSET('IWP14'!UnitsOfServicePeriod1, 0, 14, 1, 1)</f>
        <v>0</v>
      </c>
      <c r="S332" s="128">
        <f ca="1">IF(OFFSET('IWP14'!UnitsOfServicePeriod1, 0, 15, 1, 1) = "", 0, OFFSET('IWP14'!UnitsOfServicePeriod1, 0, 15, 1, 1))</f>
        <v>0</v>
      </c>
      <c r="T332" s="128">
        <f ca="1">IF(OFFSET('IWP14'!UnitsOfServicePeriod1, 0, 16, 1, 1) = "", 0, OFFSET('IWP14'!UnitsOfServicePeriod1, 0, 16, 1, 1))</f>
        <v>0</v>
      </c>
      <c r="U332" s="128">
        <f ca="1">OFFSET('IWP14'!UnitsOfServicePeriod1, 0, 17, 1, 1)</f>
        <v>0</v>
      </c>
      <c r="V332" s="128">
        <f ca="1">IF(OFFSET('IWP14'!UnitsOfServicePeriod1, 0, 19, 1, 1) = "", 0, OFFSET('IWP14'!UnitsOfServicePeriod1, 0, 19, 1, 1))</f>
        <v>0</v>
      </c>
      <c r="W332" s="128">
        <f ca="1">OFFSET('IWP14'!UnitsOfServicePeriod1, 0, 20, 1, 1)</f>
        <v>0</v>
      </c>
      <c r="X332" s="128">
        <f ca="1">IF(OFFSET('IWP14'!UnitsOfServicePeriod1, 0, 21, 1, 1) = "", 0, OFFSET('IWP14'!UnitsOfServicePeriod1, 0, 21, 1, 1))</f>
        <v>0</v>
      </c>
      <c r="Y332" s="137">
        <f ca="1">OFFSET('IWP14'!UnitsOfServicePeriod1, 0, 22, 1, 1)</f>
        <v>0</v>
      </c>
    </row>
    <row r="333" spans="1:25">
      <c r="A333" s="125" t="s">
        <v>487</v>
      </c>
      <c r="B333" s="128">
        <v>1</v>
      </c>
      <c r="C333" s="128">
        <v>2</v>
      </c>
      <c r="D333" s="107">
        <f ca="1">IF(OFFSET('IWP14'!UnitsOfServicePeriod1, 1, 0, 1, 1)=DATE(1900,1,0), DATE(1900,1,1),OFFSET('IWP14'!UnitsOfServicePeriod1, 1, 0, 1, 1))</f>
        <v>1</v>
      </c>
      <c r="E333" s="107">
        <f ca="1">IF(OFFSET('IWP14'!UnitsOfServicePeriod1, 1, 1, 1, 1)=DATE(1900,1,0), DATE(1900,1,1),OFFSET('IWP14'!UnitsOfServicePeriod1, 1, 1, 1, 1))</f>
        <v>1</v>
      </c>
      <c r="F333" s="128">
        <f ca="1">OFFSET('IWP14'!UnitsOfServicePeriod1, 1, 2, 1, 1)</f>
        <v>0</v>
      </c>
      <c r="G333" s="128">
        <f ca="1">IF(OFFSET('IWP14'!UnitsOfServicePeriod1, 1, 3, 1, 1) = "", 0, OFFSET('IWP14'!UnitsOfServicePeriod1, 1, 3, 1, 1))</f>
        <v>0</v>
      </c>
      <c r="H333" s="128">
        <f ca="1">OFFSET('IWP14'!UnitsOfServicePeriod1, 1, 4, 1, 1)</f>
        <v>0</v>
      </c>
      <c r="I333" s="128">
        <f ca="1">IF(OFFSET('IWP14'!UnitsOfServicePeriod1, 1, 5, 1, 1) = "", 0, OFFSET('IWP14'!UnitsOfServicePeriod1, 1, 5, 1, 1))</f>
        <v>0</v>
      </c>
      <c r="J333" s="128">
        <f ca="1">OFFSET('IWP14'!UnitsOfServicePeriod1, 1, 6, 1, 1)</f>
        <v>0</v>
      </c>
      <c r="K333" s="128">
        <f ca="1">IF(OFFSET('IWP14'!UnitsOfServicePeriod1, 1, 7, 1, 1) = "", 0, OFFSET('IWP14'!UnitsOfServicePeriod1, 1, 7, 1, 1))</f>
        <v>0</v>
      </c>
      <c r="L333" s="128">
        <f ca="1">OFFSET('IWP14'!UnitsOfServicePeriod1, 1, 8, 1, 1)</f>
        <v>0</v>
      </c>
      <c r="M333" s="128">
        <f ca="1">IF(OFFSET('IWP14'!UnitsOfServicePeriod1, 1, 9, 1, 1) = "", 0, OFFSET('IWP14'!UnitsOfServicePeriod1, 1, 9, 1, 1))</f>
        <v>0</v>
      </c>
      <c r="N333" s="128">
        <f ca="1">OFFSET('IWP14'!UnitsOfServicePeriod1, 1, 10, 1, 1)</f>
        <v>0</v>
      </c>
      <c r="O333" s="128">
        <f ca="1">IF(OFFSET('IWP14'!UnitsOfServicePeriod1, 1, 11, 1, 1) = "", 0, OFFSET('IWP14'!UnitsOfServicePeriod1, 1, 11, 1, 1))</f>
        <v>0</v>
      </c>
      <c r="P333" s="128">
        <f ca="1">OFFSET('IWP14'!UnitsOfServicePeriod1, 1, 12, 1, 1)</f>
        <v>0</v>
      </c>
      <c r="Q333" s="128">
        <f ca="1">IF(OFFSET('IWP14'!UnitsOfServicePeriod1, 1, 13, 1, 1) = "", 0, OFFSET('IWP14'!UnitsOfServicePeriod1, 1, 13, 1, 1))</f>
        <v>0</v>
      </c>
      <c r="R333" s="128">
        <f ca="1">OFFSET('IWP14'!UnitsOfServicePeriod1, 1, 14, 1, 1)</f>
        <v>0</v>
      </c>
      <c r="S333" s="128">
        <f ca="1">IF(OFFSET('IWP14'!UnitsOfServicePeriod1, 1, 15, 1, 1) = "", 0, OFFSET('IWP14'!UnitsOfServicePeriod1, 1, 15, 1, 1))</f>
        <v>0</v>
      </c>
      <c r="T333" s="128">
        <f ca="1">IF(OFFSET('IWP14'!UnitsOfServicePeriod1, 1, 16, 1, 1) = "", 0, OFFSET('IWP14'!UnitsOfServicePeriod1, 1, 16, 1, 1))</f>
        <v>0</v>
      </c>
      <c r="U333" s="128">
        <f ca="1">OFFSET('IWP14'!UnitsOfServicePeriod1, 1, 17, 1, 1)</f>
        <v>0</v>
      </c>
      <c r="V333" s="128">
        <f ca="1">IF(OFFSET('IWP14'!UnitsOfServicePeriod1, 1, 19, 1, 1) = "", 0, OFFSET('IWP14'!UnitsOfServicePeriod1, 1, 19, 1, 1))</f>
        <v>0</v>
      </c>
      <c r="W333" s="128">
        <f ca="1">OFFSET('IWP14'!UnitsOfServicePeriod1, 1, 20, 1, 1)</f>
        <v>0</v>
      </c>
      <c r="X333" s="128">
        <f ca="1">IF(OFFSET('IWP14'!UnitsOfServicePeriod1, 1, 21, 1, 1) = "", 0, OFFSET('IWP14'!UnitsOfServicePeriod1, 1, 21, 1, 1))</f>
        <v>0</v>
      </c>
      <c r="Y333" s="137">
        <f ca="1">OFFSET('IWP14'!UnitsOfServicePeriod1, 1, 22, 1, 1)</f>
        <v>0</v>
      </c>
    </row>
    <row r="334" spans="1:25">
      <c r="A334" s="125" t="s">
        <v>487</v>
      </c>
      <c r="B334" s="128">
        <v>1</v>
      </c>
      <c r="C334" s="128">
        <v>3</v>
      </c>
      <c r="D334" s="107">
        <f ca="1">IF(OFFSET('IWP14'!UnitsOfServicePeriod1, 2, 0, 1, 1)=DATE(1900,1,0), DATE(1900,1,1),OFFSET('IWP14'!UnitsOfServicePeriod1, 2, 0, 1, 1))</f>
        <v>1</v>
      </c>
      <c r="E334" s="107">
        <f ca="1">IF(OFFSET('IWP14'!UnitsOfServicePeriod1, 2, 1, 1, 1)=DATE(1900,1,0), DATE(1900,1,1),OFFSET('IWP14'!UnitsOfServicePeriod1, 2, 1, 1, 1))</f>
        <v>1</v>
      </c>
      <c r="F334" s="128">
        <f ca="1">OFFSET('IWP14'!UnitsOfServicePeriod1, 2, 2, 1, 1)</f>
        <v>0</v>
      </c>
      <c r="G334" s="128">
        <f ca="1">IF(OFFSET('IWP14'!UnitsOfServicePeriod1, 2, 3, 1, 1) = "", 0, OFFSET('IWP14'!UnitsOfServicePeriod1, 2, 3, 1, 1))</f>
        <v>0</v>
      </c>
      <c r="H334" s="128">
        <f ca="1">OFFSET('IWP14'!UnitsOfServicePeriod1, 2, 4, 1, 1)</f>
        <v>0</v>
      </c>
      <c r="I334" s="128">
        <f ca="1">IF(OFFSET('IWP14'!UnitsOfServicePeriod1, 2, 5, 1, 1) = "", 0, OFFSET('IWP14'!UnitsOfServicePeriod1, 2, 5, 1, 1))</f>
        <v>0</v>
      </c>
      <c r="J334" s="128">
        <f ca="1">OFFSET('IWP14'!UnitsOfServicePeriod1, 2, 6, 1, 1)</f>
        <v>0</v>
      </c>
      <c r="K334" s="128">
        <f ca="1">IF(OFFSET('IWP14'!UnitsOfServicePeriod1, 2, 7, 1, 1) = "", 0, OFFSET('IWP14'!UnitsOfServicePeriod1, 2, 7, 1, 1))</f>
        <v>0</v>
      </c>
      <c r="L334" s="128">
        <f ca="1">OFFSET('IWP14'!UnitsOfServicePeriod1, 2, 8, 1, 1)</f>
        <v>0</v>
      </c>
      <c r="M334" s="128">
        <f ca="1">IF(OFFSET('IWP14'!UnitsOfServicePeriod1, 2, 9, 1, 1) = "", 0, OFFSET('IWP14'!UnitsOfServicePeriod1, 2, 9, 1, 1))</f>
        <v>0</v>
      </c>
      <c r="N334" s="128">
        <f ca="1">OFFSET('IWP14'!UnitsOfServicePeriod1, 2, 10, 1, 1)</f>
        <v>0</v>
      </c>
      <c r="O334" s="128">
        <f ca="1">IF(OFFSET('IWP14'!UnitsOfServicePeriod1, 2, 11, 1, 1) = "", 0, OFFSET('IWP14'!UnitsOfServicePeriod1, 2, 11, 1, 1))</f>
        <v>0</v>
      </c>
      <c r="P334" s="128">
        <f ca="1">OFFSET('IWP14'!UnitsOfServicePeriod1, 2, 12, 1, 1)</f>
        <v>0</v>
      </c>
      <c r="Q334" s="128">
        <f ca="1">IF(OFFSET('IWP14'!UnitsOfServicePeriod1, 2, 13, 1, 1) = "", 0, OFFSET('IWP14'!UnitsOfServicePeriod1, 2, 13, 1, 1))</f>
        <v>0</v>
      </c>
      <c r="R334" s="128">
        <f ca="1">OFFSET('IWP14'!UnitsOfServicePeriod1, 2, 14, 1, 1)</f>
        <v>0</v>
      </c>
      <c r="S334" s="128">
        <f ca="1">IF(OFFSET('IWP14'!UnitsOfServicePeriod1, 2, 15, 1, 1) = "", 0, OFFSET('IWP14'!UnitsOfServicePeriod1, 2, 15, 1, 1))</f>
        <v>0</v>
      </c>
      <c r="T334" s="128">
        <f ca="1">IF(OFFSET('IWP14'!UnitsOfServicePeriod1, 2, 16, 1, 1) = "", 0, OFFSET('IWP14'!UnitsOfServicePeriod1, 2, 16, 1, 1))</f>
        <v>0</v>
      </c>
      <c r="U334" s="128">
        <f ca="1">OFFSET('IWP14'!UnitsOfServicePeriod1, 2, 17, 1, 1)</f>
        <v>0</v>
      </c>
      <c r="V334" s="128">
        <f ca="1">IF(OFFSET('IWP14'!UnitsOfServicePeriod1, 2, 19, 1, 1) = "", 0, OFFSET('IWP14'!UnitsOfServicePeriod1, 2, 19, 1, 1))</f>
        <v>0</v>
      </c>
      <c r="W334" s="128">
        <f ca="1">OFFSET('IWP14'!UnitsOfServicePeriod1, 2, 20, 1, 1)</f>
        <v>0</v>
      </c>
      <c r="X334" s="128">
        <f ca="1">IF(OFFSET('IWP14'!UnitsOfServicePeriod1, 2, 21, 1, 1) = "", 0, OFFSET('IWP14'!UnitsOfServicePeriod1, 2, 21, 1, 1))</f>
        <v>0</v>
      </c>
      <c r="Y334" s="137">
        <f ca="1">OFFSET('IWP14'!UnitsOfServicePeriod1, 2, 22, 1, 1)</f>
        <v>0</v>
      </c>
    </row>
    <row r="335" spans="1:25">
      <c r="A335" s="125" t="s">
        <v>487</v>
      </c>
      <c r="B335" s="128">
        <v>1</v>
      </c>
      <c r="C335" s="128">
        <v>4</v>
      </c>
      <c r="D335" s="107">
        <f ca="1">IF(OFFSET('IWP14'!UnitsOfServicePeriod1, 3, 0, 1, 1)=DATE(1900,1,0), DATE(1900,1,1),OFFSET('IWP14'!UnitsOfServicePeriod1, 3, 0, 1, 1))</f>
        <v>1</v>
      </c>
      <c r="E335" s="107">
        <f ca="1">IF(OFFSET('IWP14'!UnitsOfServicePeriod1, 3, 1, 1, 1)=DATE(1900,1,0), DATE(1900,1,1),OFFSET('IWP14'!UnitsOfServicePeriod1, 3, 1, 1, 1))</f>
        <v>1</v>
      </c>
      <c r="F335" s="128">
        <f ca="1">OFFSET('IWP14'!UnitsOfServicePeriod1, 3, 2, 1, 1)</f>
        <v>0</v>
      </c>
      <c r="G335" s="128">
        <f ca="1">IF(OFFSET('IWP14'!UnitsOfServicePeriod1, 3, 3, 1, 1) = "", 0, OFFSET('IWP14'!UnitsOfServicePeriod1, 3, 3, 1, 1))</f>
        <v>0</v>
      </c>
      <c r="H335" s="128">
        <f ca="1">OFFSET('IWP14'!UnitsOfServicePeriod1, 3, 4, 1, 1)</f>
        <v>0</v>
      </c>
      <c r="I335" s="128">
        <f ca="1">IF(OFFSET('IWP14'!UnitsOfServicePeriod1, 3, 5, 1, 1) = "", 0, OFFSET('IWP14'!UnitsOfServicePeriod1, 3, 5, 1, 1))</f>
        <v>0</v>
      </c>
      <c r="J335" s="128">
        <f ca="1">OFFSET('IWP14'!UnitsOfServicePeriod1, 3, 6, 1, 1)</f>
        <v>0</v>
      </c>
      <c r="K335" s="128">
        <f ca="1">IF(OFFSET('IWP14'!UnitsOfServicePeriod1, 3, 7, 1, 1) = "", 0, OFFSET('IWP14'!UnitsOfServicePeriod1, 3, 7, 1, 1))</f>
        <v>0</v>
      </c>
      <c r="L335" s="128">
        <f ca="1">OFFSET('IWP14'!UnitsOfServicePeriod1, 3, 8, 1, 1)</f>
        <v>0</v>
      </c>
      <c r="M335" s="128">
        <f ca="1">IF(OFFSET('IWP14'!UnitsOfServicePeriod1, 3, 9, 1, 1) = "", 0, OFFSET('IWP14'!UnitsOfServicePeriod1, 3, 9, 1, 1))</f>
        <v>0</v>
      </c>
      <c r="N335" s="128">
        <f ca="1">OFFSET('IWP14'!UnitsOfServicePeriod1, 3, 10, 1, 1)</f>
        <v>0</v>
      </c>
      <c r="O335" s="128">
        <f ca="1">IF(OFFSET('IWP14'!UnitsOfServicePeriod1, 3, 11, 1, 1) = "", 0, OFFSET('IWP14'!UnitsOfServicePeriod1, 3, 11, 1, 1))</f>
        <v>0</v>
      </c>
      <c r="P335" s="128">
        <f ca="1">OFFSET('IWP14'!UnitsOfServicePeriod1, 3, 12, 1, 1)</f>
        <v>0</v>
      </c>
      <c r="Q335" s="128">
        <f ca="1">IF(OFFSET('IWP14'!UnitsOfServicePeriod1, 3, 13, 1, 1) = "", 0, OFFSET('IWP14'!UnitsOfServicePeriod1, 3, 13, 1, 1))</f>
        <v>0</v>
      </c>
      <c r="R335" s="128">
        <f ca="1">OFFSET('IWP14'!UnitsOfServicePeriod1, 3, 14, 1, 1)</f>
        <v>0</v>
      </c>
      <c r="S335" s="128">
        <f ca="1">IF(OFFSET('IWP14'!UnitsOfServicePeriod1, 3, 15, 1, 1) = "", 0, OFFSET('IWP14'!UnitsOfServicePeriod1, 3, 15, 1, 1))</f>
        <v>0</v>
      </c>
      <c r="T335" s="128">
        <f ca="1">IF(OFFSET('IWP14'!UnitsOfServicePeriod1, 3, 16, 1, 1) = "", 0, OFFSET('IWP14'!UnitsOfServicePeriod1, 3, 16, 1, 1))</f>
        <v>0</v>
      </c>
      <c r="U335" s="128">
        <f ca="1">OFFSET('IWP14'!UnitsOfServicePeriod1, 3, 17, 1, 1)</f>
        <v>0</v>
      </c>
      <c r="V335" s="128">
        <f ca="1">IF(OFFSET('IWP14'!UnitsOfServicePeriod1, 3, 19, 1, 1) = "", 0, OFFSET('IWP14'!UnitsOfServicePeriod1, 3, 19, 1, 1))</f>
        <v>0</v>
      </c>
      <c r="W335" s="128">
        <f ca="1">OFFSET('IWP14'!UnitsOfServicePeriod1, 3, 20, 1, 1)</f>
        <v>0</v>
      </c>
      <c r="X335" s="128">
        <f ca="1">IF(OFFSET('IWP14'!UnitsOfServicePeriod1, 3, 21, 1, 1) = "", 0, OFFSET('IWP14'!UnitsOfServicePeriod1, 3, 21, 1, 1))</f>
        <v>0</v>
      </c>
      <c r="Y335" s="137">
        <f ca="1">OFFSET('IWP14'!UnitsOfServicePeriod1, 3, 22, 1, 1)</f>
        <v>0</v>
      </c>
    </row>
    <row r="336" spans="1:25">
      <c r="A336" s="125" t="s">
        <v>487</v>
      </c>
      <c r="B336" s="128">
        <v>1</v>
      </c>
      <c r="C336" s="128">
        <v>5</v>
      </c>
      <c r="D336" s="107">
        <f ca="1">IF(OFFSET('IWP14'!UnitsOfServicePeriod1, 4, 0, 1, 1)=DATE(1900,1,0), DATE(1900,1,1),OFFSET('IWP14'!UnitsOfServicePeriod1, 4, 0, 1, 1))</f>
        <v>1</v>
      </c>
      <c r="E336" s="107">
        <f ca="1">IF(OFFSET('IWP14'!UnitsOfServicePeriod1, 4, 1, 1, 1)=DATE(1900,1,0), DATE(1900,1,1),OFFSET('IWP14'!UnitsOfServicePeriod1, 4, 1, 1, 1))</f>
        <v>1</v>
      </c>
      <c r="F336" s="128">
        <f ca="1">OFFSET('IWP14'!UnitsOfServicePeriod1, 4, 2, 1, 1)</f>
        <v>0</v>
      </c>
      <c r="G336" s="128">
        <f ca="1">IF(OFFSET('IWP14'!UnitsOfServicePeriod1, 4, 3, 1, 1) = "", 0, OFFSET('IWP14'!UnitsOfServicePeriod1, 4, 3, 1, 1))</f>
        <v>0</v>
      </c>
      <c r="H336" s="128">
        <f ca="1">OFFSET('IWP14'!UnitsOfServicePeriod1, 4, 4, 1, 1)</f>
        <v>0</v>
      </c>
      <c r="I336" s="128">
        <f ca="1">IF(OFFSET('IWP14'!UnitsOfServicePeriod1, 4, 5, 1, 1) = "", 0, OFFSET('IWP14'!UnitsOfServicePeriod1, 4, 5, 1, 1))</f>
        <v>0</v>
      </c>
      <c r="J336" s="128">
        <f ca="1">OFFSET('IWP14'!UnitsOfServicePeriod1, 4, 6, 1, 1)</f>
        <v>0</v>
      </c>
      <c r="K336" s="128">
        <f ca="1">IF(OFFSET('IWP14'!UnitsOfServicePeriod1, 4, 7, 1, 1) = "", 0, OFFSET('IWP14'!UnitsOfServicePeriod1, 4, 7, 1, 1))</f>
        <v>0</v>
      </c>
      <c r="L336" s="128">
        <f ca="1">OFFSET('IWP14'!UnitsOfServicePeriod1, 4, 8, 1, 1)</f>
        <v>0</v>
      </c>
      <c r="M336" s="128">
        <f ca="1">IF(OFFSET('IWP14'!UnitsOfServicePeriod1, 4, 9, 1, 1) = "", 0, OFFSET('IWP14'!UnitsOfServicePeriod1, 4, 9, 1, 1))</f>
        <v>0</v>
      </c>
      <c r="N336" s="128">
        <f ca="1">OFFSET('IWP14'!UnitsOfServicePeriod1, 4, 10, 1, 1)</f>
        <v>0</v>
      </c>
      <c r="O336" s="128">
        <f ca="1">IF(OFFSET('IWP14'!UnitsOfServicePeriod1, 4, 11, 1, 1) = "", 0, OFFSET('IWP14'!UnitsOfServicePeriod1, 4, 11, 1, 1))</f>
        <v>0</v>
      </c>
      <c r="P336" s="128">
        <f ca="1">OFFSET('IWP14'!UnitsOfServicePeriod1, 4, 12, 1, 1)</f>
        <v>0</v>
      </c>
      <c r="Q336" s="128">
        <f ca="1">IF(OFFSET('IWP14'!UnitsOfServicePeriod1, 4, 13, 1, 1) = "", 0, OFFSET('IWP14'!UnitsOfServicePeriod1, 4, 13, 1, 1))</f>
        <v>0</v>
      </c>
      <c r="R336" s="128">
        <f ca="1">OFFSET('IWP14'!UnitsOfServicePeriod1, 4, 14, 1, 1)</f>
        <v>0</v>
      </c>
      <c r="S336" s="128">
        <f ca="1">IF(OFFSET('IWP14'!UnitsOfServicePeriod1, 4, 15, 1, 1) = "", 0, OFFSET('IWP14'!UnitsOfServicePeriod1, 4, 15, 1, 1))</f>
        <v>0</v>
      </c>
      <c r="T336" s="128">
        <f ca="1">IF(OFFSET('IWP14'!UnitsOfServicePeriod1, 4, 16, 1, 1) = "", 0, OFFSET('IWP14'!UnitsOfServicePeriod1, 4, 16, 1, 1))</f>
        <v>0</v>
      </c>
      <c r="U336" s="128">
        <f ca="1">OFFSET('IWP14'!UnitsOfServicePeriod1, 4, 17, 1, 1)</f>
        <v>0</v>
      </c>
      <c r="V336" s="128">
        <f ca="1">IF(OFFSET('IWP14'!UnitsOfServicePeriod1, 4, 19, 1, 1) = "", 0, OFFSET('IWP14'!UnitsOfServicePeriod1, 4, 19, 1, 1))</f>
        <v>0</v>
      </c>
      <c r="W336" s="128">
        <f ca="1">OFFSET('IWP14'!UnitsOfServicePeriod1, 4, 20, 1, 1)</f>
        <v>0</v>
      </c>
      <c r="X336" s="128">
        <f ca="1">IF(OFFSET('IWP14'!UnitsOfServicePeriod1, 4, 21, 1, 1) = "", 0, OFFSET('IWP14'!UnitsOfServicePeriod1, 4, 21, 1, 1))</f>
        <v>0</v>
      </c>
      <c r="Y336" s="137">
        <f ca="1">OFFSET('IWP14'!UnitsOfServicePeriod1, 4, 22, 1, 1)</f>
        <v>0</v>
      </c>
    </row>
    <row r="337" spans="1:25">
      <c r="A337" s="125" t="s">
        <v>487</v>
      </c>
      <c r="B337" s="128">
        <v>1</v>
      </c>
      <c r="C337" s="128">
        <v>6</v>
      </c>
      <c r="D337" s="107">
        <f ca="1">IF(OFFSET('IWP14'!UnitsOfServicePeriod1, 5, 0, 1, 1)=DATE(1900,1,0), DATE(1900,1,1),OFFSET('IWP14'!UnitsOfServicePeriod1, 5, 0, 1, 1))</f>
        <v>1</v>
      </c>
      <c r="E337" s="107">
        <f ca="1">IF(OFFSET('IWP14'!UnitsOfServicePeriod1, 5, 1, 1, 1)=DATE(1900,1,0), DATE(1900,1,1),OFFSET('IWP14'!UnitsOfServicePeriod1, 5, 1, 1, 1))</f>
        <v>1</v>
      </c>
      <c r="F337" s="128">
        <f ca="1">OFFSET('IWP14'!UnitsOfServicePeriod1, 5, 2, 1, 1)</f>
        <v>0</v>
      </c>
      <c r="G337" s="128">
        <f ca="1">IF(OFFSET('IWP14'!UnitsOfServicePeriod1, 5, 3, 1, 1) = "", 0, OFFSET('IWP14'!UnitsOfServicePeriod1, 5, 3, 1, 1))</f>
        <v>0</v>
      </c>
      <c r="H337" s="128">
        <f ca="1">OFFSET('IWP14'!UnitsOfServicePeriod1, 5, 4, 1, 1)</f>
        <v>0</v>
      </c>
      <c r="I337" s="128">
        <f ca="1">IF(OFFSET('IWP14'!UnitsOfServicePeriod1, 5, 5, 1, 1) = "", 0, OFFSET('IWP14'!UnitsOfServicePeriod1, 5, 5, 1, 1))</f>
        <v>0</v>
      </c>
      <c r="J337" s="128">
        <f ca="1">OFFSET('IWP14'!UnitsOfServicePeriod1, 5, 6, 1, 1)</f>
        <v>0</v>
      </c>
      <c r="K337" s="128">
        <f ca="1">IF(OFFSET('IWP14'!UnitsOfServicePeriod1, 5, 7, 1, 1) = "", 0, OFFSET('IWP14'!UnitsOfServicePeriod1, 5, 7, 1, 1))</f>
        <v>0</v>
      </c>
      <c r="L337" s="128">
        <f ca="1">OFFSET('IWP14'!UnitsOfServicePeriod1, 5, 8, 1, 1)</f>
        <v>0</v>
      </c>
      <c r="M337" s="128">
        <f ca="1">IF(OFFSET('IWP14'!UnitsOfServicePeriod1, 5, 9, 1, 1) = "", 0, OFFSET('IWP14'!UnitsOfServicePeriod1, 5, 9, 1, 1))</f>
        <v>0</v>
      </c>
      <c r="N337" s="128">
        <f ca="1">OFFSET('IWP14'!UnitsOfServicePeriod1, 5, 10, 1, 1)</f>
        <v>0</v>
      </c>
      <c r="O337" s="128">
        <f ca="1">IF(OFFSET('IWP14'!UnitsOfServicePeriod1, 5, 11, 1, 1) = "", 0, OFFSET('IWP14'!UnitsOfServicePeriod1, 5, 11, 1, 1))</f>
        <v>0</v>
      </c>
      <c r="P337" s="128">
        <f ca="1">OFFSET('IWP14'!UnitsOfServicePeriod1, 5, 12, 1, 1)</f>
        <v>0</v>
      </c>
      <c r="Q337" s="128">
        <f ca="1">IF(OFFSET('IWP14'!UnitsOfServicePeriod1, 5, 13, 1, 1) = "", 0, OFFSET('IWP14'!UnitsOfServicePeriod1, 5, 13, 1, 1))</f>
        <v>0</v>
      </c>
      <c r="R337" s="128">
        <f ca="1">OFFSET('IWP14'!UnitsOfServicePeriod1, 5, 14, 1, 1)</f>
        <v>0</v>
      </c>
      <c r="S337" s="128">
        <f ca="1">IF(OFFSET('IWP14'!UnitsOfServicePeriod1, 5, 15, 1, 1) = "", 0, OFFSET('IWP14'!UnitsOfServicePeriod1, 5, 15, 1, 1))</f>
        <v>0</v>
      </c>
      <c r="T337" s="128">
        <f ca="1">IF(OFFSET('IWP14'!UnitsOfServicePeriod1, 5, 16, 1, 1) = "", 0, OFFSET('IWP14'!UnitsOfServicePeriod1, 5, 16, 1, 1))</f>
        <v>0</v>
      </c>
      <c r="U337" s="128">
        <f ca="1">OFFSET('IWP14'!UnitsOfServicePeriod1, 5, 17, 1, 1)</f>
        <v>0</v>
      </c>
      <c r="V337" s="128">
        <f ca="1">IF(OFFSET('IWP14'!UnitsOfServicePeriod1, 5, 19, 1, 1) = "", 0, OFFSET('IWP14'!UnitsOfServicePeriod1, 5, 19, 1, 1))</f>
        <v>0</v>
      </c>
      <c r="W337" s="128">
        <f ca="1">OFFSET('IWP14'!UnitsOfServicePeriod1, 5, 20, 1, 1)</f>
        <v>0</v>
      </c>
      <c r="X337" s="128">
        <f ca="1">IF(OFFSET('IWP14'!UnitsOfServicePeriod1, 5, 21, 1, 1) = "", 0, OFFSET('IWP14'!UnitsOfServicePeriod1, 5, 21, 1, 1))</f>
        <v>0</v>
      </c>
      <c r="Y337" s="137">
        <f ca="1">OFFSET('IWP14'!UnitsOfServicePeriod1, 5, 22, 1, 1)</f>
        <v>0</v>
      </c>
    </row>
    <row r="338" spans="1:25">
      <c r="A338" s="125" t="s">
        <v>487</v>
      </c>
      <c r="B338" s="128">
        <v>2</v>
      </c>
      <c r="C338" s="128">
        <v>1</v>
      </c>
      <c r="D338" s="107">
        <f ca="1">IF(OFFSET('IWP14'!UnitsOfServicePeriod2, 0, 0, 1, 1)=DATE(1900,1,0), DATE(1900,1,1),OFFSET('IWP14'!UnitsOfServicePeriod2, 0, 0, 1, 1))</f>
        <v>1</v>
      </c>
      <c r="E338" s="107">
        <f ca="1">IF(OFFSET('IWP14'!UnitsOfServicePeriod2, 0, 1, 1, 1)=DATE(1900,1,0), DATE(1900,1,1),OFFSET('IWP14'!UnitsOfServicePeriod2, 0, 1, 1, 1))</f>
        <v>1</v>
      </c>
      <c r="F338" s="128">
        <f ca="1">OFFSET('IWP14'!UnitsOfServicePeriod2, 0, 2, 1, 1)</f>
        <v>0</v>
      </c>
      <c r="G338" s="128">
        <f ca="1">IF(OFFSET('IWP14'!UnitsOfServicePeriod2, 0, 3, 1, 1) = "", 0, OFFSET('IWP14'!UnitsOfServicePeriod2, 0, 3, 1, 1))</f>
        <v>0</v>
      </c>
      <c r="H338" s="128">
        <f ca="1">OFFSET('IWP14'!UnitsOfServicePeriod2, 0, 4, 1, 1)</f>
        <v>0</v>
      </c>
      <c r="I338" s="128">
        <f ca="1">IF(OFFSET('IWP14'!UnitsOfServicePeriod2, 0, 5, 1, 1) = "", 0, OFFSET('IWP14'!UnitsOfServicePeriod2, 0, 5, 1, 1))</f>
        <v>0</v>
      </c>
      <c r="J338" s="128">
        <f ca="1">OFFSET('IWP14'!UnitsOfServicePeriod2, 0, 6, 1, 1)</f>
        <v>0</v>
      </c>
      <c r="K338" s="128">
        <f ca="1">IF(OFFSET('IWP14'!UnitsOfServicePeriod2, 0, 7, 1, 1) = "", 0, OFFSET('IWP14'!UnitsOfServicePeriod2, 0, 7, 1, 1))</f>
        <v>0</v>
      </c>
      <c r="L338" s="128">
        <f ca="1">OFFSET('IWP14'!UnitsOfServicePeriod2, 0, 8, 1, 1)</f>
        <v>0</v>
      </c>
      <c r="M338" s="128">
        <f ca="1">IF(OFFSET('IWP14'!UnitsOfServicePeriod2, 0, 9, 1, 1) = "", 0, OFFSET('IWP14'!UnitsOfServicePeriod2, 0, 9, 1, 1))</f>
        <v>0</v>
      </c>
      <c r="N338" s="128">
        <f ca="1">OFFSET('IWP14'!UnitsOfServicePeriod2, 0, 10, 1, 1)</f>
        <v>0</v>
      </c>
      <c r="O338" s="128">
        <f ca="1">IF(OFFSET('IWP14'!UnitsOfServicePeriod2, 0, 11, 1, 1) = "", 0, OFFSET('IWP14'!UnitsOfServicePeriod2, 0, 11, 1, 1))</f>
        <v>0</v>
      </c>
      <c r="P338" s="128">
        <f ca="1">OFFSET('IWP14'!UnitsOfServicePeriod2, 0, 12, 1, 1)</f>
        <v>0</v>
      </c>
      <c r="Q338" s="128">
        <f ca="1">IF(OFFSET('IWP14'!UnitsOfServicePeriod2, 0, 13, 1, 1) = "", 0, OFFSET('IWP14'!UnitsOfServicePeriod2, 0, 13, 1, 1))</f>
        <v>0</v>
      </c>
      <c r="R338" s="128">
        <f ca="1">OFFSET('IWP14'!UnitsOfServicePeriod2, 0, 14, 1, 1)</f>
        <v>0</v>
      </c>
      <c r="S338" s="128">
        <f ca="1">IF(OFFSET('IWP14'!UnitsOfServicePeriod2, 0, 15, 1, 1) = "", 0, OFFSET('IWP14'!UnitsOfServicePeriod2, 0, 15, 1, 1))</f>
        <v>0</v>
      </c>
      <c r="T338" s="128">
        <f ca="1">IF(OFFSET('IWP14'!UnitsOfServicePeriod2, 0, 16, 1, 1) = "", 0, OFFSET('IWP14'!UnitsOfServicePeriod2, 0, 16, 1, 1))</f>
        <v>0</v>
      </c>
      <c r="U338" s="128">
        <f ca="1">OFFSET('IWP14'!UnitsOfServicePeriod2, 0, 17, 1, 1)</f>
        <v>0</v>
      </c>
      <c r="V338" s="128">
        <f ca="1">IF(OFFSET('IWP14'!UnitsOfServicePeriod2, 0, 19, 1, 1) = "", 0, OFFSET('IWP14'!UnitsOfServicePeriod2, 0, 19, 1, 1))</f>
        <v>0</v>
      </c>
      <c r="W338" s="128">
        <f ca="1">OFFSET('IWP14'!UnitsOfServicePeriod2, 0, 20, 1, 1)</f>
        <v>0</v>
      </c>
      <c r="X338" s="128">
        <f ca="1">IF(OFFSET('IWP14'!UnitsOfServicePeriod2, 0, 21, 1, 1) = "", 0, OFFSET('IWP14'!UnitsOfServicePeriod2, 0, 21, 1, 1))</f>
        <v>0</v>
      </c>
      <c r="Y338" s="137">
        <f ca="1">OFFSET('IWP14'!UnitsOfServicePeriod2, 0, 22, 1, 1)</f>
        <v>0</v>
      </c>
    </row>
    <row r="339" spans="1:25">
      <c r="A339" s="125" t="s">
        <v>487</v>
      </c>
      <c r="B339" s="128">
        <v>2</v>
      </c>
      <c r="C339" s="128">
        <v>2</v>
      </c>
      <c r="D339" s="107">
        <f ca="1">IF(OFFSET('IWP14'!UnitsOfServicePeriod2, 1, 0, 1, 1)=DATE(1900,1,0), DATE(1900,1,1),OFFSET('IWP14'!UnitsOfServicePeriod2, 1, 0, 1, 1))</f>
        <v>1</v>
      </c>
      <c r="E339" s="107">
        <f ca="1">IF(OFFSET('IWP14'!UnitsOfServicePeriod2, 1, 1, 1, 1)=DATE(1900,1,0), DATE(1900,1,1),OFFSET('IWP14'!UnitsOfServicePeriod2, 1, 1, 1, 1))</f>
        <v>1</v>
      </c>
      <c r="F339" s="128">
        <f ca="1">OFFSET('IWP14'!UnitsOfServicePeriod2, 1, 2, 1, 1)</f>
        <v>0</v>
      </c>
      <c r="G339" s="128">
        <f ca="1">IF(OFFSET('IWP14'!UnitsOfServicePeriod2, 1, 3, 1, 1) = "", 0, OFFSET('IWP14'!UnitsOfServicePeriod2, 1, 3, 1, 1))</f>
        <v>0</v>
      </c>
      <c r="H339" s="128">
        <f ca="1">OFFSET('IWP14'!UnitsOfServicePeriod2, 1, 4, 1, 1)</f>
        <v>0</v>
      </c>
      <c r="I339" s="128">
        <f ca="1">IF(OFFSET('IWP14'!UnitsOfServicePeriod2, 1, 5, 1, 1) = "", 0, OFFSET('IWP14'!UnitsOfServicePeriod2, 1, 5, 1, 1))</f>
        <v>0</v>
      </c>
      <c r="J339" s="128">
        <f ca="1">OFFSET('IWP14'!UnitsOfServicePeriod2, 1, 6, 1, 1)</f>
        <v>0</v>
      </c>
      <c r="K339" s="128">
        <f ca="1">IF(OFFSET('IWP14'!UnitsOfServicePeriod2, 1, 7, 1, 1) = "", 0, OFFSET('IWP14'!UnitsOfServicePeriod2, 1, 7, 1, 1))</f>
        <v>0</v>
      </c>
      <c r="L339" s="128">
        <f ca="1">OFFSET('IWP14'!UnitsOfServicePeriod2, 1, 8, 1, 1)</f>
        <v>0</v>
      </c>
      <c r="M339" s="128">
        <f ca="1">IF(OFFSET('IWP14'!UnitsOfServicePeriod2, 1, 9, 1, 1) = "", 0, OFFSET('IWP14'!UnitsOfServicePeriod2, 1, 9, 1, 1))</f>
        <v>0</v>
      </c>
      <c r="N339" s="128">
        <f ca="1">OFFSET('IWP14'!UnitsOfServicePeriod2, 1, 10, 1, 1)</f>
        <v>0</v>
      </c>
      <c r="O339" s="128">
        <f ca="1">IF(OFFSET('IWP14'!UnitsOfServicePeriod2, 1, 11, 1, 1) = "", 0, OFFSET('IWP14'!UnitsOfServicePeriod2, 1, 11, 1, 1))</f>
        <v>0</v>
      </c>
      <c r="P339" s="128">
        <f ca="1">OFFSET('IWP14'!UnitsOfServicePeriod2, 1, 12, 1, 1)</f>
        <v>0</v>
      </c>
      <c r="Q339" s="128">
        <f ca="1">IF(OFFSET('IWP14'!UnitsOfServicePeriod2, 1, 13, 1, 1) = "", 0, OFFSET('IWP14'!UnitsOfServicePeriod2, 1, 13, 1, 1))</f>
        <v>0</v>
      </c>
      <c r="R339" s="128">
        <f ca="1">OFFSET('IWP14'!UnitsOfServicePeriod2, 1, 14, 1, 1)</f>
        <v>0</v>
      </c>
      <c r="S339" s="128">
        <f ca="1">IF(OFFSET('IWP14'!UnitsOfServicePeriod2, 1, 15, 1, 1) = "", 0, OFFSET('IWP14'!UnitsOfServicePeriod2, 1, 15, 1, 1))</f>
        <v>0</v>
      </c>
      <c r="T339" s="128">
        <f ca="1">IF(OFFSET('IWP14'!UnitsOfServicePeriod2, 1, 16, 1, 1) = "", 0, OFFSET('IWP14'!UnitsOfServicePeriod2, 1, 16, 1, 1))</f>
        <v>0</v>
      </c>
      <c r="U339" s="128">
        <f ca="1">OFFSET('IWP14'!UnitsOfServicePeriod2, 1, 17, 1, 1)</f>
        <v>0</v>
      </c>
      <c r="V339" s="128">
        <f ca="1">IF(OFFSET('IWP14'!UnitsOfServicePeriod2, 1, 19, 1, 1) = "", 0, OFFSET('IWP14'!UnitsOfServicePeriod2, 1, 19, 1, 1))</f>
        <v>0</v>
      </c>
      <c r="W339" s="128">
        <f ca="1">OFFSET('IWP14'!UnitsOfServicePeriod2, 1, 20, 1, 1)</f>
        <v>0</v>
      </c>
      <c r="X339" s="128">
        <f ca="1">IF(OFFSET('IWP14'!UnitsOfServicePeriod2, 1, 21, 1, 1) = "", 0, OFFSET('IWP14'!UnitsOfServicePeriod2, 1, 21, 1, 1))</f>
        <v>0</v>
      </c>
      <c r="Y339" s="137">
        <f ca="1">OFFSET('IWP14'!UnitsOfServicePeriod2, 1, 22, 1, 1)</f>
        <v>0</v>
      </c>
    </row>
    <row r="340" spans="1:25">
      <c r="A340" s="125" t="s">
        <v>487</v>
      </c>
      <c r="B340" s="128">
        <v>2</v>
      </c>
      <c r="C340" s="128">
        <v>3</v>
      </c>
      <c r="D340" s="107">
        <f ca="1">IF(OFFSET('IWP14'!UnitsOfServicePeriod2, 2, 0, 1, 1)=DATE(1900,1,0), DATE(1900,1,1),OFFSET('IWP14'!UnitsOfServicePeriod2, 2, 0, 1, 1))</f>
        <v>1</v>
      </c>
      <c r="E340" s="107">
        <f ca="1">IF(OFFSET('IWP14'!UnitsOfServicePeriod2, 2, 1, 1, 1)=DATE(1900,1,0), DATE(1900,1,1),OFFSET('IWP14'!UnitsOfServicePeriod2, 2, 1, 1, 1))</f>
        <v>1</v>
      </c>
      <c r="F340" s="128">
        <f ca="1">OFFSET('IWP14'!UnitsOfServicePeriod2, 2, 2, 1, 1)</f>
        <v>0</v>
      </c>
      <c r="G340" s="128">
        <f ca="1">IF(OFFSET('IWP14'!UnitsOfServicePeriod2, 2, 3, 1, 1) = "", 0, OFFSET('IWP14'!UnitsOfServicePeriod2, 2, 3, 1, 1))</f>
        <v>0</v>
      </c>
      <c r="H340" s="128">
        <f ca="1">OFFSET('IWP14'!UnitsOfServicePeriod2, 2, 4, 1, 1)</f>
        <v>0</v>
      </c>
      <c r="I340" s="128">
        <f ca="1">IF(OFFSET('IWP14'!UnitsOfServicePeriod2, 2, 5, 1, 1) = "", 0, OFFSET('IWP14'!UnitsOfServicePeriod2, 2, 5, 1, 1))</f>
        <v>0</v>
      </c>
      <c r="J340" s="128">
        <f ca="1">OFFSET('IWP14'!UnitsOfServicePeriod2, 2, 6, 1, 1)</f>
        <v>0</v>
      </c>
      <c r="K340" s="128">
        <f ca="1">IF(OFFSET('IWP14'!UnitsOfServicePeriod2, 2, 7, 1, 1) = "", 0, OFFSET('IWP14'!UnitsOfServicePeriod2, 2, 7, 1, 1))</f>
        <v>0</v>
      </c>
      <c r="L340" s="128">
        <f ca="1">OFFSET('IWP14'!UnitsOfServicePeriod2, 2, 8, 1, 1)</f>
        <v>0</v>
      </c>
      <c r="M340" s="128">
        <f ca="1">IF(OFFSET('IWP14'!UnitsOfServicePeriod2, 2, 9, 1, 1) = "", 0, OFFSET('IWP14'!UnitsOfServicePeriod2, 2, 9, 1, 1))</f>
        <v>0</v>
      </c>
      <c r="N340" s="128">
        <f ca="1">OFFSET('IWP14'!UnitsOfServicePeriod2, 2, 10, 1, 1)</f>
        <v>0</v>
      </c>
      <c r="O340" s="128">
        <f ca="1">IF(OFFSET('IWP14'!UnitsOfServicePeriod2, 2, 11, 1, 1) = "", 0, OFFSET('IWP14'!UnitsOfServicePeriod2, 2, 11, 1, 1))</f>
        <v>0</v>
      </c>
      <c r="P340" s="128">
        <f ca="1">OFFSET('IWP14'!UnitsOfServicePeriod2, 2, 12, 1, 1)</f>
        <v>0</v>
      </c>
      <c r="Q340" s="128">
        <f ca="1">IF(OFFSET('IWP14'!UnitsOfServicePeriod2, 2, 13, 1, 1) = "", 0, OFFSET('IWP14'!UnitsOfServicePeriod2, 2, 13, 1, 1))</f>
        <v>0</v>
      </c>
      <c r="R340" s="128">
        <f ca="1">OFFSET('IWP14'!UnitsOfServicePeriod2, 2, 14, 1, 1)</f>
        <v>0</v>
      </c>
      <c r="S340" s="128">
        <f ca="1">IF(OFFSET('IWP14'!UnitsOfServicePeriod2, 2, 15, 1, 1) = "", 0, OFFSET('IWP14'!UnitsOfServicePeriod2, 2, 15, 1, 1))</f>
        <v>0</v>
      </c>
      <c r="T340" s="128">
        <f ca="1">IF(OFFSET('IWP14'!UnitsOfServicePeriod2, 2, 16, 1, 1) = "", 0, OFFSET('IWP14'!UnitsOfServicePeriod2, 2, 16, 1, 1))</f>
        <v>0</v>
      </c>
      <c r="U340" s="128">
        <f ca="1">OFFSET('IWP14'!UnitsOfServicePeriod2, 2, 17, 1, 1)</f>
        <v>0</v>
      </c>
      <c r="V340" s="128">
        <f ca="1">IF(OFFSET('IWP14'!UnitsOfServicePeriod2, 2, 19, 1, 1) = "", 0, OFFSET('IWP14'!UnitsOfServicePeriod2, 2, 19, 1, 1))</f>
        <v>0</v>
      </c>
      <c r="W340" s="128">
        <f ca="1">OFFSET('IWP14'!UnitsOfServicePeriod2, 2, 20, 1, 1)</f>
        <v>0</v>
      </c>
      <c r="X340" s="128">
        <f ca="1">IF(OFFSET('IWP14'!UnitsOfServicePeriod2, 2, 21, 1, 1) = "", 0, OFFSET('IWP14'!UnitsOfServicePeriod2, 2, 21, 1, 1))</f>
        <v>0</v>
      </c>
      <c r="Y340" s="137">
        <f ca="1">OFFSET('IWP14'!UnitsOfServicePeriod2, 2, 22, 1, 1)</f>
        <v>0</v>
      </c>
    </row>
    <row r="341" spans="1:25">
      <c r="A341" s="125" t="s">
        <v>487</v>
      </c>
      <c r="B341" s="128">
        <v>2</v>
      </c>
      <c r="C341" s="128">
        <v>4</v>
      </c>
      <c r="D341" s="107">
        <f ca="1">IF(OFFSET('IWP14'!UnitsOfServicePeriod2, 3, 0, 1, 1)=DATE(1900,1,0), DATE(1900,1,1),OFFSET('IWP14'!UnitsOfServicePeriod2, 3, 0, 1, 1))</f>
        <v>1</v>
      </c>
      <c r="E341" s="107">
        <f ca="1">IF(OFFSET('IWP14'!UnitsOfServicePeriod2, 3, 1, 1, 1)=DATE(1900,1,0), DATE(1900,1,1),OFFSET('IWP14'!UnitsOfServicePeriod2, 3, 1, 1, 1))</f>
        <v>1</v>
      </c>
      <c r="F341" s="128">
        <f ca="1">OFFSET('IWP14'!UnitsOfServicePeriod2, 3, 2, 1, 1)</f>
        <v>0</v>
      </c>
      <c r="G341" s="128">
        <f ca="1">IF(OFFSET('IWP14'!UnitsOfServicePeriod2, 3, 3, 1, 1) = "", 0, OFFSET('IWP14'!UnitsOfServicePeriod2, 3, 3, 1, 1))</f>
        <v>0</v>
      </c>
      <c r="H341" s="128">
        <f ca="1">OFFSET('IWP14'!UnitsOfServicePeriod2, 3, 4, 1, 1)</f>
        <v>0</v>
      </c>
      <c r="I341" s="128">
        <f ca="1">IF(OFFSET('IWP14'!UnitsOfServicePeriod2, 3, 5, 1, 1) = "", 0, OFFSET('IWP14'!UnitsOfServicePeriod2, 3, 5, 1, 1))</f>
        <v>0</v>
      </c>
      <c r="J341" s="128">
        <f ca="1">OFFSET('IWP14'!UnitsOfServicePeriod2, 3, 6, 1, 1)</f>
        <v>0</v>
      </c>
      <c r="K341" s="128">
        <f ca="1">IF(OFFSET('IWP14'!UnitsOfServicePeriod2, 3, 7, 1, 1) = "", 0, OFFSET('IWP14'!UnitsOfServicePeriod2, 3, 7, 1, 1))</f>
        <v>0</v>
      </c>
      <c r="L341" s="128">
        <f ca="1">OFFSET('IWP14'!UnitsOfServicePeriod2, 3, 8, 1, 1)</f>
        <v>0</v>
      </c>
      <c r="M341" s="128">
        <f ca="1">IF(OFFSET('IWP14'!UnitsOfServicePeriod2, 3, 9, 1, 1) = "", 0, OFFSET('IWP14'!UnitsOfServicePeriod2, 3, 9, 1, 1))</f>
        <v>0</v>
      </c>
      <c r="N341" s="128">
        <f ca="1">OFFSET('IWP14'!UnitsOfServicePeriod2, 3, 10, 1, 1)</f>
        <v>0</v>
      </c>
      <c r="O341" s="128">
        <f ca="1">IF(OFFSET('IWP14'!UnitsOfServicePeriod2, 3, 11, 1, 1) = "", 0, OFFSET('IWP14'!UnitsOfServicePeriod2, 3, 11, 1, 1))</f>
        <v>0</v>
      </c>
      <c r="P341" s="128">
        <f ca="1">OFFSET('IWP14'!UnitsOfServicePeriod2, 3, 12, 1, 1)</f>
        <v>0</v>
      </c>
      <c r="Q341" s="128">
        <f ca="1">IF(OFFSET('IWP14'!UnitsOfServicePeriod2, 3, 13, 1, 1) = "", 0, OFFSET('IWP14'!UnitsOfServicePeriod2, 3, 13, 1, 1))</f>
        <v>0</v>
      </c>
      <c r="R341" s="128">
        <f ca="1">OFFSET('IWP14'!UnitsOfServicePeriod2, 3, 14, 1, 1)</f>
        <v>0</v>
      </c>
      <c r="S341" s="128">
        <f ca="1">IF(OFFSET('IWP14'!UnitsOfServicePeriod2, 3, 15, 1, 1) = "", 0, OFFSET('IWP14'!UnitsOfServicePeriod2, 3, 15, 1, 1))</f>
        <v>0</v>
      </c>
      <c r="T341" s="128">
        <f ca="1">IF(OFFSET('IWP14'!UnitsOfServicePeriod2, 3, 16, 1, 1) = "", 0, OFFSET('IWP14'!UnitsOfServicePeriod2, 3, 16, 1, 1))</f>
        <v>0</v>
      </c>
      <c r="U341" s="128">
        <f ca="1">OFFSET('IWP14'!UnitsOfServicePeriod2, 3, 17, 1, 1)</f>
        <v>0</v>
      </c>
      <c r="V341" s="128">
        <f ca="1">IF(OFFSET('IWP14'!UnitsOfServicePeriod2, 3, 19, 1, 1) = "", 0, OFFSET('IWP14'!UnitsOfServicePeriod2, 3, 19, 1, 1))</f>
        <v>0</v>
      </c>
      <c r="W341" s="128">
        <f ca="1">OFFSET('IWP14'!UnitsOfServicePeriod2, 3, 20, 1, 1)</f>
        <v>0</v>
      </c>
      <c r="X341" s="128">
        <f ca="1">IF(OFFSET('IWP14'!UnitsOfServicePeriod2, 3, 21, 1, 1) = "", 0, OFFSET('IWP14'!UnitsOfServicePeriod2, 3, 21, 1, 1))</f>
        <v>0</v>
      </c>
      <c r="Y341" s="137">
        <f ca="1">OFFSET('IWP14'!UnitsOfServicePeriod2, 3, 22, 1, 1)</f>
        <v>0</v>
      </c>
    </row>
    <row r="342" spans="1:25">
      <c r="A342" s="125" t="s">
        <v>487</v>
      </c>
      <c r="B342" s="128">
        <v>2</v>
      </c>
      <c r="C342" s="128">
        <v>5</v>
      </c>
      <c r="D342" s="107">
        <f ca="1">IF(OFFSET('IWP14'!UnitsOfServicePeriod2, 4, 0, 1, 1)=DATE(1900,1,0), DATE(1900,1,1),OFFSET('IWP14'!UnitsOfServicePeriod2, 4, 0, 1, 1))</f>
        <v>1</v>
      </c>
      <c r="E342" s="107">
        <f ca="1">IF(OFFSET('IWP14'!UnitsOfServicePeriod2, 4, 1, 1, 1)=DATE(1900,1,0), DATE(1900,1,1),OFFSET('IWP14'!UnitsOfServicePeriod2, 4, 1, 1, 1))</f>
        <v>1</v>
      </c>
      <c r="F342" s="128">
        <f ca="1">OFFSET('IWP14'!UnitsOfServicePeriod2, 4, 2, 1, 1)</f>
        <v>0</v>
      </c>
      <c r="G342" s="128">
        <f ca="1">IF(OFFSET('IWP14'!UnitsOfServicePeriod2, 4, 3, 1, 1) = "", 0, OFFSET('IWP14'!UnitsOfServicePeriod2, 4, 3, 1, 1))</f>
        <v>0</v>
      </c>
      <c r="H342" s="128">
        <f ca="1">OFFSET('IWP14'!UnitsOfServicePeriod2, 4, 4, 1, 1)</f>
        <v>0</v>
      </c>
      <c r="I342" s="128">
        <f ca="1">IF(OFFSET('IWP14'!UnitsOfServicePeriod2, 4, 5, 1, 1) = "", 0, OFFSET('IWP14'!UnitsOfServicePeriod2, 4, 5, 1, 1))</f>
        <v>0</v>
      </c>
      <c r="J342" s="128">
        <f ca="1">OFFSET('IWP14'!UnitsOfServicePeriod2, 4, 6, 1, 1)</f>
        <v>0</v>
      </c>
      <c r="K342" s="128">
        <f ca="1">IF(OFFSET('IWP14'!UnitsOfServicePeriod2, 4, 7, 1, 1) = "", 0, OFFSET('IWP14'!UnitsOfServicePeriod2, 4, 7, 1, 1))</f>
        <v>0</v>
      </c>
      <c r="L342" s="128">
        <f ca="1">OFFSET('IWP14'!UnitsOfServicePeriod2, 4, 8, 1, 1)</f>
        <v>0</v>
      </c>
      <c r="M342" s="128">
        <f ca="1">IF(OFFSET('IWP14'!UnitsOfServicePeriod2, 4, 9, 1, 1) = "", 0, OFFSET('IWP14'!UnitsOfServicePeriod2, 4, 9, 1, 1))</f>
        <v>0</v>
      </c>
      <c r="N342" s="128">
        <f ca="1">OFFSET('IWP14'!UnitsOfServicePeriod2, 4, 10, 1, 1)</f>
        <v>0</v>
      </c>
      <c r="O342" s="128">
        <f ca="1">IF(OFFSET('IWP14'!UnitsOfServicePeriod2, 4, 11, 1, 1) = "", 0, OFFSET('IWP14'!UnitsOfServicePeriod2, 4, 11, 1, 1))</f>
        <v>0</v>
      </c>
      <c r="P342" s="128">
        <f ca="1">OFFSET('IWP14'!UnitsOfServicePeriod2, 4, 12, 1, 1)</f>
        <v>0</v>
      </c>
      <c r="Q342" s="128">
        <f ca="1">IF(OFFSET('IWP14'!UnitsOfServicePeriod2, 4, 13, 1, 1) = "", 0, OFFSET('IWP14'!UnitsOfServicePeriod2, 4, 13, 1, 1))</f>
        <v>0</v>
      </c>
      <c r="R342" s="128">
        <f ca="1">OFFSET('IWP14'!UnitsOfServicePeriod2, 4, 14, 1, 1)</f>
        <v>0</v>
      </c>
      <c r="S342" s="128">
        <f ca="1">IF(OFFSET('IWP14'!UnitsOfServicePeriod2, 4, 15, 1, 1) = "", 0, OFFSET('IWP14'!UnitsOfServicePeriod2, 4, 15, 1, 1))</f>
        <v>0</v>
      </c>
      <c r="T342" s="128">
        <f ca="1">IF(OFFSET('IWP14'!UnitsOfServicePeriod2, 4, 16, 1, 1) = "", 0, OFFSET('IWP14'!UnitsOfServicePeriod2, 4, 16, 1, 1))</f>
        <v>0</v>
      </c>
      <c r="U342" s="128">
        <f ca="1">OFFSET('IWP14'!UnitsOfServicePeriod2, 4, 17, 1, 1)</f>
        <v>0</v>
      </c>
      <c r="V342" s="128">
        <f ca="1">IF(OFFSET('IWP14'!UnitsOfServicePeriod2, 4, 19, 1, 1) = "", 0, OFFSET('IWP14'!UnitsOfServicePeriod2, 4, 19, 1, 1))</f>
        <v>0</v>
      </c>
      <c r="W342" s="128">
        <f ca="1">OFFSET('IWP14'!UnitsOfServicePeriod2, 4, 20, 1, 1)</f>
        <v>0</v>
      </c>
      <c r="X342" s="128">
        <f ca="1">IF(OFFSET('IWP14'!UnitsOfServicePeriod2, 4, 21, 1, 1) = "", 0, OFFSET('IWP14'!UnitsOfServicePeriod2, 4, 21, 1, 1))</f>
        <v>0</v>
      </c>
      <c r="Y342" s="137">
        <f ca="1">OFFSET('IWP14'!UnitsOfServicePeriod2, 4, 22, 1, 1)</f>
        <v>0</v>
      </c>
    </row>
    <row r="343" spans="1:25">
      <c r="A343" s="125" t="s">
        <v>487</v>
      </c>
      <c r="B343" s="128">
        <v>2</v>
      </c>
      <c r="C343" s="128">
        <v>6</v>
      </c>
      <c r="D343" s="107">
        <f ca="1">IF(OFFSET('IWP14'!UnitsOfServicePeriod2, 5, 0, 1, 1)=DATE(1900,1,0), DATE(1900,1,1),OFFSET('IWP14'!UnitsOfServicePeriod2, 5, 0, 1, 1))</f>
        <v>1</v>
      </c>
      <c r="E343" s="107">
        <f ca="1">IF(OFFSET('IWP14'!UnitsOfServicePeriod2, 5, 1, 1, 1)=DATE(1900,1,0), DATE(1900,1,1),OFFSET('IWP14'!UnitsOfServicePeriod2, 5, 1, 1, 1))</f>
        <v>1</v>
      </c>
      <c r="F343" s="128">
        <f ca="1">OFFSET('IWP14'!UnitsOfServicePeriod2, 5, 2, 1, 1)</f>
        <v>0</v>
      </c>
      <c r="G343" s="128">
        <f ca="1">IF(OFFSET('IWP14'!UnitsOfServicePeriod2, 5, 3, 1, 1) = "", 0, OFFSET('IWP14'!UnitsOfServicePeriod2, 5, 3, 1, 1))</f>
        <v>0</v>
      </c>
      <c r="H343" s="128">
        <f ca="1">OFFSET('IWP14'!UnitsOfServicePeriod2, 5, 4, 1, 1)</f>
        <v>0</v>
      </c>
      <c r="I343" s="128">
        <f ca="1">IF(OFFSET('IWP14'!UnitsOfServicePeriod2, 5, 5, 1, 1) = "", 0, OFFSET('IWP14'!UnitsOfServicePeriod2, 5, 5, 1, 1))</f>
        <v>0</v>
      </c>
      <c r="J343" s="128">
        <f ca="1">OFFSET('IWP14'!UnitsOfServicePeriod2, 5, 6, 1, 1)</f>
        <v>0</v>
      </c>
      <c r="K343" s="128">
        <f ca="1">IF(OFFSET('IWP14'!UnitsOfServicePeriod2, 5, 7, 1, 1) = "", 0, OFFSET('IWP14'!UnitsOfServicePeriod2, 5, 7, 1, 1))</f>
        <v>0</v>
      </c>
      <c r="L343" s="128">
        <f ca="1">OFFSET('IWP14'!UnitsOfServicePeriod2, 5, 8, 1, 1)</f>
        <v>0</v>
      </c>
      <c r="M343" s="128">
        <f ca="1">IF(OFFSET('IWP14'!UnitsOfServicePeriod2, 5, 9, 1, 1) = "", 0, OFFSET('IWP14'!UnitsOfServicePeriod2, 5, 9, 1, 1))</f>
        <v>0</v>
      </c>
      <c r="N343" s="128">
        <f ca="1">OFFSET('IWP14'!UnitsOfServicePeriod2, 5, 10, 1, 1)</f>
        <v>0</v>
      </c>
      <c r="O343" s="128">
        <f ca="1">IF(OFFSET('IWP14'!UnitsOfServicePeriod2, 5, 11, 1, 1) = "", 0, OFFSET('IWP14'!UnitsOfServicePeriod2, 5, 11, 1, 1))</f>
        <v>0</v>
      </c>
      <c r="P343" s="128">
        <f ca="1">OFFSET('IWP14'!UnitsOfServicePeriod2, 5, 12, 1, 1)</f>
        <v>0</v>
      </c>
      <c r="Q343" s="128">
        <f ca="1">IF(OFFSET('IWP14'!UnitsOfServicePeriod2, 5, 13, 1, 1) = "", 0, OFFSET('IWP14'!UnitsOfServicePeriod2, 5, 13, 1, 1))</f>
        <v>0</v>
      </c>
      <c r="R343" s="128">
        <f ca="1">OFFSET('IWP14'!UnitsOfServicePeriod2, 5, 14, 1, 1)</f>
        <v>0</v>
      </c>
      <c r="S343" s="128">
        <f ca="1">IF(OFFSET('IWP14'!UnitsOfServicePeriod2, 5, 15, 1, 1) = "", 0, OFFSET('IWP14'!UnitsOfServicePeriod2, 5, 15, 1, 1))</f>
        <v>0</v>
      </c>
      <c r="T343" s="128">
        <f ca="1">IF(OFFSET('IWP14'!UnitsOfServicePeriod2, 5, 16, 1, 1) = "", 0, OFFSET('IWP14'!UnitsOfServicePeriod2, 5, 16, 1, 1))</f>
        <v>0</v>
      </c>
      <c r="U343" s="128">
        <f ca="1">OFFSET('IWP14'!UnitsOfServicePeriod2, 5, 17, 1, 1)</f>
        <v>0</v>
      </c>
      <c r="V343" s="128">
        <f ca="1">IF(OFFSET('IWP14'!UnitsOfServicePeriod2, 5, 19, 1, 1) = "", 0, OFFSET('IWP14'!UnitsOfServicePeriod2, 5, 19, 1, 1))</f>
        <v>0</v>
      </c>
      <c r="W343" s="128">
        <f ca="1">OFFSET('IWP14'!UnitsOfServicePeriod2, 5, 20, 1, 1)</f>
        <v>0</v>
      </c>
      <c r="X343" s="128">
        <f ca="1">IF(OFFSET('IWP14'!UnitsOfServicePeriod2, 5, 21, 1, 1) = "", 0, OFFSET('IWP14'!UnitsOfServicePeriod2, 5, 21, 1, 1))</f>
        <v>0</v>
      </c>
      <c r="Y343" s="137">
        <f ca="1">OFFSET('IWP14'!UnitsOfServicePeriod2, 5, 22, 1, 1)</f>
        <v>0</v>
      </c>
    </row>
    <row r="344" spans="1:25">
      <c r="A344" s="125" t="s">
        <v>488</v>
      </c>
      <c r="B344" s="128">
        <v>1</v>
      </c>
      <c r="C344" s="128">
        <v>1</v>
      </c>
      <c r="D344" s="107">
        <f ca="1">IF(OFFSET('IWP15'!UnitsOfServicePeriod1, 0, 0, 1, 1)=DATE(1900,1,0), DATE(1900,1,1),OFFSET('IWP15'!UnitsOfServicePeriod1, 0, 0, 1, 1))</f>
        <v>1</v>
      </c>
      <c r="E344" s="107">
        <f ca="1">IF(OFFSET('IWP15'!UnitsOfServicePeriod1, 0, 1, 1, 1)=DATE(1900,1,0), DATE(1900,1,1),OFFSET('IWP15'!UnitsOfServicePeriod1, 0, 1, 1, 1))</f>
        <v>1</v>
      </c>
      <c r="F344" s="128">
        <f ca="1">OFFSET('IWP15'!UnitsOfServicePeriod1, 0, 2, 1, 1)</f>
        <v>0</v>
      </c>
      <c r="G344" s="128">
        <f ca="1">IF(OFFSET('IWP15'!UnitsOfServicePeriod1, 0, 3, 1, 1) = "", 0, OFFSET('IWP15'!UnitsOfServicePeriod1, 0, 3, 1, 1))</f>
        <v>0</v>
      </c>
      <c r="H344" s="128">
        <f ca="1">OFFSET('IWP15'!UnitsOfServicePeriod1, 0, 4, 1, 1)</f>
        <v>0</v>
      </c>
      <c r="I344" s="128">
        <f ca="1">IF(OFFSET('IWP15'!UnitsOfServicePeriod1, 0, 5, 1, 1) = "", 0, OFFSET('IWP15'!UnitsOfServicePeriod1, 0, 5, 1, 1))</f>
        <v>0</v>
      </c>
      <c r="J344" s="128">
        <f ca="1">OFFSET('IWP15'!UnitsOfServicePeriod1, 0, 6, 1, 1)</f>
        <v>0</v>
      </c>
      <c r="K344" s="128">
        <f ca="1">IF(OFFSET('IWP15'!UnitsOfServicePeriod1, 0, 7, 1, 1) = "", 0, OFFSET('IWP15'!UnitsOfServicePeriod1, 0, 7, 1, 1))</f>
        <v>0</v>
      </c>
      <c r="L344" s="128">
        <f ca="1">OFFSET('IWP15'!UnitsOfServicePeriod1, 0, 8, 1, 1)</f>
        <v>0</v>
      </c>
      <c r="M344" s="128">
        <f ca="1">IF(OFFSET('IWP15'!UnitsOfServicePeriod1, 0, 9, 1, 1) = "", 0, OFFSET('IWP15'!UnitsOfServicePeriod1, 0, 9, 1, 1))</f>
        <v>0</v>
      </c>
      <c r="N344" s="128">
        <f ca="1">OFFSET('IWP15'!UnitsOfServicePeriod1, 0, 10, 1, 1)</f>
        <v>0</v>
      </c>
      <c r="O344" s="128">
        <f ca="1">IF(OFFSET('IWP15'!UnitsOfServicePeriod1, 0, 11, 1, 1) = "", 0, OFFSET('IWP15'!UnitsOfServicePeriod1, 0, 11, 1, 1))</f>
        <v>0</v>
      </c>
      <c r="P344" s="128">
        <f ca="1">OFFSET('IWP15'!UnitsOfServicePeriod1, 0, 12, 1, 1)</f>
        <v>0</v>
      </c>
      <c r="Q344" s="128">
        <f ca="1">IF(OFFSET('IWP15'!UnitsOfServicePeriod1, 0, 13, 1, 1) = "", 0, OFFSET('IWP15'!UnitsOfServicePeriod1, 0, 13, 1, 1))</f>
        <v>0</v>
      </c>
      <c r="R344" s="128">
        <f ca="1">OFFSET('IWP15'!UnitsOfServicePeriod1, 0, 14, 1, 1)</f>
        <v>0</v>
      </c>
      <c r="S344" s="128">
        <f ca="1">IF(OFFSET('IWP15'!UnitsOfServicePeriod1, 0, 15, 1, 1) = "", 0, OFFSET('IWP15'!UnitsOfServicePeriod1, 0, 15, 1, 1))</f>
        <v>0</v>
      </c>
      <c r="T344" s="128">
        <f ca="1">IF(OFFSET('IWP15'!UnitsOfServicePeriod1, 0, 16, 1, 1) = "", 0, OFFSET('IWP15'!UnitsOfServicePeriod1, 0, 16, 1, 1))</f>
        <v>0</v>
      </c>
      <c r="U344" s="128">
        <f ca="1">OFFSET('IWP15'!UnitsOfServicePeriod1, 0, 17, 1, 1)</f>
        <v>0</v>
      </c>
      <c r="V344" s="128">
        <f ca="1">IF(OFFSET('IWP15'!UnitsOfServicePeriod1, 0, 19, 1, 1) = "", 0, OFFSET('IWP15'!UnitsOfServicePeriod1, 0, 19, 1, 1))</f>
        <v>0</v>
      </c>
      <c r="W344" s="128">
        <f ca="1">OFFSET('IWP15'!UnitsOfServicePeriod1, 0, 20, 1, 1)</f>
        <v>0</v>
      </c>
      <c r="X344" s="128">
        <f ca="1">IF(OFFSET('IWP15'!UnitsOfServicePeriod1, 0, 21, 1, 1) = "", 0, OFFSET('IWP15'!UnitsOfServicePeriod1, 0, 21, 1, 1))</f>
        <v>0</v>
      </c>
      <c r="Y344" s="137">
        <f ca="1">OFFSET('IWP15'!UnitsOfServicePeriod1, 0, 22, 1, 1)</f>
        <v>0</v>
      </c>
    </row>
    <row r="345" spans="1:25">
      <c r="A345" s="125" t="s">
        <v>488</v>
      </c>
      <c r="B345" s="128">
        <v>1</v>
      </c>
      <c r="C345" s="128">
        <v>2</v>
      </c>
      <c r="D345" s="107">
        <f ca="1">IF(OFFSET('IWP15'!UnitsOfServicePeriod1, 1, 0, 1, 1)=DATE(1900,1,0), DATE(1900,1,1),OFFSET('IWP15'!UnitsOfServicePeriod1, 1, 0, 1, 1))</f>
        <v>1</v>
      </c>
      <c r="E345" s="107">
        <f ca="1">IF(OFFSET('IWP15'!UnitsOfServicePeriod1, 1, 1, 1, 1)=DATE(1900,1,0), DATE(1900,1,1),OFFSET('IWP15'!UnitsOfServicePeriod1, 1, 1, 1, 1))</f>
        <v>1</v>
      </c>
      <c r="F345" s="128">
        <f ca="1">OFFSET('IWP15'!UnitsOfServicePeriod1, 1, 2, 1, 1)</f>
        <v>0</v>
      </c>
      <c r="G345" s="128">
        <f ca="1">IF(OFFSET('IWP15'!UnitsOfServicePeriod1, 1, 3, 1, 1) = "", 0, OFFSET('IWP15'!UnitsOfServicePeriod1, 1, 3, 1, 1))</f>
        <v>0</v>
      </c>
      <c r="H345" s="128">
        <f ca="1">OFFSET('IWP15'!UnitsOfServicePeriod1, 1, 4, 1, 1)</f>
        <v>0</v>
      </c>
      <c r="I345" s="128">
        <f ca="1">IF(OFFSET('IWP15'!UnitsOfServicePeriod1, 1, 5, 1, 1) = "", 0, OFFSET('IWP15'!UnitsOfServicePeriod1, 1, 5, 1, 1))</f>
        <v>0</v>
      </c>
      <c r="J345" s="128">
        <f ca="1">OFFSET('IWP15'!UnitsOfServicePeriod1, 1, 6, 1, 1)</f>
        <v>0</v>
      </c>
      <c r="K345" s="128">
        <f ca="1">IF(OFFSET('IWP15'!UnitsOfServicePeriod1, 1, 7, 1, 1) = "", 0, OFFSET('IWP15'!UnitsOfServicePeriod1, 1, 7, 1, 1))</f>
        <v>0</v>
      </c>
      <c r="L345" s="128">
        <f ca="1">OFFSET('IWP15'!UnitsOfServicePeriod1, 1, 8, 1, 1)</f>
        <v>0</v>
      </c>
      <c r="M345" s="128">
        <f ca="1">IF(OFFSET('IWP15'!UnitsOfServicePeriod1, 1, 9, 1, 1) = "", 0, OFFSET('IWP15'!UnitsOfServicePeriod1, 1, 9, 1, 1))</f>
        <v>0</v>
      </c>
      <c r="N345" s="128">
        <f ca="1">OFFSET('IWP15'!UnitsOfServicePeriod1, 1, 10, 1, 1)</f>
        <v>0</v>
      </c>
      <c r="O345" s="128">
        <f ca="1">IF(OFFSET('IWP15'!UnitsOfServicePeriod1, 1, 11, 1, 1) = "", 0, OFFSET('IWP15'!UnitsOfServicePeriod1, 1, 11, 1, 1))</f>
        <v>0</v>
      </c>
      <c r="P345" s="128">
        <f ca="1">OFFSET('IWP15'!UnitsOfServicePeriod1, 1, 12, 1, 1)</f>
        <v>0</v>
      </c>
      <c r="Q345" s="128">
        <f ca="1">IF(OFFSET('IWP15'!UnitsOfServicePeriod1, 1, 13, 1, 1) = "", 0, OFFSET('IWP15'!UnitsOfServicePeriod1, 1, 13, 1, 1))</f>
        <v>0</v>
      </c>
      <c r="R345" s="128">
        <f ca="1">OFFSET('IWP15'!UnitsOfServicePeriod1, 1, 14, 1, 1)</f>
        <v>0</v>
      </c>
      <c r="S345" s="128">
        <f ca="1">IF(OFFSET('IWP15'!UnitsOfServicePeriod1, 1, 15, 1, 1) = "", 0, OFFSET('IWP15'!UnitsOfServicePeriod1, 1, 15, 1, 1))</f>
        <v>0</v>
      </c>
      <c r="T345" s="128">
        <f ca="1">IF(OFFSET('IWP15'!UnitsOfServicePeriod1, 1, 16, 1, 1) = "", 0, OFFSET('IWP15'!UnitsOfServicePeriod1, 1, 16, 1, 1))</f>
        <v>0</v>
      </c>
      <c r="U345" s="128">
        <f ca="1">OFFSET('IWP15'!UnitsOfServicePeriod1, 1, 17, 1, 1)</f>
        <v>0</v>
      </c>
      <c r="V345" s="128">
        <f ca="1">IF(OFFSET('IWP15'!UnitsOfServicePeriod1, 1, 19, 1, 1) = "", 0, OFFSET('IWP15'!UnitsOfServicePeriod1, 1, 19, 1, 1))</f>
        <v>0</v>
      </c>
      <c r="W345" s="128">
        <f ca="1">OFFSET('IWP15'!UnitsOfServicePeriod1, 1, 20, 1, 1)</f>
        <v>0</v>
      </c>
      <c r="X345" s="128">
        <f ca="1">IF(OFFSET('IWP15'!UnitsOfServicePeriod1, 1, 21, 1, 1) = "", 0, OFFSET('IWP15'!UnitsOfServicePeriod1, 1, 21, 1, 1))</f>
        <v>0</v>
      </c>
      <c r="Y345" s="137">
        <f ca="1">OFFSET('IWP15'!UnitsOfServicePeriod1, 1, 22, 1, 1)</f>
        <v>0</v>
      </c>
    </row>
    <row r="346" spans="1:25">
      <c r="A346" s="125" t="s">
        <v>488</v>
      </c>
      <c r="B346" s="128">
        <v>1</v>
      </c>
      <c r="C346" s="128">
        <v>3</v>
      </c>
      <c r="D346" s="107">
        <f ca="1">IF(OFFSET('IWP15'!UnitsOfServicePeriod1, 2, 0, 1, 1)=DATE(1900,1,0), DATE(1900,1,1),OFFSET('IWP15'!UnitsOfServicePeriod1, 2, 0, 1, 1))</f>
        <v>1</v>
      </c>
      <c r="E346" s="107">
        <f ca="1">IF(OFFSET('IWP15'!UnitsOfServicePeriod1, 2, 1, 1, 1)=DATE(1900,1,0), DATE(1900,1,1),OFFSET('IWP15'!UnitsOfServicePeriod1, 2, 1, 1, 1))</f>
        <v>1</v>
      </c>
      <c r="F346" s="128">
        <f ca="1">OFFSET('IWP15'!UnitsOfServicePeriod1, 2, 2, 1, 1)</f>
        <v>0</v>
      </c>
      <c r="G346" s="128">
        <f ca="1">IF(OFFSET('IWP15'!UnitsOfServicePeriod1, 2, 3, 1, 1) = "", 0, OFFSET('IWP15'!UnitsOfServicePeriod1, 2, 3, 1, 1))</f>
        <v>0</v>
      </c>
      <c r="H346" s="128">
        <f ca="1">OFFSET('IWP15'!UnitsOfServicePeriod1, 2, 4, 1, 1)</f>
        <v>0</v>
      </c>
      <c r="I346" s="128">
        <f ca="1">IF(OFFSET('IWP15'!UnitsOfServicePeriod1, 2, 5, 1, 1) = "", 0, OFFSET('IWP15'!UnitsOfServicePeriod1, 2, 5, 1, 1))</f>
        <v>0</v>
      </c>
      <c r="J346" s="128">
        <f ca="1">OFFSET('IWP15'!UnitsOfServicePeriod1, 2, 6, 1, 1)</f>
        <v>0</v>
      </c>
      <c r="K346" s="128">
        <f ca="1">IF(OFFSET('IWP15'!UnitsOfServicePeriod1, 2, 7, 1, 1) = "", 0, OFFSET('IWP15'!UnitsOfServicePeriod1, 2, 7, 1, 1))</f>
        <v>0</v>
      </c>
      <c r="L346" s="128">
        <f ca="1">OFFSET('IWP15'!UnitsOfServicePeriod1, 2, 8, 1, 1)</f>
        <v>0</v>
      </c>
      <c r="M346" s="128">
        <f ca="1">IF(OFFSET('IWP15'!UnitsOfServicePeriod1, 2, 9, 1, 1) = "", 0, OFFSET('IWP15'!UnitsOfServicePeriod1, 2, 9, 1, 1))</f>
        <v>0</v>
      </c>
      <c r="N346" s="128">
        <f ca="1">OFFSET('IWP15'!UnitsOfServicePeriod1, 2, 10, 1, 1)</f>
        <v>0</v>
      </c>
      <c r="O346" s="128">
        <f ca="1">IF(OFFSET('IWP15'!UnitsOfServicePeriod1, 2, 11, 1, 1) = "", 0, OFFSET('IWP15'!UnitsOfServicePeriod1, 2, 11, 1, 1))</f>
        <v>0</v>
      </c>
      <c r="P346" s="128">
        <f ca="1">OFFSET('IWP15'!UnitsOfServicePeriod1, 2, 12, 1, 1)</f>
        <v>0</v>
      </c>
      <c r="Q346" s="128">
        <f ca="1">IF(OFFSET('IWP15'!UnitsOfServicePeriod1, 2, 13, 1, 1) = "", 0, OFFSET('IWP15'!UnitsOfServicePeriod1, 2, 13, 1, 1))</f>
        <v>0</v>
      </c>
      <c r="R346" s="128">
        <f ca="1">OFFSET('IWP15'!UnitsOfServicePeriod1, 2, 14, 1, 1)</f>
        <v>0</v>
      </c>
      <c r="S346" s="128">
        <f ca="1">IF(OFFSET('IWP15'!UnitsOfServicePeriod1, 2, 15, 1, 1) = "", 0, OFFSET('IWP15'!UnitsOfServicePeriod1, 2, 15, 1, 1))</f>
        <v>0</v>
      </c>
      <c r="T346" s="128">
        <f ca="1">IF(OFFSET('IWP15'!UnitsOfServicePeriod1, 2, 16, 1, 1) = "", 0, OFFSET('IWP15'!UnitsOfServicePeriod1, 2, 16, 1, 1))</f>
        <v>0</v>
      </c>
      <c r="U346" s="128">
        <f ca="1">OFFSET('IWP15'!UnitsOfServicePeriod1, 2, 17, 1, 1)</f>
        <v>0</v>
      </c>
      <c r="V346" s="128">
        <f ca="1">IF(OFFSET('IWP15'!UnitsOfServicePeriod1, 2, 19, 1, 1) = "", 0, OFFSET('IWP15'!UnitsOfServicePeriod1, 2, 19, 1, 1))</f>
        <v>0</v>
      </c>
      <c r="W346" s="128">
        <f ca="1">OFFSET('IWP15'!UnitsOfServicePeriod1, 2, 20, 1, 1)</f>
        <v>0</v>
      </c>
      <c r="X346" s="128">
        <f ca="1">IF(OFFSET('IWP15'!UnitsOfServicePeriod1, 2, 21, 1, 1) = "", 0, OFFSET('IWP15'!UnitsOfServicePeriod1, 2, 21, 1, 1))</f>
        <v>0</v>
      </c>
      <c r="Y346" s="137">
        <f ca="1">OFFSET('IWP15'!UnitsOfServicePeriod1, 2, 22, 1, 1)</f>
        <v>0</v>
      </c>
    </row>
    <row r="347" spans="1:25">
      <c r="A347" s="125" t="s">
        <v>488</v>
      </c>
      <c r="B347" s="128">
        <v>1</v>
      </c>
      <c r="C347" s="128">
        <v>4</v>
      </c>
      <c r="D347" s="107">
        <f ca="1">IF(OFFSET('IWP15'!UnitsOfServicePeriod1, 3, 0, 1, 1)=DATE(1900,1,0), DATE(1900,1,1),OFFSET('IWP15'!UnitsOfServicePeriod1, 3, 0, 1, 1))</f>
        <v>1</v>
      </c>
      <c r="E347" s="107">
        <f ca="1">IF(OFFSET('IWP15'!UnitsOfServicePeriod1, 3, 1, 1, 1)=DATE(1900,1,0), DATE(1900,1,1),OFFSET('IWP15'!UnitsOfServicePeriod1, 3, 1, 1, 1))</f>
        <v>1</v>
      </c>
      <c r="F347" s="128">
        <f ca="1">OFFSET('IWP15'!UnitsOfServicePeriod1, 3, 2, 1, 1)</f>
        <v>0</v>
      </c>
      <c r="G347" s="128">
        <f ca="1">IF(OFFSET('IWP15'!UnitsOfServicePeriod1, 3, 3, 1, 1) = "", 0, OFFSET('IWP15'!UnitsOfServicePeriod1, 3, 3, 1, 1))</f>
        <v>0</v>
      </c>
      <c r="H347" s="128">
        <f ca="1">OFFSET('IWP15'!UnitsOfServicePeriod1, 3, 4, 1, 1)</f>
        <v>0</v>
      </c>
      <c r="I347" s="128">
        <f ca="1">IF(OFFSET('IWP15'!UnitsOfServicePeriod1, 3, 5, 1, 1) = "", 0, OFFSET('IWP15'!UnitsOfServicePeriod1, 3, 5, 1, 1))</f>
        <v>0</v>
      </c>
      <c r="J347" s="128">
        <f ca="1">OFFSET('IWP15'!UnitsOfServicePeriod1, 3, 6, 1, 1)</f>
        <v>0</v>
      </c>
      <c r="K347" s="128">
        <f ca="1">IF(OFFSET('IWP15'!UnitsOfServicePeriod1, 3, 7, 1, 1) = "", 0, OFFSET('IWP15'!UnitsOfServicePeriod1, 3, 7, 1, 1))</f>
        <v>0</v>
      </c>
      <c r="L347" s="128">
        <f ca="1">OFFSET('IWP15'!UnitsOfServicePeriod1, 3, 8, 1, 1)</f>
        <v>0</v>
      </c>
      <c r="M347" s="128">
        <f ca="1">IF(OFFSET('IWP15'!UnitsOfServicePeriod1, 3, 9, 1, 1) = "", 0, OFFSET('IWP15'!UnitsOfServicePeriod1, 3, 9, 1, 1))</f>
        <v>0</v>
      </c>
      <c r="N347" s="128">
        <f ca="1">OFFSET('IWP15'!UnitsOfServicePeriod1, 3, 10, 1, 1)</f>
        <v>0</v>
      </c>
      <c r="O347" s="128">
        <f ca="1">IF(OFFSET('IWP15'!UnitsOfServicePeriod1, 3, 11, 1, 1) = "", 0, OFFSET('IWP15'!UnitsOfServicePeriod1, 3, 11, 1, 1))</f>
        <v>0</v>
      </c>
      <c r="P347" s="128">
        <f ca="1">OFFSET('IWP15'!UnitsOfServicePeriod1, 3, 12, 1, 1)</f>
        <v>0</v>
      </c>
      <c r="Q347" s="128">
        <f ca="1">IF(OFFSET('IWP15'!UnitsOfServicePeriod1, 3, 13, 1, 1) = "", 0, OFFSET('IWP15'!UnitsOfServicePeriod1, 3, 13, 1, 1))</f>
        <v>0</v>
      </c>
      <c r="R347" s="128">
        <f ca="1">OFFSET('IWP15'!UnitsOfServicePeriod1, 3, 14, 1, 1)</f>
        <v>0</v>
      </c>
      <c r="S347" s="128">
        <f ca="1">IF(OFFSET('IWP15'!UnitsOfServicePeriod1, 3, 15, 1, 1) = "", 0, OFFSET('IWP15'!UnitsOfServicePeriod1, 3, 15, 1, 1))</f>
        <v>0</v>
      </c>
      <c r="T347" s="128">
        <f ca="1">IF(OFFSET('IWP15'!UnitsOfServicePeriod1, 3, 16, 1, 1) = "", 0, OFFSET('IWP15'!UnitsOfServicePeriod1, 3, 16, 1, 1))</f>
        <v>0</v>
      </c>
      <c r="U347" s="128">
        <f ca="1">OFFSET('IWP15'!UnitsOfServicePeriod1, 3, 17, 1, 1)</f>
        <v>0</v>
      </c>
      <c r="V347" s="128">
        <f ca="1">IF(OFFSET('IWP15'!UnitsOfServicePeriod1, 3, 19, 1, 1) = "", 0, OFFSET('IWP15'!UnitsOfServicePeriod1, 3, 19, 1, 1))</f>
        <v>0</v>
      </c>
      <c r="W347" s="128">
        <f ca="1">OFFSET('IWP15'!UnitsOfServicePeriod1, 3, 20, 1, 1)</f>
        <v>0</v>
      </c>
      <c r="X347" s="128">
        <f ca="1">IF(OFFSET('IWP15'!UnitsOfServicePeriod1, 3, 21, 1, 1) = "", 0, OFFSET('IWP15'!UnitsOfServicePeriod1, 3, 21, 1, 1))</f>
        <v>0</v>
      </c>
      <c r="Y347" s="137">
        <f ca="1">OFFSET('IWP15'!UnitsOfServicePeriod1, 3, 22, 1, 1)</f>
        <v>0</v>
      </c>
    </row>
    <row r="348" spans="1:25">
      <c r="A348" s="125" t="s">
        <v>488</v>
      </c>
      <c r="B348" s="128">
        <v>1</v>
      </c>
      <c r="C348" s="128">
        <v>5</v>
      </c>
      <c r="D348" s="107">
        <f ca="1">IF(OFFSET('IWP15'!UnitsOfServicePeriod1, 4, 0, 1, 1)=DATE(1900,1,0), DATE(1900,1,1),OFFSET('IWP15'!UnitsOfServicePeriod1, 4, 0, 1, 1))</f>
        <v>1</v>
      </c>
      <c r="E348" s="107">
        <f ca="1">IF(OFFSET('IWP15'!UnitsOfServicePeriod1, 4, 1, 1, 1)=DATE(1900,1,0), DATE(1900,1,1),OFFSET('IWP15'!UnitsOfServicePeriod1, 4, 1, 1, 1))</f>
        <v>1</v>
      </c>
      <c r="F348" s="128">
        <f ca="1">OFFSET('IWP15'!UnitsOfServicePeriod1, 4, 2, 1, 1)</f>
        <v>0</v>
      </c>
      <c r="G348" s="128">
        <f ca="1">IF(OFFSET('IWP15'!UnitsOfServicePeriod1, 4, 3, 1, 1) = "", 0, OFFSET('IWP15'!UnitsOfServicePeriod1, 4, 3, 1, 1))</f>
        <v>0</v>
      </c>
      <c r="H348" s="128">
        <f ca="1">OFFSET('IWP15'!UnitsOfServicePeriod1, 4, 4, 1, 1)</f>
        <v>0</v>
      </c>
      <c r="I348" s="128">
        <f ca="1">IF(OFFSET('IWP15'!UnitsOfServicePeriod1, 4, 5, 1, 1) = "", 0, OFFSET('IWP15'!UnitsOfServicePeriod1, 4, 5, 1, 1))</f>
        <v>0</v>
      </c>
      <c r="J348" s="128">
        <f ca="1">OFFSET('IWP15'!UnitsOfServicePeriod1, 4, 6, 1, 1)</f>
        <v>0</v>
      </c>
      <c r="K348" s="128">
        <f ca="1">IF(OFFSET('IWP15'!UnitsOfServicePeriod1, 4, 7, 1, 1) = "", 0, OFFSET('IWP15'!UnitsOfServicePeriod1, 4, 7, 1, 1))</f>
        <v>0</v>
      </c>
      <c r="L348" s="128">
        <f ca="1">OFFSET('IWP15'!UnitsOfServicePeriod1, 4, 8, 1, 1)</f>
        <v>0</v>
      </c>
      <c r="M348" s="128">
        <f ca="1">IF(OFFSET('IWP15'!UnitsOfServicePeriod1, 4, 9, 1, 1) = "", 0, OFFSET('IWP15'!UnitsOfServicePeriod1, 4, 9, 1, 1))</f>
        <v>0</v>
      </c>
      <c r="N348" s="128">
        <f ca="1">OFFSET('IWP15'!UnitsOfServicePeriod1, 4, 10, 1, 1)</f>
        <v>0</v>
      </c>
      <c r="O348" s="128">
        <f ca="1">IF(OFFSET('IWP15'!UnitsOfServicePeriod1, 4, 11, 1, 1) = "", 0, OFFSET('IWP15'!UnitsOfServicePeriod1, 4, 11, 1, 1))</f>
        <v>0</v>
      </c>
      <c r="P348" s="128">
        <f ca="1">OFFSET('IWP15'!UnitsOfServicePeriod1, 4, 12, 1, 1)</f>
        <v>0</v>
      </c>
      <c r="Q348" s="128">
        <f ca="1">IF(OFFSET('IWP15'!UnitsOfServicePeriod1, 4, 13, 1, 1) = "", 0, OFFSET('IWP15'!UnitsOfServicePeriod1, 4, 13, 1, 1))</f>
        <v>0</v>
      </c>
      <c r="R348" s="128">
        <f ca="1">OFFSET('IWP15'!UnitsOfServicePeriod1, 4, 14, 1, 1)</f>
        <v>0</v>
      </c>
      <c r="S348" s="128">
        <f ca="1">IF(OFFSET('IWP15'!UnitsOfServicePeriod1, 4, 15, 1, 1) = "", 0, OFFSET('IWP15'!UnitsOfServicePeriod1, 4, 15, 1, 1))</f>
        <v>0</v>
      </c>
      <c r="T348" s="128">
        <f ca="1">IF(OFFSET('IWP15'!UnitsOfServicePeriod1, 4, 16, 1, 1) = "", 0, OFFSET('IWP15'!UnitsOfServicePeriod1, 4, 16, 1, 1))</f>
        <v>0</v>
      </c>
      <c r="U348" s="128">
        <f ca="1">OFFSET('IWP15'!UnitsOfServicePeriod1, 4, 17, 1, 1)</f>
        <v>0</v>
      </c>
      <c r="V348" s="128">
        <f ca="1">IF(OFFSET('IWP15'!UnitsOfServicePeriod1, 4, 19, 1, 1) = "", 0, OFFSET('IWP15'!UnitsOfServicePeriod1, 4, 19, 1, 1))</f>
        <v>0</v>
      </c>
      <c r="W348" s="128">
        <f ca="1">OFFSET('IWP15'!UnitsOfServicePeriod1, 4, 20, 1, 1)</f>
        <v>0</v>
      </c>
      <c r="X348" s="128">
        <f ca="1">IF(OFFSET('IWP15'!UnitsOfServicePeriod1, 4, 21, 1, 1) = "", 0, OFFSET('IWP15'!UnitsOfServicePeriod1, 4, 21, 1, 1))</f>
        <v>0</v>
      </c>
      <c r="Y348" s="137">
        <f ca="1">OFFSET('IWP15'!UnitsOfServicePeriod1, 4, 22, 1, 1)</f>
        <v>0</v>
      </c>
    </row>
    <row r="349" spans="1:25">
      <c r="A349" s="125" t="s">
        <v>488</v>
      </c>
      <c r="B349" s="128">
        <v>1</v>
      </c>
      <c r="C349" s="128">
        <v>6</v>
      </c>
      <c r="D349" s="107">
        <f ca="1">IF(OFFSET('IWP15'!UnitsOfServicePeriod1, 5, 0, 1, 1)=DATE(1900,1,0), DATE(1900,1,1),OFFSET('IWP15'!UnitsOfServicePeriod1, 5, 0, 1, 1))</f>
        <v>1</v>
      </c>
      <c r="E349" s="107">
        <f ca="1">IF(OFFSET('IWP15'!UnitsOfServicePeriod1, 5, 1, 1, 1)=DATE(1900,1,0), DATE(1900,1,1),OFFSET('IWP15'!UnitsOfServicePeriod1, 5, 1, 1, 1))</f>
        <v>1</v>
      </c>
      <c r="F349" s="128">
        <f ca="1">OFFSET('IWP15'!UnitsOfServicePeriod1, 5, 2, 1, 1)</f>
        <v>0</v>
      </c>
      <c r="G349" s="128">
        <f ca="1">IF(OFFSET('IWP15'!UnitsOfServicePeriod1, 5, 3, 1, 1) = "", 0, OFFSET('IWP15'!UnitsOfServicePeriod1, 5, 3, 1, 1))</f>
        <v>0</v>
      </c>
      <c r="H349" s="128">
        <f ca="1">OFFSET('IWP15'!UnitsOfServicePeriod1, 5, 4, 1, 1)</f>
        <v>0</v>
      </c>
      <c r="I349" s="128">
        <f ca="1">IF(OFFSET('IWP15'!UnitsOfServicePeriod1, 5, 5, 1, 1) = "", 0, OFFSET('IWP15'!UnitsOfServicePeriod1, 5, 5, 1, 1))</f>
        <v>0</v>
      </c>
      <c r="J349" s="128">
        <f ca="1">OFFSET('IWP15'!UnitsOfServicePeriod1, 5, 6, 1, 1)</f>
        <v>0</v>
      </c>
      <c r="K349" s="128">
        <f ca="1">IF(OFFSET('IWP15'!UnitsOfServicePeriod1, 5, 7, 1, 1) = "", 0, OFFSET('IWP15'!UnitsOfServicePeriod1, 5, 7, 1, 1))</f>
        <v>0</v>
      </c>
      <c r="L349" s="128">
        <f ca="1">OFFSET('IWP15'!UnitsOfServicePeriod1, 5, 8, 1, 1)</f>
        <v>0</v>
      </c>
      <c r="M349" s="128">
        <f ca="1">IF(OFFSET('IWP15'!UnitsOfServicePeriod1, 5, 9, 1, 1) = "", 0, OFFSET('IWP15'!UnitsOfServicePeriod1, 5, 9, 1, 1))</f>
        <v>0</v>
      </c>
      <c r="N349" s="128">
        <f ca="1">OFFSET('IWP15'!UnitsOfServicePeriod1, 5, 10, 1, 1)</f>
        <v>0</v>
      </c>
      <c r="O349" s="128">
        <f ca="1">IF(OFFSET('IWP15'!UnitsOfServicePeriod1, 5, 11, 1, 1) = "", 0, OFFSET('IWP15'!UnitsOfServicePeriod1, 5, 11, 1, 1))</f>
        <v>0</v>
      </c>
      <c r="P349" s="128">
        <f ca="1">OFFSET('IWP15'!UnitsOfServicePeriod1, 5, 12, 1, 1)</f>
        <v>0</v>
      </c>
      <c r="Q349" s="128">
        <f ca="1">IF(OFFSET('IWP15'!UnitsOfServicePeriod1, 5, 13, 1, 1) = "", 0, OFFSET('IWP15'!UnitsOfServicePeriod1, 5, 13, 1, 1))</f>
        <v>0</v>
      </c>
      <c r="R349" s="128">
        <f ca="1">OFFSET('IWP15'!UnitsOfServicePeriod1, 5, 14, 1, 1)</f>
        <v>0</v>
      </c>
      <c r="S349" s="128">
        <f ca="1">IF(OFFSET('IWP15'!UnitsOfServicePeriod1, 5, 15, 1, 1) = "", 0, OFFSET('IWP15'!UnitsOfServicePeriod1, 5, 15, 1, 1))</f>
        <v>0</v>
      </c>
      <c r="T349" s="128">
        <f ca="1">IF(OFFSET('IWP15'!UnitsOfServicePeriod1, 5, 16, 1, 1) = "", 0, OFFSET('IWP15'!UnitsOfServicePeriod1, 5, 16, 1, 1))</f>
        <v>0</v>
      </c>
      <c r="U349" s="128">
        <f ca="1">OFFSET('IWP15'!UnitsOfServicePeriod1, 5, 17, 1, 1)</f>
        <v>0</v>
      </c>
      <c r="V349" s="128">
        <f ca="1">IF(OFFSET('IWP15'!UnitsOfServicePeriod1, 5, 19, 1, 1) = "", 0, OFFSET('IWP15'!UnitsOfServicePeriod1, 5, 19, 1, 1))</f>
        <v>0</v>
      </c>
      <c r="W349" s="128">
        <f ca="1">OFFSET('IWP15'!UnitsOfServicePeriod1, 5, 20, 1, 1)</f>
        <v>0</v>
      </c>
      <c r="X349" s="128">
        <f ca="1">IF(OFFSET('IWP15'!UnitsOfServicePeriod1, 5, 21, 1, 1) = "", 0, OFFSET('IWP15'!UnitsOfServicePeriod1, 5, 21, 1, 1))</f>
        <v>0</v>
      </c>
      <c r="Y349" s="137">
        <f ca="1">OFFSET('IWP15'!UnitsOfServicePeriod1, 5, 22, 1, 1)</f>
        <v>0</v>
      </c>
    </row>
    <row r="350" spans="1:25">
      <c r="A350" s="125" t="s">
        <v>488</v>
      </c>
      <c r="B350" s="128">
        <v>2</v>
      </c>
      <c r="C350" s="128">
        <v>1</v>
      </c>
      <c r="D350" s="107">
        <f ca="1">IF(OFFSET('IWP15'!UnitsOfServicePeriod2, 0, 0, 1, 1)=DATE(1900,1,0), DATE(1900,1,1),OFFSET('IWP15'!UnitsOfServicePeriod2, 0, 0, 1, 1))</f>
        <v>1</v>
      </c>
      <c r="E350" s="107">
        <f ca="1">IF(OFFSET('IWP15'!UnitsOfServicePeriod2, 0, 1, 1, 1)=DATE(1900,1,0), DATE(1900,1,1),OFFSET('IWP15'!UnitsOfServicePeriod2, 0, 1, 1, 1))</f>
        <v>1</v>
      </c>
      <c r="F350" s="128">
        <f ca="1">OFFSET('IWP15'!UnitsOfServicePeriod2, 0, 2, 1, 1)</f>
        <v>0</v>
      </c>
      <c r="G350" s="128">
        <f ca="1">IF(OFFSET('IWP15'!UnitsOfServicePeriod2, 0, 3, 1, 1) = "", 0, OFFSET('IWP15'!UnitsOfServicePeriod2, 0, 3, 1, 1))</f>
        <v>0</v>
      </c>
      <c r="H350" s="128">
        <f ca="1">OFFSET('IWP15'!UnitsOfServicePeriod2, 0, 4, 1, 1)</f>
        <v>0</v>
      </c>
      <c r="I350" s="128">
        <f ca="1">IF(OFFSET('IWP15'!UnitsOfServicePeriod2, 0, 5, 1, 1) = "", 0, OFFSET('IWP15'!UnitsOfServicePeriod2, 0, 5, 1, 1))</f>
        <v>0</v>
      </c>
      <c r="J350" s="128">
        <f ca="1">OFFSET('IWP15'!UnitsOfServicePeriod2, 0, 6, 1, 1)</f>
        <v>0</v>
      </c>
      <c r="K350" s="128">
        <f ca="1">IF(OFFSET('IWP15'!UnitsOfServicePeriod2, 0, 7, 1, 1) = "", 0, OFFSET('IWP15'!UnitsOfServicePeriod2, 0, 7, 1, 1))</f>
        <v>0</v>
      </c>
      <c r="L350" s="128">
        <f ca="1">OFFSET('IWP15'!UnitsOfServicePeriod2, 0, 8, 1, 1)</f>
        <v>0</v>
      </c>
      <c r="M350" s="128">
        <f ca="1">IF(OFFSET('IWP15'!UnitsOfServicePeriod2, 0, 9, 1, 1) = "", 0, OFFSET('IWP15'!UnitsOfServicePeriod2, 0, 9, 1, 1))</f>
        <v>0</v>
      </c>
      <c r="N350" s="128">
        <f ca="1">OFFSET('IWP15'!UnitsOfServicePeriod2, 0, 10, 1, 1)</f>
        <v>0</v>
      </c>
      <c r="O350" s="128">
        <f ca="1">IF(OFFSET('IWP15'!UnitsOfServicePeriod2, 0, 11, 1, 1) = "", 0, OFFSET('IWP15'!UnitsOfServicePeriod2, 0, 11, 1, 1))</f>
        <v>0</v>
      </c>
      <c r="P350" s="128">
        <f ca="1">OFFSET('IWP15'!UnitsOfServicePeriod2, 0, 12, 1, 1)</f>
        <v>0</v>
      </c>
      <c r="Q350" s="128">
        <f ca="1">IF(OFFSET('IWP15'!UnitsOfServicePeriod2, 0, 13, 1, 1) = "", 0, OFFSET('IWP15'!UnitsOfServicePeriod2, 0, 13, 1, 1))</f>
        <v>0</v>
      </c>
      <c r="R350" s="128">
        <f ca="1">OFFSET('IWP15'!UnitsOfServicePeriod2, 0, 14, 1, 1)</f>
        <v>0</v>
      </c>
      <c r="S350" s="128">
        <f ca="1">IF(OFFSET('IWP15'!UnitsOfServicePeriod2, 0, 15, 1, 1) = "", 0, OFFSET('IWP15'!UnitsOfServicePeriod2, 0, 15, 1, 1))</f>
        <v>0</v>
      </c>
      <c r="T350" s="128">
        <f ca="1">IF(OFFSET('IWP15'!UnitsOfServicePeriod2, 0, 16, 1, 1) = "", 0, OFFSET('IWP15'!UnitsOfServicePeriod2, 0, 16, 1, 1))</f>
        <v>0</v>
      </c>
      <c r="U350" s="128">
        <f ca="1">OFFSET('IWP15'!UnitsOfServicePeriod2, 0, 17, 1, 1)</f>
        <v>0</v>
      </c>
      <c r="V350" s="128">
        <f ca="1">IF(OFFSET('IWP15'!UnitsOfServicePeriod2, 0, 19, 1, 1) = "", 0, OFFSET('IWP15'!UnitsOfServicePeriod2, 0, 19, 1, 1))</f>
        <v>0</v>
      </c>
      <c r="W350" s="128">
        <f ca="1">OFFSET('IWP15'!UnitsOfServicePeriod2, 0, 20, 1, 1)</f>
        <v>0</v>
      </c>
      <c r="X350" s="128">
        <f ca="1">IF(OFFSET('IWP15'!UnitsOfServicePeriod2, 0, 21, 1, 1) = "", 0, OFFSET('IWP15'!UnitsOfServicePeriod2, 0, 21, 1, 1))</f>
        <v>0</v>
      </c>
      <c r="Y350" s="137">
        <f ca="1">OFFSET('IWP15'!UnitsOfServicePeriod2, 0, 22, 1, 1)</f>
        <v>0</v>
      </c>
    </row>
    <row r="351" spans="1:25">
      <c r="A351" s="125" t="s">
        <v>488</v>
      </c>
      <c r="B351" s="128">
        <v>2</v>
      </c>
      <c r="C351" s="128">
        <v>2</v>
      </c>
      <c r="D351" s="107">
        <f ca="1">IF(OFFSET('IWP15'!UnitsOfServicePeriod2, 1, 0, 1, 1)=DATE(1900,1,0), DATE(1900,1,1),OFFSET('IWP15'!UnitsOfServicePeriod2, 1, 0, 1, 1))</f>
        <v>1</v>
      </c>
      <c r="E351" s="107">
        <f ca="1">IF(OFFSET('IWP15'!UnitsOfServicePeriod2, 1, 1, 1, 1)=DATE(1900,1,0), DATE(1900,1,1),OFFSET('IWP15'!UnitsOfServicePeriod2, 1, 1, 1, 1))</f>
        <v>1</v>
      </c>
      <c r="F351" s="128">
        <f ca="1">OFFSET('IWP15'!UnitsOfServicePeriod2, 1, 2, 1, 1)</f>
        <v>0</v>
      </c>
      <c r="G351" s="128">
        <f ca="1">IF(OFFSET('IWP15'!UnitsOfServicePeriod2, 1, 3, 1, 1) = "", 0, OFFSET('IWP15'!UnitsOfServicePeriod2, 1, 3, 1, 1))</f>
        <v>0</v>
      </c>
      <c r="H351" s="128">
        <f ca="1">OFFSET('IWP15'!UnitsOfServicePeriod2, 1, 4, 1, 1)</f>
        <v>0</v>
      </c>
      <c r="I351" s="128">
        <f ca="1">IF(OFFSET('IWP15'!UnitsOfServicePeriod2, 1, 5, 1, 1) = "", 0, OFFSET('IWP15'!UnitsOfServicePeriod2, 1, 5, 1, 1))</f>
        <v>0</v>
      </c>
      <c r="J351" s="128">
        <f ca="1">OFFSET('IWP15'!UnitsOfServicePeriod2, 1, 6, 1, 1)</f>
        <v>0</v>
      </c>
      <c r="K351" s="128">
        <f ca="1">IF(OFFSET('IWP15'!UnitsOfServicePeriod2, 1, 7, 1, 1) = "", 0, OFFSET('IWP15'!UnitsOfServicePeriod2, 1, 7, 1, 1))</f>
        <v>0</v>
      </c>
      <c r="L351" s="128">
        <f ca="1">OFFSET('IWP15'!UnitsOfServicePeriod2, 1, 8, 1, 1)</f>
        <v>0</v>
      </c>
      <c r="M351" s="128">
        <f ca="1">IF(OFFSET('IWP15'!UnitsOfServicePeriod2, 1, 9, 1, 1) = "", 0, OFFSET('IWP15'!UnitsOfServicePeriod2, 1, 9, 1, 1))</f>
        <v>0</v>
      </c>
      <c r="N351" s="128">
        <f ca="1">OFFSET('IWP15'!UnitsOfServicePeriod2, 1, 10, 1, 1)</f>
        <v>0</v>
      </c>
      <c r="O351" s="128">
        <f ca="1">IF(OFFSET('IWP15'!UnitsOfServicePeriod2, 1, 11, 1, 1) = "", 0, OFFSET('IWP15'!UnitsOfServicePeriod2, 1, 11, 1, 1))</f>
        <v>0</v>
      </c>
      <c r="P351" s="128">
        <f ca="1">OFFSET('IWP15'!UnitsOfServicePeriod2, 1, 12, 1, 1)</f>
        <v>0</v>
      </c>
      <c r="Q351" s="128">
        <f ca="1">IF(OFFSET('IWP15'!UnitsOfServicePeriod2, 1, 13, 1, 1) = "", 0, OFFSET('IWP15'!UnitsOfServicePeriod2, 1, 13, 1, 1))</f>
        <v>0</v>
      </c>
      <c r="R351" s="128">
        <f ca="1">OFFSET('IWP15'!UnitsOfServicePeriod2, 1, 14, 1, 1)</f>
        <v>0</v>
      </c>
      <c r="S351" s="128">
        <f ca="1">IF(OFFSET('IWP15'!UnitsOfServicePeriod2, 1, 15, 1, 1) = "", 0, OFFSET('IWP15'!UnitsOfServicePeriod2, 1, 15, 1, 1))</f>
        <v>0</v>
      </c>
      <c r="T351" s="128">
        <f ca="1">IF(OFFSET('IWP15'!UnitsOfServicePeriod2, 1, 16, 1, 1) = "", 0, OFFSET('IWP15'!UnitsOfServicePeriod2, 1, 16, 1, 1))</f>
        <v>0</v>
      </c>
      <c r="U351" s="128">
        <f ca="1">OFFSET('IWP15'!UnitsOfServicePeriod2, 1, 17, 1, 1)</f>
        <v>0</v>
      </c>
      <c r="V351" s="128">
        <f ca="1">IF(OFFSET('IWP15'!UnitsOfServicePeriod2, 1, 19, 1, 1) = "", 0, OFFSET('IWP15'!UnitsOfServicePeriod2, 1, 19, 1, 1))</f>
        <v>0</v>
      </c>
      <c r="W351" s="128">
        <f ca="1">OFFSET('IWP15'!UnitsOfServicePeriod2, 1, 20, 1, 1)</f>
        <v>0</v>
      </c>
      <c r="X351" s="128">
        <f ca="1">IF(OFFSET('IWP15'!UnitsOfServicePeriod2, 1, 21, 1, 1) = "", 0, OFFSET('IWP15'!UnitsOfServicePeriod2, 1, 21, 1, 1))</f>
        <v>0</v>
      </c>
      <c r="Y351" s="137">
        <f ca="1">OFFSET('IWP15'!UnitsOfServicePeriod2, 1, 22, 1, 1)</f>
        <v>0</v>
      </c>
    </row>
    <row r="352" spans="1:25">
      <c r="A352" s="125" t="s">
        <v>488</v>
      </c>
      <c r="B352" s="128">
        <v>2</v>
      </c>
      <c r="C352" s="128">
        <v>3</v>
      </c>
      <c r="D352" s="107">
        <f ca="1">IF(OFFSET('IWP15'!UnitsOfServicePeriod2, 2, 0, 1, 1)=DATE(1900,1,0), DATE(1900,1,1),OFFSET('IWP15'!UnitsOfServicePeriod2, 2, 0, 1, 1))</f>
        <v>1</v>
      </c>
      <c r="E352" s="107">
        <f ca="1">IF(OFFSET('IWP15'!UnitsOfServicePeriod2, 2, 1, 1, 1)=DATE(1900,1,0), DATE(1900,1,1),OFFSET('IWP15'!UnitsOfServicePeriod2, 2, 1, 1, 1))</f>
        <v>1</v>
      </c>
      <c r="F352" s="128">
        <f ca="1">OFFSET('IWP15'!UnitsOfServicePeriod2, 2, 2, 1, 1)</f>
        <v>0</v>
      </c>
      <c r="G352" s="128">
        <f ca="1">IF(OFFSET('IWP15'!UnitsOfServicePeriod2, 2, 3, 1, 1) = "", 0, OFFSET('IWP15'!UnitsOfServicePeriod2, 2, 3, 1, 1))</f>
        <v>0</v>
      </c>
      <c r="H352" s="128">
        <f ca="1">OFFSET('IWP15'!UnitsOfServicePeriod2, 2, 4, 1, 1)</f>
        <v>0</v>
      </c>
      <c r="I352" s="128">
        <f ca="1">IF(OFFSET('IWP15'!UnitsOfServicePeriod2, 2, 5, 1, 1) = "", 0, OFFSET('IWP15'!UnitsOfServicePeriod2, 2, 5, 1, 1))</f>
        <v>0</v>
      </c>
      <c r="J352" s="128">
        <f ca="1">OFFSET('IWP15'!UnitsOfServicePeriod2, 2, 6, 1, 1)</f>
        <v>0</v>
      </c>
      <c r="K352" s="128">
        <f ca="1">IF(OFFSET('IWP15'!UnitsOfServicePeriod2, 2, 7, 1, 1) = "", 0, OFFSET('IWP15'!UnitsOfServicePeriod2, 2, 7, 1, 1))</f>
        <v>0</v>
      </c>
      <c r="L352" s="128">
        <f ca="1">OFFSET('IWP15'!UnitsOfServicePeriod2, 2, 8, 1, 1)</f>
        <v>0</v>
      </c>
      <c r="M352" s="128">
        <f ca="1">IF(OFFSET('IWP15'!UnitsOfServicePeriod2, 2, 9, 1, 1) = "", 0, OFFSET('IWP15'!UnitsOfServicePeriod2, 2, 9, 1, 1))</f>
        <v>0</v>
      </c>
      <c r="N352" s="128">
        <f ca="1">OFFSET('IWP15'!UnitsOfServicePeriod2, 2, 10, 1, 1)</f>
        <v>0</v>
      </c>
      <c r="O352" s="128">
        <f ca="1">IF(OFFSET('IWP15'!UnitsOfServicePeriod2, 2, 11, 1, 1) = "", 0, OFFSET('IWP15'!UnitsOfServicePeriod2, 2, 11, 1, 1))</f>
        <v>0</v>
      </c>
      <c r="P352" s="128">
        <f ca="1">OFFSET('IWP15'!UnitsOfServicePeriod2, 2, 12, 1, 1)</f>
        <v>0</v>
      </c>
      <c r="Q352" s="128">
        <f ca="1">IF(OFFSET('IWP15'!UnitsOfServicePeriod2, 2, 13, 1, 1) = "", 0, OFFSET('IWP15'!UnitsOfServicePeriod2, 2, 13, 1, 1))</f>
        <v>0</v>
      </c>
      <c r="R352" s="128">
        <f ca="1">OFFSET('IWP15'!UnitsOfServicePeriod2, 2, 14, 1, 1)</f>
        <v>0</v>
      </c>
      <c r="S352" s="128">
        <f ca="1">IF(OFFSET('IWP15'!UnitsOfServicePeriod2, 2, 15, 1, 1) = "", 0, OFFSET('IWP15'!UnitsOfServicePeriod2, 2, 15, 1, 1))</f>
        <v>0</v>
      </c>
      <c r="T352" s="128">
        <f ca="1">IF(OFFSET('IWP15'!UnitsOfServicePeriod2, 2, 16, 1, 1) = "", 0, OFFSET('IWP15'!UnitsOfServicePeriod2, 2, 16, 1, 1))</f>
        <v>0</v>
      </c>
      <c r="U352" s="128">
        <f ca="1">OFFSET('IWP15'!UnitsOfServicePeriod2, 2, 17, 1, 1)</f>
        <v>0</v>
      </c>
      <c r="V352" s="128">
        <f ca="1">IF(OFFSET('IWP15'!UnitsOfServicePeriod2, 2, 19, 1, 1) = "", 0, OFFSET('IWP15'!UnitsOfServicePeriod2, 2, 19, 1, 1))</f>
        <v>0</v>
      </c>
      <c r="W352" s="128">
        <f ca="1">OFFSET('IWP15'!UnitsOfServicePeriod2, 2, 20, 1, 1)</f>
        <v>0</v>
      </c>
      <c r="X352" s="128">
        <f ca="1">IF(OFFSET('IWP15'!UnitsOfServicePeriod2, 2, 21, 1, 1) = "", 0, OFFSET('IWP15'!UnitsOfServicePeriod2, 2, 21, 1, 1))</f>
        <v>0</v>
      </c>
      <c r="Y352" s="137">
        <f ca="1">OFFSET('IWP15'!UnitsOfServicePeriod2, 2, 22, 1, 1)</f>
        <v>0</v>
      </c>
    </row>
    <row r="353" spans="1:25">
      <c r="A353" s="125" t="s">
        <v>488</v>
      </c>
      <c r="B353" s="128">
        <v>2</v>
      </c>
      <c r="C353" s="128">
        <v>4</v>
      </c>
      <c r="D353" s="107">
        <f ca="1">IF(OFFSET('IWP15'!UnitsOfServicePeriod2, 3, 0, 1, 1)=DATE(1900,1,0), DATE(1900,1,1),OFFSET('IWP15'!UnitsOfServicePeriod2, 3, 0, 1, 1))</f>
        <v>1</v>
      </c>
      <c r="E353" s="107">
        <f ca="1">IF(OFFSET('IWP15'!UnitsOfServicePeriod2, 3, 1, 1, 1)=DATE(1900,1,0), DATE(1900,1,1),OFFSET('IWP15'!UnitsOfServicePeriod2, 3, 1, 1, 1))</f>
        <v>1</v>
      </c>
      <c r="F353" s="128">
        <f ca="1">OFFSET('IWP15'!UnitsOfServicePeriod2, 3, 2, 1, 1)</f>
        <v>0</v>
      </c>
      <c r="G353" s="128">
        <f ca="1">IF(OFFSET('IWP15'!UnitsOfServicePeriod2, 3, 3, 1, 1) = "", 0, OFFSET('IWP15'!UnitsOfServicePeriod2, 3, 3, 1, 1))</f>
        <v>0</v>
      </c>
      <c r="H353" s="128">
        <f ca="1">OFFSET('IWP15'!UnitsOfServicePeriod2, 3, 4, 1, 1)</f>
        <v>0</v>
      </c>
      <c r="I353" s="128">
        <f ca="1">IF(OFFSET('IWP15'!UnitsOfServicePeriod2, 3, 5, 1, 1) = "", 0, OFFSET('IWP15'!UnitsOfServicePeriod2, 3, 5, 1, 1))</f>
        <v>0</v>
      </c>
      <c r="J353" s="128">
        <f ca="1">OFFSET('IWP15'!UnitsOfServicePeriod2, 3, 6, 1, 1)</f>
        <v>0</v>
      </c>
      <c r="K353" s="128">
        <f ca="1">IF(OFFSET('IWP15'!UnitsOfServicePeriod2, 3, 7, 1, 1) = "", 0, OFFSET('IWP15'!UnitsOfServicePeriod2, 3, 7, 1, 1))</f>
        <v>0</v>
      </c>
      <c r="L353" s="128">
        <f ca="1">OFFSET('IWP15'!UnitsOfServicePeriod2, 3, 8, 1, 1)</f>
        <v>0</v>
      </c>
      <c r="M353" s="128">
        <f ca="1">IF(OFFSET('IWP15'!UnitsOfServicePeriod2, 3, 9, 1, 1) = "", 0, OFFSET('IWP15'!UnitsOfServicePeriod2, 3, 9, 1, 1))</f>
        <v>0</v>
      </c>
      <c r="N353" s="128">
        <f ca="1">OFFSET('IWP15'!UnitsOfServicePeriod2, 3, 10, 1, 1)</f>
        <v>0</v>
      </c>
      <c r="O353" s="128">
        <f ca="1">IF(OFFSET('IWP15'!UnitsOfServicePeriod2, 3, 11, 1, 1) = "", 0, OFFSET('IWP15'!UnitsOfServicePeriod2, 3, 11, 1, 1))</f>
        <v>0</v>
      </c>
      <c r="P353" s="128">
        <f ca="1">OFFSET('IWP15'!UnitsOfServicePeriod2, 3, 12, 1, 1)</f>
        <v>0</v>
      </c>
      <c r="Q353" s="128">
        <f ca="1">IF(OFFSET('IWP15'!UnitsOfServicePeriod2, 3, 13, 1, 1) = "", 0, OFFSET('IWP15'!UnitsOfServicePeriod2, 3, 13, 1, 1))</f>
        <v>0</v>
      </c>
      <c r="R353" s="128">
        <f ca="1">OFFSET('IWP15'!UnitsOfServicePeriod2, 3, 14, 1, 1)</f>
        <v>0</v>
      </c>
      <c r="S353" s="128">
        <f ca="1">IF(OFFSET('IWP15'!UnitsOfServicePeriod2, 3, 15, 1, 1) = "", 0, OFFSET('IWP15'!UnitsOfServicePeriod2, 3, 15, 1, 1))</f>
        <v>0</v>
      </c>
      <c r="T353" s="128">
        <f ca="1">IF(OFFSET('IWP15'!UnitsOfServicePeriod2, 3, 16, 1, 1) = "", 0, OFFSET('IWP15'!UnitsOfServicePeriod2, 3, 16, 1, 1))</f>
        <v>0</v>
      </c>
      <c r="U353" s="128">
        <f ca="1">OFFSET('IWP15'!UnitsOfServicePeriod2, 3, 17, 1, 1)</f>
        <v>0</v>
      </c>
      <c r="V353" s="128">
        <f ca="1">IF(OFFSET('IWP15'!UnitsOfServicePeriod2, 3, 19, 1, 1) = "", 0, OFFSET('IWP15'!UnitsOfServicePeriod2, 3, 19, 1, 1))</f>
        <v>0</v>
      </c>
      <c r="W353" s="128">
        <f ca="1">OFFSET('IWP15'!UnitsOfServicePeriod2, 3, 20, 1, 1)</f>
        <v>0</v>
      </c>
      <c r="X353" s="128">
        <f ca="1">IF(OFFSET('IWP15'!UnitsOfServicePeriod2, 3, 21, 1, 1) = "", 0, OFFSET('IWP15'!UnitsOfServicePeriod2, 3, 21, 1, 1))</f>
        <v>0</v>
      </c>
      <c r="Y353" s="137">
        <f ca="1">OFFSET('IWP15'!UnitsOfServicePeriod2, 3, 22, 1, 1)</f>
        <v>0</v>
      </c>
    </row>
    <row r="354" spans="1:25">
      <c r="A354" s="125" t="s">
        <v>488</v>
      </c>
      <c r="B354" s="128">
        <v>2</v>
      </c>
      <c r="C354" s="128">
        <v>5</v>
      </c>
      <c r="D354" s="107">
        <f ca="1">IF(OFFSET('IWP15'!UnitsOfServicePeriod2, 4, 0, 1, 1)=DATE(1900,1,0), DATE(1900,1,1),OFFSET('IWP15'!UnitsOfServicePeriod2, 4, 0, 1, 1))</f>
        <v>1</v>
      </c>
      <c r="E354" s="107">
        <f ca="1">IF(OFFSET('IWP15'!UnitsOfServicePeriod2, 4, 1, 1, 1)=DATE(1900,1,0), DATE(1900,1,1),OFFSET('IWP15'!UnitsOfServicePeriod2, 4, 1, 1, 1))</f>
        <v>1</v>
      </c>
      <c r="F354" s="128">
        <f ca="1">OFFSET('IWP15'!UnitsOfServicePeriod2, 4, 2, 1, 1)</f>
        <v>0</v>
      </c>
      <c r="G354" s="128">
        <f ca="1">IF(OFFSET('IWP15'!UnitsOfServicePeriod2, 4, 3, 1, 1) = "", 0, OFFSET('IWP15'!UnitsOfServicePeriod2, 4, 3, 1, 1))</f>
        <v>0</v>
      </c>
      <c r="H354" s="128">
        <f ca="1">OFFSET('IWP15'!UnitsOfServicePeriod2, 4, 4, 1, 1)</f>
        <v>0</v>
      </c>
      <c r="I354" s="128">
        <f ca="1">IF(OFFSET('IWP15'!UnitsOfServicePeriod2, 4, 5, 1, 1) = "", 0, OFFSET('IWP15'!UnitsOfServicePeriod2, 4, 5, 1, 1))</f>
        <v>0</v>
      </c>
      <c r="J354" s="128">
        <f ca="1">OFFSET('IWP15'!UnitsOfServicePeriod2, 4, 6, 1, 1)</f>
        <v>0</v>
      </c>
      <c r="K354" s="128">
        <f ca="1">IF(OFFSET('IWP15'!UnitsOfServicePeriod2, 4, 7, 1, 1) = "", 0, OFFSET('IWP15'!UnitsOfServicePeriod2, 4, 7, 1, 1))</f>
        <v>0</v>
      </c>
      <c r="L354" s="128">
        <f ca="1">OFFSET('IWP15'!UnitsOfServicePeriod2, 4, 8, 1, 1)</f>
        <v>0</v>
      </c>
      <c r="M354" s="128">
        <f ca="1">IF(OFFSET('IWP15'!UnitsOfServicePeriod2, 4, 9, 1, 1) = "", 0, OFFSET('IWP15'!UnitsOfServicePeriod2, 4, 9, 1, 1))</f>
        <v>0</v>
      </c>
      <c r="N354" s="128">
        <f ca="1">OFFSET('IWP15'!UnitsOfServicePeriod2, 4, 10, 1, 1)</f>
        <v>0</v>
      </c>
      <c r="O354" s="128">
        <f ca="1">IF(OFFSET('IWP15'!UnitsOfServicePeriod2, 4, 11, 1, 1) = "", 0, OFFSET('IWP15'!UnitsOfServicePeriod2, 4, 11, 1, 1))</f>
        <v>0</v>
      </c>
      <c r="P354" s="128">
        <f ca="1">OFFSET('IWP15'!UnitsOfServicePeriod2, 4, 12, 1, 1)</f>
        <v>0</v>
      </c>
      <c r="Q354" s="128">
        <f ca="1">IF(OFFSET('IWP15'!UnitsOfServicePeriod2, 4, 13, 1, 1) = "", 0, OFFSET('IWP15'!UnitsOfServicePeriod2, 4, 13, 1, 1))</f>
        <v>0</v>
      </c>
      <c r="R354" s="128">
        <f ca="1">OFFSET('IWP15'!UnitsOfServicePeriod2, 4, 14, 1, 1)</f>
        <v>0</v>
      </c>
      <c r="S354" s="128">
        <f ca="1">IF(OFFSET('IWP15'!UnitsOfServicePeriod2, 4, 15, 1, 1) = "", 0, OFFSET('IWP15'!UnitsOfServicePeriod2, 4, 15, 1, 1))</f>
        <v>0</v>
      </c>
      <c r="T354" s="128">
        <f ca="1">IF(OFFSET('IWP15'!UnitsOfServicePeriod2, 4, 16, 1, 1) = "", 0, OFFSET('IWP15'!UnitsOfServicePeriod2, 4, 16, 1, 1))</f>
        <v>0</v>
      </c>
      <c r="U354" s="128">
        <f ca="1">OFFSET('IWP15'!UnitsOfServicePeriod2, 4, 17, 1, 1)</f>
        <v>0</v>
      </c>
      <c r="V354" s="128">
        <f ca="1">IF(OFFSET('IWP15'!UnitsOfServicePeriod2, 4, 19, 1, 1) = "", 0, OFFSET('IWP15'!UnitsOfServicePeriod2, 4, 19, 1, 1))</f>
        <v>0</v>
      </c>
      <c r="W354" s="128">
        <f ca="1">OFFSET('IWP15'!UnitsOfServicePeriod2, 4, 20, 1, 1)</f>
        <v>0</v>
      </c>
      <c r="X354" s="128">
        <f ca="1">IF(OFFSET('IWP15'!UnitsOfServicePeriod2, 4, 21, 1, 1) = "", 0, OFFSET('IWP15'!UnitsOfServicePeriod2, 4, 21, 1, 1))</f>
        <v>0</v>
      </c>
      <c r="Y354" s="137">
        <f ca="1">OFFSET('IWP15'!UnitsOfServicePeriod2, 4, 22, 1, 1)</f>
        <v>0</v>
      </c>
    </row>
    <row r="355" spans="1:25">
      <c r="A355" s="125" t="s">
        <v>488</v>
      </c>
      <c r="B355" s="128">
        <v>2</v>
      </c>
      <c r="C355" s="128">
        <v>6</v>
      </c>
      <c r="D355" s="107">
        <f ca="1">IF(OFFSET('IWP15'!UnitsOfServicePeriod2, 5, 0, 1, 1)=DATE(1900,1,0), DATE(1900,1,1),OFFSET('IWP15'!UnitsOfServicePeriod2, 5, 0, 1, 1))</f>
        <v>1</v>
      </c>
      <c r="E355" s="107">
        <f ca="1">IF(OFFSET('IWP15'!UnitsOfServicePeriod2, 5, 1, 1, 1)=DATE(1900,1,0), DATE(1900,1,1),OFFSET('IWP15'!UnitsOfServicePeriod2, 5, 1, 1, 1))</f>
        <v>1</v>
      </c>
      <c r="F355" s="128">
        <f ca="1">OFFSET('IWP15'!UnitsOfServicePeriod2, 5, 2, 1, 1)</f>
        <v>0</v>
      </c>
      <c r="G355" s="128">
        <f ca="1">IF(OFFSET('IWP15'!UnitsOfServicePeriod2, 5, 3, 1, 1) = "", 0, OFFSET('IWP15'!UnitsOfServicePeriod2, 5, 3, 1, 1))</f>
        <v>0</v>
      </c>
      <c r="H355" s="128">
        <f ca="1">OFFSET('IWP15'!UnitsOfServicePeriod2, 5, 4, 1, 1)</f>
        <v>0</v>
      </c>
      <c r="I355" s="128">
        <f ca="1">IF(OFFSET('IWP15'!UnitsOfServicePeriod2, 5, 5, 1, 1) = "", 0, OFFSET('IWP15'!UnitsOfServicePeriod2, 5, 5, 1, 1))</f>
        <v>0</v>
      </c>
      <c r="J355" s="128">
        <f ca="1">OFFSET('IWP15'!UnitsOfServicePeriod2, 5, 6, 1, 1)</f>
        <v>0</v>
      </c>
      <c r="K355" s="128">
        <f ca="1">IF(OFFSET('IWP15'!UnitsOfServicePeriod2, 5, 7, 1, 1) = "", 0, OFFSET('IWP15'!UnitsOfServicePeriod2, 5, 7, 1, 1))</f>
        <v>0</v>
      </c>
      <c r="L355" s="128">
        <f ca="1">OFFSET('IWP15'!UnitsOfServicePeriod2, 5, 8, 1, 1)</f>
        <v>0</v>
      </c>
      <c r="M355" s="128">
        <f ca="1">IF(OFFSET('IWP15'!UnitsOfServicePeriod2, 5, 9, 1, 1) = "", 0, OFFSET('IWP15'!UnitsOfServicePeriod2, 5, 9, 1, 1))</f>
        <v>0</v>
      </c>
      <c r="N355" s="128">
        <f ca="1">OFFSET('IWP15'!UnitsOfServicePeriod2, 5, 10, 1, 1)</f>
        <v>0</v>
      </c>
      <c r="O355" s="128">
        <f ca="1">IF(OFFSET('IWP15'!UnitsOfServicePeriod2, 5, 11, 1, 1) = "", 0, OFFSET('IWP15'!UnitsOfServicePeriod2, 5, 11, 1, 1))</f>
        <v>0</v>
      </c>
      <c r="P355" s="128">
        <f ca="1">OFFSET('IWP15'!UnitsOfServicePeriod2, 5, 12, 1, 1)</f>
        <v>0</v>
      </c>
      <c r="Q355" s="128">
        <f ca="1">IF(OFFSET('IWP15'!UnitsOfServicePeriod2, 5, 13, 1, 1) = "", 0, OFFSET('IWP15'!UnitsOfServicePeriod2, 5, 13, 1, 1))</f>
        <v>0</v>
      </c>
      <c r="R355" s="128">
        <f ca="1">OFFSET('IWP15'!UnitsOfServicePeriod2, 5, 14, 1, 1)</f>
        <v>0</v>
      </c>
      <c r="S355" s="128">
        <f ca="1">IF(OFFSET('IWP15'!UnitsOfServicePeriod2, 5, 15, 1, 1) = "", 0, OFFSET('IWP15'!UnitsOfServicePeriod2, 5, 15, 1, 1))</f>
        <v>0</v>
      </c>
      <c r="T355" s="128">
        <f ca="1">IF(OFFSET('IWP15'!UnitsOfServicePeriod2, 5, 16, 1, 1) = "", 0, OFFSET('IWP15'!UnitsOfServicePeriod2, 5, 16, 1, 1))</f>
        <v>0</v>
      </c>
      <c r="U355" s="128">
        <f ca="1">OFFSET('IWP15'!UnitsOfServicePeriod2, 5, 17, 1, 1)</f>
        <v>0</v>
      </c>
      <c r="V355" s="128">
        <f ca="1">IF(OFFSET('IWP15'!UnitsOfServicePeriod2, 5, 19, 1, 1) = "", 0, OFFSET('IWP15'!UnitsOfServicePeriod2, 5, 19, 1, 1))</f>
        <v>0</v>
      </c>
      <c r="W355" s="128">
        <f ca="1">OFFSET('IWP15'!UnitsOfServicePeriod2, 5, 20, 1, 1)</f>
        <v>0</v>
      </c>
      <c r="X355" s="128">
        <f ca="1">IF(OFFSET('IWP15'!UnitsOfServicePeriod2, 5, 21, 1, 1) = "", 0, OFFSET('IWP15'!UnitsOfServicePeriod2, 5, 21, 1, 1))</f>
        <v>0</v>
      </c>
      <c r="Y355" s="137">
        <f ca="1">OFFSET('IWP15'!UnitsOfServicePeriod2, 5, 22, 1, 1)</f>
        <v>0</v>
      </c>
    </row>
    <row r="356" spans="1:25">
      <c r="A356" s="125" t="s">
        <v>489</v>
      </c>
      <c r="B356" s="128">
        <v>1</v>
      </c>
      <c r="C356" s="128">
        <v>1</v>
      </c>
      <c r="D356" s="107">
        <f ca="1">IF(OFFSET('IWP16'!UnitsOfServicePeriod1, 0, 0, 1, 1)=DATE(1900,1,0), DATE(1900,1,1),OFFSET('IWP16'!UnitsOfServicePeriod1, 0, 0, 1, 1))</f>
        <v>1</v>
      </c>
      <c r="E356" s="107">
        <f ca="1">IF(OFFSET('IWP16'!UnitsOfServicePeriod1, 0, 1, 1, 1)=DATE(1900,1,0), DATE(1900,1,1),OFFSET('IWP16'!UnitsOfServicePeriod1, 0, 1, 1, 1))</f>
        <v>1</v>
      </c>
      <c r="F356" s="128">
        <f ca="1">OFFSET('IWP16'!UnitsOfServicePeriod1, 0, 2, 1, 1)</f>
        <v>0</v>
      </c>
      <c r="G356" s="128">
        <f ca="1">IF(OFFSET('IWP16'!UnitsOfServicePeriod1, 0, 3, 1, 1) = "", 0, OFFSET('IWP16'!UnitsOfServicePeriod1, 0, 3, 1, 1))</f>
        <v>0</v>
      </c>
      <c r="H356" s="128">
        <f ca="1">OFFSET('IWP16'!UnitsOfServicePeriod1, 0, 4, 1, 1)</f>
        <v>0</v>
      </c>
      <c r="I356" s="128">
        <f ca="1">IF(OFFSET('IWP16'!UnitsOfServicePeriod1, 0, 5, 1, 1) = "", 0, OFFSET('IWP16'!UnitsOfServicePeriod1, 0, 5, 1, 1))</f>
        <v>0</v>
      </c>
      <c r="J356" s="128">
        <f ca="1">OFFSET('IWP16'!UnitsOfServicePeriod1, 0, 6, 1, 1)</f>
        <v>0</v>
      </c>
      <c r="K356" s="128">
        <f ca="1">IF(OFFSET('IWP16'!UnitsOfServicePeriod1, 0, 7, 1, 1) = "", 0, OFFSET('IWP16'!UnitsOfServicePeriod1, 0, 7, 1, 1))</f>
        <v>0</v>
      </c>
      <c r="L356" s="128">
        <f ca="1">OFFSET('IWP16'!UnitsOfServicePeriod1, 0, 8, 1, 1)</f>
        <v>0</v>
      </c>
      <c r="M356" s="128">
        <f ca="1">IF(OFFSET('IWP16'!UnitsOfServicePeriod1, 0, 9, 1, 1) = "", 0, OFFSET('IWP16'!UnitsOfServicePeriod1, 0, 9, 1, 1))</f>
        <v>0</v>
      </c>
      <c r="N356" s="128">
        <f ca="1">OFFSET('IWP16'!UnitsOfServicePeriod1, 0, 10, 1, 1)</f>
        <v>0</v>
      </c>
      <c r="O356" s="128">
        <f ca="1">IF(OFFSET('IWP16'!UnitsOfServicePeriod1, 0, 11, 1, 1) = "", 0, OFFSET('IWP16'!UnitsOfServicePeriod1, 0, 11, 1, 1))</f>
        <v>0</v>
      </c>
      <c r="P356" s="128">
        <f ca="1">OFFSET('IWP16'!UnitsOfServicePeriod1, 0, 12, 1, 1)</f>
        <v>0</v>
      </c>
      <c r="Q356" s="128">
        <f ca="1">IF(OFFSET('IWP16'!UnitsOfServicePeriod1, 0, 13, 1, 1) = "", 0, OFFSET('IWP16'!UnitsOfServicePeriod1, 0, 13, 1, 1))</f>
        <v>0</v>
      </c>
      <c r="R356" s="128">
        <f ca="1">OFFSET('IWP16'!UnitsOfServicePeriod1, 0, 14, 1, 1)</f>
        <v>0</v>
      </c>
      <c r="S356" s="128">
        <f ca="1">IF(OFFSET('IWP16'!UnitsOfServicePeriod1, 0, 15, 1, 1) = "", 0, OFFSET('IWP16'!UnitsOfServicePeriod1, 0, 15, 1, 1))</f>
        <v>0</v>
      </c>
      <c r="T356" s="128">
        <f ca="1">IF(OFFSET('IWP16'!UnitsOfServicePeriod1, 0, 16, 1, 1) = "", 0, OFFSET('IWP16'!UnitsOfServicePeriod1, 0, 16, 1, 1))</f>
        <v>0</v>
      </c>
      <c r="U356" s="128">
        <f ca="1">OFFSET('IWP16'!UnitsOfServicePeriod1, 0, 17, 1, 1)</f>
        <v>0</v>
      </c>
      <c r="V356" s="128">
        <f ca="1">IF(OFFSET('IWP16'!UnitsOfServicePeriod1, 0, 19, 1, 1) = "", 0, OFFSET('IWP16'!UnitsOfServicePeriod1, 0, 19, 1, 1))</f>
        <v>0</v>
      </c>
      <c r="W356" s="128">
        <f ca="1">OFFSET('IWP16'!UnitsOfServicePeriod1, 0, 20, 1, 1)</f>
        <v>0</v>
      </c>
      <c r="X356" s="128">
        <f ca="1">IF(OFFSET('IWP16'!UnitsOfServicePeriod1, 0, 21, 1, 1) = "", 0, OFFSET('IWP16'!UnitsOfServicePeriod1, 0, 21, 1, 1))</f>
        <v>0</v>
      </c>
      <c r="Y356" s="137">
        <f ca="1">OFFSET('IWP16'!UnitsOfServicePeriod1, 0, 22, 1, 1)</f>
        <v>0</v>
      </c>
    </row>
    <row r="357" spans="1:25">
      <c r="A357" s="125" t="s">
        <v>489</v>
      </c>
      <c r="B357" s="128">
        <v>1</v>
      </c>
      <c r="C357" s="128">
        <v>2</v>
      </c>
      <c r="D357" s="107">
        <f ca="1">IF(OFFSET('IWP16'!UnitsOfServicePeriod1, 1, 0, 1, 1)=DATE(1900,1,0), DATE(1900,1,1),OFFSET('IWP16'!UnitsOfServicePeriod1, 1, 0, 1, 1))</f>
        <v>1</v>
      </c>
      <c r="E357" s="107">
        <f ca="1">IF(OFFSET('IWP16'!UnitsOfServicePeriod1, 1, 1, 1, 1)=DATE(1900,1,0), DATE(1900,1,1),OFFSET('IWP16'!UnitsOfServicePeriod1, 1, 1, 1, 1))</f>
        <v>1</v>
      </c>
      <c r="F357" s="128">
        <f ca="1">OFFSET('IWP16'!UnitsOfServicePeriod1, 1, 2, 1, 1)</f>
        <v>0</v>
      </c>
      <c r="G357" s="128">
        <f ca="1">IF(OFFSET('IWP16'!UnitsOfServicePeriod1, 1, 3, 1, 1) = "", 0, OFFSET('IWP16'!UnitsOfServicePeriod1, 1, 3, 1, 1))</f>
        <v>0</v>
      </c>
      <c r="H357" s="128">
        <f ca="1">OFFSET('IWP16'!UnitsOfServicePeriod1, 1, 4, 1, 1)</f>
        <v>0</v>
      </c>
      <c r="I357" s="128">
        <f ca="1">IF(OFFSET('IWP16'!UnitsOfServicePeriod1, 1, 5, 1, 1) = "", 0, OFFSET('IWP16'!UnitsOfServicePeriod1, 1, 5, 1, 1))</f>
        <v>0</v>
      </c>
      <c r="J357" s="128">
        <f ca="1">OFFSET('IWP16'!UnitsOfServicePeriod1, 1, 6, 1, 1)</f>
        <v>0</v>
      </c>
      <c r="K357" s="128">
        <f ca="1">IF(OFFSET('IWP16'!UnitsOfServicePeriod1, 1, 7, 1, 1) = "", 0, OFFSET('IWP16'!UnitsOfServicePeriod1, 1, 7, 1, 1))</f>
        <v>0</v>
      </c>
      <c r="L357" s="128">
        <f ca="1">OFFSET('IWP16'!UnitsOfServicePeriod1, 1, 8, 1, 1)</f>
        <v>0</v>
      </c>
      <c r="M357" s="128">
        <f ca="1">IF(OFFSET('IWP16'!UnitsOfServicePeriod1, 1, 9, 1, 1) = "", 0, OFFSET('IWP16'!UnitsOfServicePeriod1, 1, 9, 1, 1))</f>
        <v>0</v>
      </c>
      <c r="N357" s="128">
        <f ca="1">OFFSET('IWP16'!UnitsOfServicePeriod1, 1, 10, 1, 1)</f>
        <v>0</v>
      </c>
      <c r="O357" s="128">
        <f ca="1">IF(OFFSET('IWP16'!UnitsOfServicePeriod1, 1, 11, 1, 1) = "", 0, OFFSET('IWP16'!UnitsOfServicePeriod1, 1, 11, 1, 1))</f>
        <v>0</v>
      </c>
      <c r="P357" s="128">
        <f ca="1">OFFSET('IWP16'!UnitsOfServicePeriod1, 1, 12, 1, 1)</f>
        <v>0</v>
      </c>
      <c r="Q357" s="128">
        <f ca="1">IF(OFFSET('IWP16'!UnitsOfServicePeriod1, 1, 13, 1, 1) = "", 0, OFFSET('IWP16'!UnitsOfServicePeriod1, 1, 13, 1, 1))</f>
        <v>0</v>
      </c>
      <c r="R357" s="128">
        <f ca="1">OFFSET('IWP16'!UnitsOfServicePeriod1, 1, 14, 1, 1)</f>
        <v>0</v>
      </c>
      <c r="S357" s="128">
        <f ca="1">IF(OFFSET('IWP16'!UnitsOfServicePeriod1, 1, 15, 1, 1) = "", 0, OFFSET('IWP16'!UnitsOfServicePeriod1, 1, 15, 1, 1))</f>
        <v>0</v>
      </c>
      <c r="T357" s="128">
        <f ca="1">IF(OFFSET('IWP16'!UnitsOfServicePeriod1, 1, 16, 1, 1) = "", 0, OFFSET('IWP16'!UnitsOfServicePeriod1, 1, 16, 1, 1))</f>
        <v>0</v>
      </c>
      <c r="U357" s="128">
        <f ca="1">OFFSET('IWP16'!UnitsOfServicePeriod1, 1, 17, 1, 1)</f>
        <v>0</v>
      </c>
      <c r="V357" s="128">
        <f ca="1">IF(OFFSET('IWP16'!UnitsOfServicePeriod1, 1, 19, 1, 1) = "", 0, OFFSET('IWP16'!UnitsOfServicePeriod1, 1, 19, 1, 1))</f>
        <v>0</v>
      </c>
      <c r="W357" s="128">
        <f ca="1">OFFSET('IWP16'!UnitsOfServicePeriod1, 1, 20, 1, 1)</f>
        <v>0</v>
      </c>
      <c r="X357" s="128">
        <f ca="1">IF(OFFSET('IWP16'!UnitsOfServicePeriod1, 1, 21, 1, 1) = "", 0, OFFSET('IWP16'!UnitsOfServicePeriod1, 1, 21, 1, 1))</f>
        <v>0</v>
      </c>
      <c r="Y357" s="137">
        <f ca="1">OFFSET('IWP16'!UnitsOfServicePeriod1, 1, 22, 1, 1)</f>
        <v>0</v>
      </c>
    </row>
    <row r="358" spans="1:25">
      <c r="A358" s="125" t="s">
        <v>489</v>
      </c>
      <c r="B358" s="128">
        <v>1</v>
      </c>
      <c r="C358" s="128">
        <v>3</v>
      </c>
      <c r="D358" s="107">
        <f ca="1">IF(OFFSET('IWP16'!UnitsOfServicePeriod1, 2, 0, 1, 1)=DATE(1900,1,0), DATE(1900,1,1),OFFSET('IWP16'!UnitsOfServicePeriod1, 2, 0, 1, 1))</f>
        <v>1</v>
      </c>
      <c r="E358" s="107">
        <f ca="1">IF(OFFSET('IWP16'!UnitsOfServicePeriod1, 2, 1, 1, 1)=DATE(1900,1,0), DATE(1900,1,1),OFFSET('IWP16'!UnitsOfServicePeriod1, 2, 1, 1, 1))</f>
        <v>1</v>
      </c>
      <c r="F358" s="128">
        <f ca="1">OFFSET('IWP16'!UnitsOfServicePeriod1, 2, 2, 1, 1)</f>
        <v>0</v>
      </c>
      <c r="G358" s="128">
        <f ca="1">IF(OFFSET('IWP16'!UnitsOfServicePeriod1, 2, 3, 1, 1) = "", 0, OFFSET('IWP16'!UnitsOfServicePeriod1, 2, 3, 1, 1))</f>
        <v>0</v>
      </c>
      <c r="H358" s="128">
        <f ca="1">OFFSET('IWP16'!UnitsOfServicePeriod1, 2, 4, 1, 1)</f>
        <v>0</v>
      </c>
      <c r="I358" s="128">
        <f ca="1">IF(OFFSET('IWP16'!UnitsOfServicePeriod1, 2, 5, 1, 1) = "", 0, OFFSET('IWP16'!UnitsOfServicePeriod1, 2, 5, 1, 1))</f>
        <v>0</v>
      </c>
      <c r="J358" s="128">
        <f ca="1">OFFSET('IWP16'!UnitsOfServicePeriod1, 2, 6, 1, 1)</f>
        <v>0</v>
      </c>
      <c r="K358" s="128">
        <f ca="1">IF(OFFSET('IWP16'!UnitsOfServicePeriod1, 2, 7, 1, 1) = "", 0, OFFSET('IWP16'!UnitsOfServicePeriod1, 2, 7, 1, 1))</f>
        <v>0</v>
      </c>
      <c r="L358" s="128">
        <f ca="1">OFFSET('IWP16'!UnitsOfServicePeriod1, 2, 8, 1, 1)</f>
        <v>0</v>
      </c>
      <c r="M358" s="128">
        <f ca="1">IF(OFFSET('IWP16'!UnitsOfServicePeriod1, 2, 9, 1, 1) = "", 0, OFFSET('IWP16'!UnitsOfServicePeriod1, 2, 9, 1, 1))</f>
        <v>0</v>
      </c>
      <c r="N358" s="128">
        <f ca="1">OFFSET('IWP16'!UnitsOfServicePeriod1, 2, 10, 1, 1)</f>
        <v>0</v>
      </c>
      <c r="O358" s="128">
        <f ca="1">IF(OFFSET('IWP16'!UnitsOfServicePeriod1, 2, 11, 1, 1) = "", 0, OFFSET('IWP16'!UnitsOfServicePeriod1, 2, 11, 1, 1))</f>
        <v>0</v>
      </c>
      <c r="P358" s="128">
        <f ca="1">OFFSET('IWP16'!UnitsOfServicePeriod1, 2, 12, 1, 1)</f>
        <v>0</v>
      </c>
      <c r="Q358" s="128">
        <f ca="1">IF(OFFSET('IWP16'!UnitsOfServicePeriod1, 2, 13, 1, 1) = "", 0, OFFSET('IWP16'!UnitsOfServicePeriod1, 2, 13, 1, 1))</f>
        <v>0</v>
      </c>
      <c r="R358" s="128">
        <f ca="1">OFFSET('IWP16'!UnitsOfServicePeriod1, 2, 14, 1, 1)</f>
        <v>0</v>
      </c>
      <c r="S358" s="128">
        <f ca="1">IF(OFFSET('IWP16'!UnitsOfServicePeriod1, 2, 15, 1, 1) = "", 0, OFFSET('IWP16'!UnitsOfServicePeriod1, 2, 15, 1, 1))</f>
        <v>0</v>
      </c>
      <c r="T358" s="128">
        <f ca="1">IF(OFFSET('IWP16'!UnitsOfServicePeriod1, 2, 16, 1, 1) = "", 0, OFFSET('IWP16'!UnitsOfServicePeriod1, 2, 16, 1, 1))</f>
        <v>0</v>
      </c>
      <c r="U358" s="128">
        <f ca="1">OFFSET('IWP16'!UnitsOfServicePeriod1, 2, 17, 1, 1)</f>
        <v>0</v>
      </c>
      <c r="V358" s="128">
        <f ca="1">IF(OFFSET('IWP16'!UnitsOfServicePeriod1, 2, 19, 1, 1) = "", 0, OFFSET('IWP16'!UnitsOfServicePeriod1, 2, 19, 1, 1))</f>
        <v>0</v>
      </c>
      <c r="W358" s="128">
        <f ca="1">OFFSET('IWP16'!UnitsOfServicePeriod1, 2, 20, 1, 1)</f>
        <v>0</v>
      </c>
      <c r="X358" s="128">
        <f ca="1">IF(OFFSET('IWP16'!UnitsOfServicePeriod1, 2, 21, 1, 1) = "", 0, OFFSET('IWP16'!UnitsOfServicePeriod1, 2, 21, 1, 1))</f>
        <v>0</v>
      </c>
      <c r="Y358" s="137">
        <f ca="1">OFFSET('IWP16'!UnitsOfServicePeriod1, 2, 22, 1, 1)</f>
        <v>0</v>
      </c>
    </row>
    <row r="359" spans="1:25">
      <c r="A359" s="125" t="s">
        <v>489</v>
      </c>
      <c r="B359" s="128">
        <v>1</v>
      </c>
      <c r="C359" s="128">
        <v>4</v>
      </c>
      <c r="D359" s="107">
        <f ca="1">IF(OFFSET('IWP16'!UnitsOfServicePeriod1, 3, 0, 1, 1)=DATE(1900,1,0), DATE(1900,1,1),OFFSET('IWP16'!UnitsOfServicePeriod1, 3, 0, 1, 1))</f>
        <v>1</v>
      </c>
      <c r="E359" s="107">
        <f ca="1">IF(OFFSET('IWP16'!UnitsOfServicePeriod1, 3, 1, 1, 1)=DATE(1900,1,0), DATE(1900,1,1),OFFSET('IWP16'!UnitsOfServicePeriod1, 3, 1, 1, 1))</f>
        <v>1</v>
      </c>
      <c r="F359" s="128">
        <f ca="1">OFFSET('IWP16'!UnitsOfServicePeriod1, 3, 2, 1, 1)</f>
        <v>0</v>
      </c>
      <c r="G359" s="128">
        <f ca="1">IF(OFFSET('IWP16'!UnitsOfServicePeriod1, 3, 3, 1, 1) = "", 0, OFFSET('IWP16'!UnitsOfServicePeriod1, 3, 3, 1, 1))</f>
        <v>0</v>
      </c>
      <c r="H359" s="128">
        <f ca="1">OFFSET('IWP16'!UnitsOfServicePeriod1, 3, 4, 1, 1)</f>
        <v>0</v>
      </c>
      <c r="I359" s="128">
        <f ca="1">IF(OFFSET('IWP16'!UnitsOfServicePeriod1, 3, 5, 1, 1) = "", 0, OFFSET('IWP16'!UnitsOfServicePeriod1, 3, 5, 1, 1))</f>
        <v>0</v>
      </c>
      <c r="J359" s="128">
        <f ca="1">OFFSET('IWP16'!UnitsOfServicePeriod1, 3, 6, 1, 1)</f>
        <v>0</v>
      </c>
      <c r="K359" s="128">
        <f ca="1">IF(OFFSET('IWP16'!UnitsOfServicePeriod1, 3, 7, 1, 1) = "", 0, OFFSET('IWP16'!UnitsOfServicePeriod1, 3, 7, 1, 1))</f>
        <v>0</v>
      </c>
      <c r="L359" s="128">
        <f ca="1">OFFSET('IWP16'!UnitsOfServicePeriod1, 3, 8, 1, 1)</f>
        <v>0</v>
      </c>
      <c r="M359" s="128">
        <f ca="1">IF(OFFSET('IWP16'!UnitsOfServicePeriod1, 3, 9, 1, 1) = "", 0, OFFSET('IWP16'!UnitsOfServicePeriod1, 3, 9, 1, 1))</f>
        <v>0</v>
      </c>
      <c r="N359" s="128">
        <f ca="1">OFFSET('IWP16'!UnitsOfServicePeriod1, 3, 10, 1, 1)</f>
        <v>0</v>
      </c>
      <c r="O359" s="128">
        <f ca="1">IF(OFFSET('IWP16'!UnitsOfServicePeriod1, 3, 11, 1, 1) = "", 0, OFFSET('IWP16'!UnitsOfServicePeriod1, 3, 11, 1, 1))</f>
        <v>0</v>
      </c>
      <c r="P359" s="128">
        <f ca="1">OFFSET('IWP16'!UnitsOfServicePeriod1, 3, 12, 1, 1)</f>
        <v>0</v>
      </c>
      <c r="Q359" s="128">
        <f ca="1">IF(OFFSET('IWP16'!UnitsOfServicePeriod1, 3, 13, 1, 1) = "", 0, OFFSET('IWP16'!UnitsOfServicePeriod1, 3, 13, 1, 1))</f>
        <v>0</v>
      </c>
      <c r="R359" s="128">
        <f ca="1">OFFSET('IWP16'!UnitsOfServicePeriod1, 3, 14, 1, 1)</f>
        <v>0</v>
      </c>
      <c r="S359" s="128">
        <f ca="1">IF(OFFSET('IWP16'!UnitsOfServicePeriod1, 3, 15, 1, 1) = "", 0, OFFSET('IWP16'!UnitsOfServicePeriod1, 3, 15, 1, 1))</f>
        <v>0</v>
      </c>
      <c r="T359" s="128">
        <f ca="1">IF(OFFSET('IWP16'!UnitsOfServicePeriod1, 3, 16, 1, 1) = "", 0, OFFSET('IWP16'!UnitsOfServicePeriod1, 3, 16, 1, 1))</f>
        <v>0</v>
      </c>
      <c r="U359" s="128">
        <f ca="1">OFFSET('IWP16'!UnitsOfServicePeriod1, 3, 17, 1, 1)</f>
        <v>0</v>
      </c>
      <c r="V359" s="128">
        <f ca="1">IF(OFFSET('IWP16'!UnitsOfServicePeriod1, 3, 19, 1, 1) = "", 0, OFFSET('IWP16'!UnitsOfServicePeriod1, 3, 19, 1, 1))</f>
        <v>0</v>
      </c>
      <c r="W359" s="128">
        <f ca="1">OFFSET('IWP16'!UnitsOfServicePeriod1, 3, 20, 1, 1)</f>
        <v>0</v>
      </c>
      <c r="X359" s="128">
        <f ca="1">IF(OFFSET('IWP16'!UnitsOfServicePeriod1, 3, 21, 1, 1) = "", 0, OFFSET('IWP16'!UnitsOfServicePeriod1, 3, 21, 1, 1))</f>
        <v>0</v>
      </c>
      <c r="Y359" s="137">
        <f ca="1">OFFSET('IWP16'!UnitsOfServicePeriod1, 3, 22, 1, 1)</f>
        <v>0</v>
      </c>
    </row>
    <row r="360" spans="1:25">
      <c r="A360" s="125" t="s">
        <v>489</v>
      </c>
      <c r="B360" s="128">
        <v>1</v>
      </c>
      <c r="C360" s="128">
        <v>5</v>
      </c>
      <c r="D360" s="107">
        <f ca="1">IF(OFFSET('IWP16'!UnitsOfServicePeriod1, 4, 0, 1, 1)=DATE(1900,1,0), DATE(1900,1,1),OFFSET('IWP16'!UnitsOfServicePeriod1, 4, 0, 1, 1))</f>
        <v>1</v>
      </c>
      <c r="E360" s="107">
        <f ca="1">IF(OFFSET('IWP16'!UnitsOfServicePeriod1, 4, 1, 1, 1)=DATE(1900,1,0), DATE(1900,1,1),OFFSET('IWP16'!UnitsOfServicePeriod1, 4, 1, 1, 1))</f>
        <v>1</v>
      </c>
      <c r="F360" s="128">
        <f ca="1">OFFSET('IWP16'!UnitsOfServicePeriod1, 4, 2, 1, 1)</f>
        <v>0</v>
      </c>
      <c r="G360" s="128">
        <f ca="1">IF(OFFSET('IWP16'!UnitsOfServicePeriod1, 4, 3, 1, 1) = "", 0, OFFSET('IWP16'!UnitsOfServicePeriod1, 4, 3, 1, 1))</f>
        <v>0</v>
      </c>
      <c r="H360" s="128">
        <f ca="1">OFFSET('IWP16'!UnitsOfServicePeriod1, 4, 4, 1, 1)</f>
        <v>0</v>
      </c>
      <c r="I360" s="128">
        <f ca="1">IF(OFFSET('IWP16'!UnitsOfServicePeriod1, 4, 5, 1, 1) = "", 0, OFFSET('IWP16'!UnitsOfServicePeriod1, 4, 5, 1, 1))</f>
        <v>0</v>
      </c>
      <c r="J360" s="128">
        <f ca="1">OFFSET('IWP16'!UnitsOfServicePeriod1, 4, 6, 1, 1)</f>
        <v>0</v>
      </c>
      <c r="K360" s="128">
        <f ca="1">IF(OFFSET('IWP16'!UnitsOfServicePeriod1, 4, 7, 1, 1) = "", 0, OFFSET('IWP16'!UnitsOfServicePeriod1, 4, 7, 1, 1))</f>
        <v>0</v>
      </c>
      <c r="L360" s="128">
        <f ca="1">OFFSET('IWP16'!UnitsOfServicePeriod1, 4, 8, 1, 1)</f>
        <v>0</v>
      </c>
      <c r="M360" s="128">
        <f ca="1">IF(OFFSET('IWP16'!UnitsOfServicePeriod1, 4, 9, 1, 1) = "", 0, OFFSET('IWP16'!UnitsOfServicePeriod1, 4, 9, 1, 1))</f>
        <v>0</v>
      </c>
      <c r="N360" s="128">
        <f ca="1">OFFSET('IWP16'!UnitsOfServicePeriod1, 4, 10, 1, 1)</f>
        <v>0</v>
      </c>
      <c r="O360" s="128">
        <f ca="1">IF(OFFSET('IWP16'!UnitsOfServicePeriod1, 4, 11, 1, 1) = "", 0, OFFSET('IWP16'!UnitsOfServicePeriod1, 4, 11, 1, 1))</f>
        <v>0</v>
      </c>
      <c r="P360" s="128">
        <f ca="1">OFFSET('IWP16'!UnitsOfServicePeriod1, 4, 12, 1, 1)</f>
        <v>0</v>
      </c>
      <c r="Q360" s="128">
        <f ca="1">IF(OFFSET('IWP16'!UnitsOfServicePeriod1, 4, 13, 1, 1) = "", 0, OFFSET('IWP16'!UnitsOfServicePeriod1, 4, 13, 1, 1))</f>
        <v>0</v>
      </c>
      <c r="R360" s="128">
        <f ca="1">OFFSET('IWP16'!UnitsOfServicePeriod1, 4, 14, 1, 1)</f>
        <v>0</v>
      </c>
      <c r="S360" s="128">
        <f ca="1">IF(OFFSET('IWP16'!UnitsOfServicePeriod1, 4, 15, 1, 1) = "", 0, OFFSET('IWP16'!UnitsOfServicePeriod1, 4, 15, 1, 1))</f>
        <v>0</v>
      </c>
      <c r="T360" s="128">
        <f ca="1">IF(OFFSET('IWP16'!UnitsOfServicePeriod1, 4, 16, 1, 1) = "", 0, OFFSET('IWP16'!UnitsOfServicePeriod1, 4, 16, 1, 1))</f>
        <v>0</v>
      </c>
      <c r="U360" s="128">
        <f ca="1">OFFSET('IWP16'!UnitsOfServicePeriod1, 4, 17, 1, 1)</f>
        <v>0</v>
      </c>
      <c r="V360" s="128">
        <f ca="1">IF(OFFSET('IWP16'!UnitsOfServicePeriod1, 4, 19, 1, 1) = "", 0, OFFSET('IWP16'!UnitsOfServicePeriod1, 4, 19, 1, 1))</f>
        <v>0</v>
      </c>
      <c r="W360" s="128">
        <f ca="1">OFFSET('IWP16'!UnitsOfServicePeriod1, 4, 20, 1, 1)</f>
        <v>0</v>
      </c>
      <c r="X360" s="128">
        <f ca="1">IF(OFFSET('IWP16'!UnitsOfServicePeriod1, 4, 21, 1, 1) = "", 0, OFFSET('IWP16'!UnitsOfServicePeriod1, 4, 21, 1, 1))</f>
        <v>0</v>
      </c>
      <c r="Y360" s="137">
        <f ca="1">OFFSET('IWP16'!UnitsOfServicePeriod1, 4, 22, 1, 1)</f>
        <v>0</v>
      </c>
    </row>
    <row r="361" spans="1:25">
      <c r="A361" s="125" t="s">
        <v>489</v>
      </c>
      <c r="B361" s="128">
        <v>1</v>
      </c>
      <c r="C361" s="128">
        <v>6</v>
      </c>
      <c r="D361" s="107">
        <f ca="1">IF(OFFSET('IWP16'!UnitsOfServicePeriod1, 5, 0, 1, 1)=DATE(1900,1,0), DATE(1900,1,1),OFFSET('IWP16'!UnitsOfServicePeriod1, 5, 0, 1, 1))</f>
        <v>1</v>
      </c>
      <c r="E361" s="107">
        <f ca="1">IF(OFFSET('IWP16'!UnitsOfServicePeriod1, 5, 1, 1, 1)=DATE(1900,1,0), DATE(1900,1,1),OFFSET('IWP16'!UnitsOfServicePeriod1, 5, 1, 1, 1))</f>
        <v>1</v>
      </c>
      <c r="F361" s="128">
        <f ca="1">OFFSET('IWP16'!UnitsOfServicePeriod1, 5, 2, 1, 1)</f>
        <v>0</v>
      </c>
      <c r="G361" s="128">
        <f ca="1">IF(OFFSET('IWP16'!UnitsOfServicePeriod1, 5, 3, 1, 1) = "", 0, OFFSET('IWP16'!UnitsOfServicePeriod1, 5, 3, 1, 1))</f>
        <v>0</v>
      </c>
      <c r="H361" s="128">
        <f ca="1">OFFSET('IWP16'!UnitsOfServicePeriod1, 5, 4, 1, 1)</f>
        <v>0</v>
      </c>
      <c r="I361" s="128">
        <f ca="1">IF(OFFSET('IWP16'!UnitsOfServicePeriod1, 5, 5, 1, 1) = "", 0, OFFSET('IWP16'!UnitsOfServicePeriod1, 5, 5, 1, 1))</f>
        <v>0</v>
      </c>
      <c r="J361" s="128">
        <f ca="1">OFFSET('IWP16'!UnitsOfServicePeriod1, 5, 6, 1, 1)</f>
        <v>0</v>
      </c>
      <c r="K361" s="128">
        <f ca="1">IF(OFFSET('IWP16'!UnitsOfServicePeriod1, 5, 7, 1, 1) = "", 0, OFFSET('IWP16'!UnitsOfServicePeriod1, 5, 7, 1, 1))</f>
        <v>0</v>
      </c>
      <c r="L361" s="128">
        <f ca="1">OFFSET('IWP16'!UnitsOfServicePeriod1, 5, 8, 1, 1)</f>
        <v>0</v>
      </c>
      <c r="M361" s="128">
        <f ca="1">IF(OFFSET('IWP16'!UnitsOfServicePeriod1, 5, 9, 1, 1) = "", 0, OFFSET('IWP16'!UnitsOfServicePeriod1, 5, 9, 1, 1))</f>
        <v>0</v>
      </c>
      <c r="N361" s="128">
        <f ca="1">OFFSET('IWP16'!UnitsOfServicePeriod1, 5, 10, 1, 1)</f>
        <v>0</v>
      </c>
      <c r="O361" s="128">
        <f ca="1">IF(OFFSET('IWP16'!UnitsOfServicePeriod1, 5, 11, 1, 1) = "", 0, OFFSET('IWP16'!UnitsOfServicePeriod1, 5, 11, 1, 1))</f>
        <v>0</v>
      </c>
      <c r="P361" s="128">
        <f ca="1">OFFSET('IWP16'!UnitsOfServicePeriod1, 5, 12, 1, 1)</f>
        <v>0</v>
      </c>
      <c r="Q361" s="128">
        <f ca="1">IF(OFFSET('IWP16'!UnitsOfServicePeriod1, 5, 13, 1, 1) = "", 0, OFFSET('IWP16'!UnitsOfServicePeriod1, 5, 13, 1, 1))</f>
        <v>0</v>
      </c>
      <c r="R361" s="128">
        <f ca="1">OFFSET('IWP16'!UnitsOfServicePeriod1, 5, 14, 1, 1)</f>
        <v>0</v>
      </c>
      <c r="S361" s="128">
        <f ca="1">IF(OFFSET('IWP16'!UnitsOfServicePeriod1, 5, 15, 1, 1) = "", 0, OFFSET('IWP16'!UnitsOfServicePeriod1, 5, 15, 1, 1))</f>
        <v>0</v>
      </c>
      <c r="T361" s="128">
        <f ca="1">IF(OFFSET('IWP16'!UnitsOfServicePeriod1, 5, 16, 1, 1) = "", 0, OFFSET('IWP16'!UnitsOfServicePeriod1, 5, 16, 1, 1))</f>
        <v>0</v>
      </c>
      <c r="U361" s="128">
        <f ca="1">OFFSET('IWP16'!UnitsOfServicePeriod1, 5, 17, 1, 1)</f>
        <v>0</v>
      </c>
      <c r="V361" s="128">
        <f ca="1">IF(OFFSET('IWP16'!UnitsOfServicePeriod1, 5, 19, 1, 1) = "", 0, OFFSET('IWP16'!UnitsOfServicePeriod1, 5, 19, 1, 1))</f>
        <v>0</v>
      </c>
      <c r="W361" s="128">
        <f ca="1">OFFSET('IWP16'!UnitsOfServicePeriod1, 5, 20, 1, 1)</f>
        <v>0</v>
      </c>
      <c r="X361" s="128">
        <f ca="1">IF(OFFSET('IWP16'!UnitsOfServicePeriod1, 5, 21, 1, 1) = "", 0, OFFSET('IWP16'!UnitsOfServicePeriod1, 5, 21, 1, 1))</f>
        <v>0</v>
      </c>
      <c r="Y361" s="137">
        <f ca="1">OFFSET('IWP16'!UnitsOfServicePeriod1, 5, 22, 1, 1)</f>
        <v>0</v>
      </c>
    </row>
    <row r="362" spans="1:25">
      <c r="A362" s="125" t="s">
        <v>489</v>
      </c>
      <c r="B362" s="128">
        <v>2</v>
      </c>
      <c r="C362" s="128">
        <v>1</v>
      </c>
      <c r="D362" s="107">
        <f ca="1">IF(OFFSET('IWP16'!UnitsOfServicePeriod2, 0, 0, 1, 1)=DATE(1900,1,0), DATE(1900,1,1),OFFSET('IWP16'!UnitsOfServicePeriod2, 0, 0, 1, 1))</f>
        <v>1</v>
      </c>
      <c r="E362" s="107">
        <f ca="1">IF(OFFSET('IWP16'!UnitsOfServicePeriod2, 0, 1, 1, 1)=DATE(1900,1,0), DATE(1900,1,1),OFFSET('IWP16'!UnitsOfServicePeriod2, 0, 1, 1, 1))</f>
        <v>1</v>
      </c>
      <c r="F362" s="128">
        <f ca="1">OFFSET('IWP16'!UnitsOfServicePeriod2, 0, 2, 1, 1)</f>
        <v>0</v>
      </c>
      <c r="G362" s="128">
        <f ca="1">IF(OFFSET('IWP16'!UnitsOfServicePeriod2, 0, 3, 1, 1) = "", 0, OFFSET('IWP16'!UnitsOfServicePeriod2, 0, 3, 1, 1))</f>
        <v>0</v>
      </c>
      <c r="H362" s="128">
        <f ca="1">OFFSET('IWP16'!UnitsOfServicePeriod2, 0, 4, 1, 1)</f>
        <v>0</v>
      </c>
      <c r="I362" s="128">
        <f ca="1">IF(OFFSET('IWP16'!UnitsOfServicePeriod2, 0, 5, 1, 1) = "", 0, OFFSET('IWP16'!UnitsOfServicePeriod2, 0, 5, 1, 1))</f>
        <v>0</v>
      </c>
      <c r="J362" s="128">
        <f ca="1">OFFSET('IWP16'!UnitsOfServicePeriod2, 0, 6, 1, 1)</f>
        <v>0</v>
      </c>
      <c r="K362" s="128">
        <f ca="1">IF(OFFSET('IWP16'!UnitsOfServicePeriod2, 0, 7, 1, 1) = "", 0, OFFSET('IWP16'!UnitsOfServicePeriod2, 0, 7, 1, 1))</f>
        <v>0</v>
      </c>
      <c r="L362" s="128">
        <f ca="1">OFFSET('IWP16'!UnitsOfServicePeriod2, 0, 8, 1, 1)</f>
        <v>0</v>
      </c>
      <c r="M362" s="128">
        <f ca="1">IF(OFFSET('IWP16'!UnitsOfServicePeriod2, 0, 9, 1, 1) = "", 0, OFFSET('IWP16'!UnitsOfServicePeriod2, 0, 9, 1, 1))</f>
        <v>0</v>
      </c>
      <c r="N362" s="128">
        <f ca="1">OFFSET('IWP16'!UnitsOfServicePeriod2, 0, 10, 1, 1)</f>
        <v>0</v>
      </c>
      <c r="O362" s="128">
        <f ca="1">IF(OFFSET('IWP16'!UnitsOfServicePeriod2, 0, 11, 1, 1) = "", 0, OFFSET('IWP16'!UnitsOfServicePeriod2, 0, 11, 1, 1))</f>
        <v>0</v>
      </c>
      <c r="P362" s="128">
        <f ca="1">OFFSET('IWP16'!UnitsOfServicePeriod2, 0, 12, 1, 1)</f>
        <v>0</v>
      </c>
      <c r="Q362" s="128">
        <f ca="1">IF(OFFSET('IWP16'!UnitsOfServicePeriod2, 0, 13, 1, 1) = "", 0, OFFSET('IWP16'!UnitsOfServicePeriod2, 0, 13, 1, 1))</f>
        <v>0</v>
      </c>
      <c r="R362" s="128">
        <f ca="1">OFFSET('IWP16'!UnitsOfServicePeriod2, 0, 14, 1, 1)</f>
        <v>0</v>
      </c>
      <c r="S362" s="128">
        <f ca="1">IF(OFFSET('IWP16'!UnitsOfServicePeriod2, 0, 15, 1, 1) = "", 0, OFFSET('IWP16'!UnitsOfServicePeriod2, 0, 15, 1, 1))</f>
        <v>0</v>
      </c>
      <c r="T362" s="128">
        <f ca="1">IF(OFFSET('IWP16'!UnitsOfServicePeriod2, 0, 16, 1, 1) = "", 0, OFFSET('IWP16'!UnitsOfServicePeriod2, 0, 16, 1, 1))</f>
        <v>0</v>
      </c>
      <c r="U362" s="128">
        <f ca="1">OFFSET('IWP16'!UnitsOfServicePeriod2, 0, 17, 1, 1)</f>
        <v>0</v>
      </c>
      <c r="V362" s="128">
        <f ca="1">IF(OFFSET('IWP16'!UnitsOfServicePeriod2, 0, 19, 1, 1) = "", 0, OFFSET('IWP16'!UnitsOfServicePeriod2, 0, 19, 1, 1))</f>
        <v>0</v>
      </c>
      <c r="W362" s="128">
        <f ca="1">OFFSET('IWP16'!UnitsOfServicePeriod2, 0, 20, 1, 1)</f>
        <v>0</v>
      </c>
      <c r="X362" s="128">
        <f ca="1">IF(OFFSET('IWP16'!UnitsOfServicePeriod2, 0, 21, 1, 1) = "", 0, OFFSET('IWP16'!UnitsOfServicePeriod2, 0, 21, 1, 1))</f>
        <v>0</v>
      </c>
      <c r="Y362" s="137">
        <f ca="1">OFFSET('IWP16'!UnitsOfServicePeriod2, 0, 22, 1, 1)</f>
        <v>0</v>
      </c>
    </row>
    <row r="363" spans="1:25">
      <c r="A363" s="125" t="s">
        <v>489</v>
      </c>
      <c r="B363" s="128">
        <v>2</v>
      </c>
      <c r="C363" s="128">
        <v>2</v>
      </c>
      <c r="D363" s="107">
        <f ca="1">IF(OFFSET('IWP16'!UnitsOfServicePeriod2, 1, 0, 1, 1)=DATE(1900,1,0), DATE(1900,1,1),OFFSET('IWP16'!UnitsOfServicePeriod2, 1, 0, 1, 1))</f>
        <v>1</v>
      </c>
      <c r="E363" s="107">
        <f ca="1">IF(OFFSET('IWP16'!UnitsOfServicePeriod2, 1, 1, 1, 1)=DATE(1900,1,0), DATE(1900,1,1),OFFSET('IWP16'!UnitsOfServicePeriod2, 1, 1, 1, 1))</f>
        <v>1</v>
      </c>
      <c r="F363" s="128">
        <f ca="1">OFFSET('IWP16'!UnitsOfServicePeriod2, 1, 2, 1, 1)</f>
        <v>0</v>
      </c>
      <c r="G363" s="128">
        <f ca="1">IF(OFFSET('IWP16'!UnitsOfServicePeriod2, 1, 3, 1, 1) = "", 0, OFFSET('IWP16'!UnitsOfServicePeriod2, 1, 3, 1, 1))</f>
        <v>0</v>
      </c>
      <c r="H363" s="128">
        <f ca="1">OFFSET('IWP16'!UnitsOfServicePeriod2, 1, 4, 1, 1)</f>
        <v>0</v>
      </c>
      <c r="I363" s="128">
        <f ca="1">IF(OFFSET('IWP16'!UnitsOfServicePeriod2, 1, 5, 1, 1) = "", 0, OFFSET('IWP16'!UnitsOfServicePeriod2, 1, 5, 1, 1))</f>
        <v>0</v>
      </c>
      <c r="J363" s="128">
        <f ca="1">OFFSET('IWP16'!UnitsOfServicePeriod2, 1, 6, 1, 1)</f>
        <v>0</v>
      </c>
      <c r="K363" s="128">
        <f ca="1">IF(OFFSET('IWP16'!UnitsOfServicePeriod2, 1, 7, 1, 1) = "", 0, OFFSET('IWP16'!UnitsOfServicePeriod2, 1, 7, 1, 1))</f>
        <v>0</v>
      </c>
      <c r="L363" s="128">
        <f ca="1">OFFSET('IWP16'!UnitsOfServicePeriod2, 1, 8, 1, 1)</f>
        <v>0</v>
      </c>
      <c r="M363" s="128">
        <f ca="1">IF(OFFSET('IWP16'!UnitsOfServicePeriod2, 1, 9, 1, 1) = "", 0, OFFSET('IWP16'!UnitsOfServicePeriod2, 1, 9, 1, 1))</f>
        <v>0</v>
      </c>
      <c r="N363" s="128">
        <f ca="1">OFFSET('IWP16'!UnitsOfServicePeriod2, 1, 10, 1, 1)</f>
        <v>0</v>
      </c>
      <c r="O363" s="128">
        <f ca="1">IF(OFFSET('IWP16'!UnitsOfServicePeriod2, 1, 11, 1, 1) = "", 0, OFFSET('IWP16'!UnitsOfServicePeriod2, 1, 11, 1, 1))</f>
        <v>0</v>
      </c>
      <c r="P363" s="128">
        <f ca="1">OFFSET('IWP16'!UnitsOfServicePeriod2, 1, 12, 1, 1)</f>
        <v>0</v>
      </c>
      <c r="Q363" s="128">
        <f ca="1">IF(OFFSET('IWP16'!UnitsOfServicePeriod2, 1, 13, 1, 1) = "", 0, OFFSET('IWP16'!UnitsOfServicePeriod2, 1, 13, 1, 1))</f>
        <v>0</v>
      </c>
      <c r="R363" s="128">
        <f ca="1">OFFSET('IWP16'!UnitsOfServicePeriod2, 1, 14, 1, 1)</f>
        <v>0</v>
      </c>
      <c r="S363" s="128">
        <f ca="1">IF(OFFSET('IWP16'!UnitsOfServicePeriod2, 1, 15, 1, 1) = "", 0, OFFSET('IWP16'!UnitsOfServicePeriod2, 1, 15, 1, 1))</f>
        <v>0</v>
      </c>
      <c r="T363" s="128">
        <f ca="1">IF(OFFSET('IWP16'!UnitsOfServicePeriod2, 1, 16, 1, 1) = "", 0, OFFSET('IWP16'!UnitsOfServicePeriod2, 1, 16, 1, 1))</f>
        <v>0</v>
      </c>
      <c r="U363" s="128">
        <f ca="1">OFFSET('IWP16'!UnitsOfServicePeriod2, 1, 17, 1, 1)</f>
        <v>0</v>
      </c>
      <c r="V363" s="128">
        <f ca="1">IF(OFFSET('IWP16'!UnitsOfServicePeriod2, 1, 19, 1, 1) = "", 0, OFFSET('IWP16'!UnitsOfServicePeriod2, 1, 19, 1, 1))</f>
        <v>0</v>
      </c>
      <c r="W363" s="128">
        <f ca="1">OFFSET('IWP16'!UnitsOfServicePeriod2, 1, 20, 1, 1)</f>
        <v>0</v>
      </c>
      <c r="X363" s="128">
        <f ca="1">IF(OFFSET('IWP16'!UnitsOfServicePeriod2, 1, 21, 1, 1) = "", 0, OFFSET('IWP16'!UnitsOfServicePeriod2, 1, 21, 1, 1))</f>
        <v>0</v>
      </c>
      <c r="Y363" s="137">
        <f ca="1">OFFSET('IWP16'!UnitsOfServicePeriod2, 1, 22, 1, 1)</f>
        <v>0</v>
      </c>
    </row>
    <row r="364" spans="1:25">
      <c r="A364" s="125" t="s">
        <v>489</v>
      </c>
      <c r="B364" s="128">
        <v>2</v>
      </c>
      <c r="C364" s="128">
        <v>3</v>
      </c>
      <c r="D364" s="107">
        <f ca="1">IF(OFFSET('IWP16'!UnitsOfServicePeriod2, 2, 0, 1, 1)=DATE(1900,1,0), DATE(1900,1,1),OFFSET('IWP16'!UnitsOfServicePeriod2, 2, 0, 1, 1))</f>
        <v>1</v>
      </c>
      <c r="E364" s="107">
        <f ca="1">IF(OFFSET('IWP16'!UnitsOfServicePeriod2, 2, 1, 1, 1)=DATE(1900,1,0), DATE(1900,1,1),OFFSET('IWP16'!UnitsOfServicePeriod2, 2, 1, 1, 1))</f>
        <v>1</v>
      </c>
      <c r="F364" s="128">
        <f ca="1">OFFSET('IWP16'!UnitsOfServicePeriod2, 2, 2, 1, 1)</f>
        <v>0</v>
      </c>
      <c r="G364" s="128">
        <f ca="1">IF(OFFSET('IWP16'!UnitsOfServicePeriod2, 2, 3, 1, 1) = "", 0, OFFSET('IWP16'!UnitsOfServicePeriod2, 2, 3, 1, 1))</f>
        <v>0</v>
      </c>
      <c r="H364" s="128">
        <f ca="1">OFFSET('IWP16'!UnitsOfServicePeriod2, 2, 4, 1, 1)</f>
        <v>0</v>
      </c>
      <c r="I364" s="128">
        <f ca="1">IF(OFFSET('IWP16'!UnitsOfServicePeriod2, 2, 5, 1, 1) = "", 0, OFFSET('IWP16'!UnitsOfServicePeriod2, 2, 5, 1, 1))</f>
        <v>0</v>
      </c>
      <c r="J364" s="128">
        <f ca="1">OFFSET('IWP16'!UnitsOfServicePeriod2, 2, 6, 1, 1)</f>
        <v>0</v>
      </c>
      <c r="K364" s="128">
        <f ca="1">IF(OFFSET('IWP16'!UnitsOfServicePeriod2, 2, 7, 1, 1) = "", 0, OFFSET('IWP16'!UnitsOfServicePeriod2, 2, 7, 1, 1))</f>
        <v>0</v>
      </c>
      <c r="L364" s="128">
        <f ca="1">OFFSET('IWP16'!UnitsOfServicePeriod2, 2, 8, 1, 1)</f>
        <v>0</v>
      </c>
      <c r="M364" s="128">
        <f ca="1">IF(OFFSET('IWP16'!UnitsOfServicePeriod2, 2, 9, 1, 1) = "", 0, OFFSET('IWP16'!UnitsOfServicePeriod2, 2, 9, 1, 1))</f>
        <v>0</v>
      </c>
      <c r="N364" s="128">
        <f ca="1">OFFSET('IWP16'!UnitsOfServicePeriod2, 2, 10, 1, 1)</f>
        <v>0</v>
      </c>
      <c r="O364" s="128">
        <f ca="1">IF(OFFSET('IWP16'!UnitsOfServicePeriod2, 2, 11, 1, 1) = "", 0, OFFSET('IWP16'!UnitsOfServicePeriod2, 2, 11, 1, 1))</f>
        <v>0</v>
      </c>
      <c r="P364" s="128">
        <f ca="1">OFFSET('IWP16'!UnitsOfServicePeriod2, 2, 12, 1, 1)</f>
        <v>0</v>
      </c>
      <c r="Q364" s="128">
        <f ca="1">IF(OFFSET('IWP16'!UnitsOfServicePeriod2, 2, 13, 1, 1) = "", 0, OFFSET('IWP16'!UnitsOfServicePeriod2, 2, 13, 1, 1))</f>
        <v>0</v>
      </c>
      <c r="R364" s="128">
        <f ca="1">OFFSET('IWP16'!UnitsOfServicePeriod2, 2, 14, 1, 1)</f>
        <v>0</v>
      </c>
      <c r="S364" s="128">
        <f ca="1">IF(OFFSET('IWP16'!UnitsOfServicePeriod2, 2, 15, 1, 1) = "", 0, OFFSET('IWP16'!UnitsOfServicePeriod2, 2, 15, 1, 1))</f>
        <v>0</v>
      </c>
      <c r="T364" s="128">
        <f ca="1">IF(OFFSET('IWP16'!UnitsOfServicePeriod2, 2, 16, 1, 1) = "", 0, OFFSET('IWP16'!UnitsOfServicePeriod2, 2, 16, 1, 1))</f>
        <v>0</v>
      </c>
      <c r="U364" s="128">
        <f ca="1">OFFSET('IWP16'!UnitsOfServicePeriod2, 2, 17, 1, 1)</f>
        <v>0</v>
      </c>
      <c r="V364" s="128">
        <f ca="1">IF(OFFSET('IWP16'!UnitsOfServicePeriod2, 2, 19, 1, 1) = "", 0, OFFSET('IWP16'!UnitsOfServicePeriod2, 2, 19, 1, 1))</f>
        <v>0</v>
      </c>
      <c r="W364" s="128">
        <f ca="1">OFFSET('IWP16'!UnitsOfServicePeriod2, 2, 20, 1, 1)</f>
        <v>0</v>
      </c>
      <c r="X364" s="128">
        <f ca="1">IF(OFFSET('IWP16'!UnitsOfServicePeriod2, 2, 21, 1, 1) = "", 0, OFFSET('IWP16'!UnitsOfServicePeriod2, 2, 21, 1, 1))</f>
        <v>0</v>
      </c>
      <c r="Y364" s="137">
        <f ca="1">OFFSET('IWP16'!UnitsOfServicePeriod2, 2, 22, 1, 1)</f>
        <v>0</v>
      </c>
    </row>
    <row r="365" spans="1:25">
      <c r="A365" s="125" t="s">
        <v>489</v>
      </c>
      <c r="B365" s="128">
        <v>2</v>
      </c>
      <c r="C365" s="128">
        <v>4</v>
      </c>
      <c r="D365" s="107">
        <f ca="1">IF(OFFSET('IWP16'!UnitsOfServicePeriod2, 3, 0, 1, 1)=DATE(1900,1,0), DATE(1900,1,1),OFFSET('IWP16'!UnitsOfServicePeriod2, 3, 0, 1, 1))</f>
        <v>1</v>
      </c>
      <c r="E365" s="107">
        <f ca="1">IF(OFFSET('IWP16'!UnitsOfServicePeriod2, 3, 1, 1, 1)=DATE(1900,1,0), DATE(1900,1,1),OFFSET('IWP16'!UnitsOfServicePeriod2, 3, 1, 1, 1))</f>
        <v>1</v>
      </c>
      <c r="F365" s="128">
        <f ca="1">OFFSET('IWP16'!UnitsOfServicePeriod2, 3, 2, 1, 1)</f>
        <v>0</v>
      </c>
      <c r="G365" s="128">
        <f ca="1">IF(OFFSET('IWP16'!UnitsOfServicePeriod2, 3, 3, 1, 1) = "", 0, OFFSET('IWP16'!UnitsOfServicePeriod2, 3, 3, 1, 1))</f>
        <v>0</v>
      </c>
      <c r="H365" s="128">
        <f ca="1">OFFSET('IWP16'!UnitsOfServicePeriod2, 3, 4, 1, 1)</f>
        <v>0</v>
      </c>
      <c r="I365" s="128">
        <f ca="1">IF(OFFSET('IWP16'!UnitsOfServicePeriod2, 3, 5, 1, 1) = "", 0, OFFSET('IWP16'!UnitsOfServicePeriod2, 3, 5, 1, 1))</f>
        <v>0</v>
      </c>
      <c r="J365" s="128">
        <f ca="1">OFFSET('IWP16'!UnitsOfServicePeriod2, 3, 6, 1, 1)</f>
        <v>0</v>
      </c>
      <c r="K365" s="128">
        <f ca="1">IF(OFFSET('IWP16'!UnitsOfServicePeriod2, 3, 7, 1, 1) = "", 0, OFFSET('IWP16'!UnitsOfServicePeriod2, 3, 7, 1, 1))</f>
        <v>0</v>
      </c>
      <c r="L365" s="128">
        <f ca="1">OFFSET('IWP16'!UnitsOfServicePeriod2, 3, 8, 1, 1)</f>
        <v>0</v>
      </c>
      <c r="M365" s="128">
        <f ca="1">IF(OFFSET('IWP16'!UnitsOfServicePeriod2, 3, 9, 1, 1) = "", 0, OFFSET('IWP16'!UnitsOfServicePeriod2, 3, 9, 1, 1))</f>
        <v>0</v>
      </c>
      <c r="N365" s="128">
        <f ca="1">OFFSET('IWP16'!UnitsOfServicePeriod2, 3, 10, 1, 1)</f>
        <v>0</v>
      </c>
      <c r="O365" s="128">
        <f ca="1">IF(OFFSET('IWP16'!UnitsOfServicePeriod2, 3, 11, 1, 1) = "", 0, OFFSET('IWP16'!UnitsOfServicePeriod2, 3, 11, 1, 1))</f>
        <v>0</v>
      </c>
      <c r="P365" s="128">
        <f ca="1">OFFSET('IWP16'!UnitsOfServicePeriod2, 3, 12, 1, 1)</f>
        <v>0</v>
      </c>
      <c r="Q365" s="128">
        <f ca="1">IF(OFFSET('IWP16'!UnitsOfServicePeriod2, 3, 13, 1, 1) = "", 0, OFFSET('IWP16'!UnitsOfServicePeriod2, 3, 13, 1, 1))</f>
        <v>0</v>
      </c>
      <c r="R365" s="128">
        <f ca="1">OFFSET('IWP16'!UnitsOfServicePeriod2, 3, 14, 1, 1)</f>
        <v>0</v>
      </c>
      <c r="S365" s="128">
        <f ca="1">IF(OFFSET('IWP16'!UnitsOfServicePeriod2, 3, 15, 1, 1) = "", 0, OFFSET('IWP16'!UnitsOfServicePeriod2, 3, 15, 1, 1))</f>
        <v>0</v>
      </c>
      <c r="T365" s="128">
        <f ca="1">IF(OFFSET('IWP16'!UnitsOfServicePeriod2, 3, 16, 1, 1) = "", 0, OFFSET('IWP16'!UnitsOfServicePeriod2, 3, 16, 1, 1))</f>
        <v>0</v>
      </c>
      <c r="U365" s="128">
        <f ca="1">OFFSET('IWP16'!UnitsOfServicePeriod2, 3, 17, 1, 1)</f>
        <v>0</v>
      </c>
      <c r="V365" s="128">
        <f ca="1">IF(OFFSET('IWP16'!UnitsOfServicePeriod2, 3, 19, 1, 1) = "", 0, OFFSET('IWP16'!UnitsOfServicePeriod2, 3, 19, 1, 1))</f>
        <v>0</v>
      </c>
      <c r="W365" s="128">
        <f ca="1">OFFSET('IWP16'!UnitsOfServicePeriod2, 3, 20, 1, 1)</f>
        <v>0</v>
      </c>
      <c r="X365" s="128">
        <f ca="1">IF(OFFSET('IWP16'!UnitsOfServicePeriod2, 3, 21, 1, 1) = "", 0, OFFSET('IWP16'!UnitsOfServicePeriod2, 3, 21, 1, 1))</f>
        <v>0</v>
      </c>
      <c r="Y365" s="137">
        <f ca="1">OFFSET('IWP16'!UnitsOfServicePeriod2, 3, 22, 1, 1)</f>
        <v>0</v>
      </c>
    </row>
    <row r="366" spans="1:25">
      <c r="A366" s="125" t="s">
        <v>489</v>
      </c>
      <c r="B366" s="128">
        <v>2</v>
      </c>
      <c r="C366" s="128">
        <v>5</v>
      </c>
      <c r="D366" s="107">
        <f ca="1">IF(OFFSET('IWP16'!UnitsOfServicePeriod2, 4, 0, 1, 1)=DATE(1900,1,0), DATE(1900,1,1),OFFSET('IWP16'!UnitsOfServicePeriod2, 4, 0, 1, 1))</f>
        <v>1</v>
      </c>
      <c r="E366" s="107">
        <f ca="1">IF(OFFSET('IWP16'!UnitsOfServicePeriod2, 4, 1, 1, 1)=DATE(1900,1,0), DATE(1900,1,1),OFFSET('IWP16'!UnitsOfServicePeriod2, 4, 1, 1, 1))</f>
        <v>1</v>
      </c>
      <c r="F366" s="128">
        <f ca="1">OFFSET('IWP16'!UnitsOfServicePeriod2, 4, 2, 1, 1)</f>
        <v>0</v>
      </c>
      <c r="G366" s="128">
        <f ca="1">IF(OFFSET('IWP16'!UnitsOfServicePeriod2, 4, 3, 1, 1) = "", 0, OFFSET('IWP16'!UnitsOfServicePeriod2, 4, 3, 1, 1))</f>
        <v>0</v>
      </c>
      <c r="H366" s="128">
        <f ca="1">OFFSET('IWP16'!UnitsOfServicePeriod2, 4, 4, 1, 1)</f>
        <v>0</v>
      </c>
      <c r="I366" s="128">
        <f ca="1">IF(OFFSET('IWP16'!UnitsOfServicePeriod2, 4, 5, 1, 1) = "", 0, OFFSET('IWP16'!UnitsOfServicePeriod2, 4, 5, 1, 1))</f>
        <v>0</v>
      </c>
      <c r="J366" s="128">
        <f ca="1">OFFSET('IWP16'!UnitsOfServicePeriod2, 4, 6, 1, 1)</f>
        <v>0</v>
      </c>
      <c r="K366" s="128">
        <f ca="1">IF(OFFSET('IWP16'!UnitsOfServicePeriod2, 4, 7, 1, 1) = "", 0, OFFSET('IWP16'!UnitsOfServicePeriod2, 4, 7, 1, 1))</f>
        <v>0</v>
      </c>
      <c r="L366" s="128">
        <f ca="1">OFFSET('IWP16'!UnitsOfServicePeriod2, 4, 8, 1, 1)</f>
        <v>0</v>
      </c>
      <c r="M366" s="128">
        <f ca="1">IF(OFFSET('IWP16'!UnitsOfServicePeriod2, 4, 9, 1, 1) = "", 0, OFFSET('IWP16'!UnitsOfServicePeriod2, 4, 9, 1, 1))</f>
        <v>0</v>
      </c>
      <c r="N366" s="128">
        <f ca="1">OFFSET('IWP16'!UnitsOfServicePeriod2, 4, 10, 1, 1)</f>
        <v>0</v>
      </c>
      <c r="O366" s="128">
        <f ca="1">IF(OFFSET('IWP16'!UnitsOfServicePeriod2, 4, 11, 1, 1) = "", 0, OFFSET('IWP16'!UnitsOfServicePeriod2, 4, 11, 1, 1))</f>
        <v>0</v>
      </c>
      <c r="P366" s="128">
        <f ca="1">OFFSET('IWP16'!UnitsOfServicePeriod2, 4, 12, 1, 1)</f>
        <v>0</v>
      </c>
      <c r="Q366" s="128">
        <f ca="1">IF(OFFSET('IWP16'!UnitsOfServicePeriod2, 4, 13, 1, 1) = "", 0, OFFSET('IWP16'!UnitsOfServicePeriod2, 4, 13, 1, 1))</f>
        <v>0</v>
      </c>
      <c r="R366" s="128">
        <f ca="1">OFFSET('IWP16'!UnitsOfServicePeriod2, 4, 14, 1, 1)</f>
        <v>0</v>
      </c>
      <c r="S366" s="128">
        <f ca="1">IF(OFFSET('IWP16'!UnitsOfServicePeriod2, 4, 15, 1, 1) = "", 0, OFFSET('IWP16'!UnitsOfServicePeriod2, 4, 15, 1, 1))</f>
        <v>0</v>
      </c>
      <c r="T366" s="128">
        <f ca="1">IF(OFFSET('IWP16'!UnitsOfServicePeriod2, 4, 16, 1, 1) = "", 0, OFFSET('IWP16'!UnitsOfServicePeriod2, 4, 16, 1, 1))</f>
        <v>0</v>
      </c>
      <c r="U366" s="128">
        <f ca="1">OFFSET('IWP16'!UnitsOfServicePeriod2, 4, 17, 1, 1)</f>
        <v>0</v>
      </c>
      <c r="V366" s="128">
        <f ca="1">IF(OFFSET('IWP16'!UnitsOfServicePeriod2, 4, 19, 1, 1) = "", 0, OFFSET('IWP16'!UnitsOfServicePeriod2, 4, 19, 1, 1))</f>
        <v>0</v>
      </c>
      <c r="W366" s="128">
        <f ca="1">OFFSET('IWP16'!UnitsOfServicePeriod2, 4, 20, 1, 1)</f>
        <v>0</v>
      </c>
      <c r="X366" s="128">
        <f ca="1">IF(OFFSET('IWP16'!UnitsOfServicePeriod2, 4, 21, 1, 1) = "", 0, OFFSET('IWP16'!UnitsOfServicePeriod2, 4, 21, 1, 1))</f>
        <v>0</v>
      </c>
      <c r="Y366" s="137">
        <f ca="1">OFFSET('IWP16'!UnitsOfServicePeriod2, 4, 22, 1, 1)</f>
        <v>0</v>
      </c>
    </row>
    <row r="367" spans="1:25">
      <c r="A367" s="125" t="s">
        <v>489</v>
      </c>
      <c r="B367" s="128">
        <v>2</v>
      </c>
      <c r="C367" s="128">
        <v>6</v>
      </c>
      <c r="D367" s="107">
        <f ca="1">IF(OFFSET('IWP16'!UnitsOfServicePeriod2, 5, 0, 1, 1)=DATE(1900,1,0), DATE(1900,1,1),OFFSET('IWP16'!UnitsOfServicePeriod2, 5, 0, 1, 1))</f>
        <v>1</v>
      </c>
      <c r="E367" s="107">
        <f ca="1">IF(OFFSET('IWP16'!UnitsOfServicePeriod2, 5, 1, 1, 1)=DATE(1900,1,0), DATE(1900,1,1),OFFSET('IWP16'!UnitsOfServicePeriod2, 5, 1, 1, 1))</f>
        <v>1</v>
      </c>
      <c r="F367" s="128">
        <f ca="1">OFFSET('IWP16'!UnitsOfServicePeriod2, 5, 2, 1, 1)</f>
        <v>0</v>
      </c>
      <c r="G367" s="128">
        <f ca="1">IF(OFFSET('IWP16'!UnitsOfServicePeriod2, 5, 3, 1, 1) = "", 0, OFFSET('IWP16'!UnitsOfServicePeriod2, 5, 3, 1, 1))</f>
        <v>0</v>
      </c>
      <c r="H367" s="128">
        <f ca="1">OFFSET('IWP16'!UnitsOfServicePeriod2, 5, 4, 1, 1)</f>
        <v>0</v>
      </c>
      <c r="I367" s="128">
        <f ca="1">IF(OFFSET('IWP16'!UnitsOfServicePeriod2, 5, 5, 1, 1) = "", 0, OFFSET('IWP16'!UnitsOfServicePeriod2, 5, 5, 1, 1))</f>
        <v>0</v>
      </c>
      <c r="J367" s="128">
        <f ca="1">OFFSET('IWP16'!UnitsOfServicePeriod2, 5, 6, 1, 1)</f>
        <v>0</v>
      </c>
      <c r="K367" s="128">
        <f ca="1">IF(OFFSET('IWP16'!UnitsOfServicePeriod2, 5, 7, 1, 1) = "", 0, OFFSET('IWP16'!UnitsOfServicePeriod2, 5, 7, 1, 1))</f>
        <v>0</v>
      </c>
      <c r="L367" s="128">
        <f ca="1">OFFSET('IWP16'!UnitsOfServicePeriod2, 5, 8, 1, 1)</f>
        <v>0</v>
      </c>
      <c r="M367" s="128">
        <f ca="1">IF(OFFSET('IWP16'!UnitsOfServicePeriod2, 5, 9, 1, 1) = "", 0, OFFSET('IWP16'!UnitsOfServicePeriod2, 5, 9, 1, 1))</f>
        <v>0</v>
      </c>
      <c r="N367" s="128">
        <f ca="1">OFFSET('IWP16'!UnitsOfServicePeriod2, 5, 10, 1, 1)</f>
        <v>0</v>
      </c>
      <c r="O367" s="128">
        <f ca="1">IF(OFFSET('IWP16'!UnitsOfServicePeriod2, 5, 11, 1, 1) = "", 0, OFFSET('IWP16'!UnitsOfServicePeriod2, 5, 11, 1, 1))</f>
        <v>0</v>
      </c>
      <c r="P367" s="128">
        <f ca="1">OFFSET('IWP16'!UnitsOfServicePeriod2, 5, 12, 1, 1)</f>
        <v>0</v>
      </c>
      <c r="Q367" s="128">
        <f ca="1">IF(OFFSET('IWP16'!UnitsOfServicePeriod2, 5, 13, 1, 1) = "", 0, OFFSET('IWP16'!UnitsOfServicePeriod2, 5, 13, 1, 1))</f>
        <v>0</v>
      </c>
      <c r="R367" s="128">
        <f ca="1">OFFSET('IWP16'!UnitsOfServicePeriod2, 5, 14, 1, 1)</f>
        <v>0</v>
      </c>
      <c r="S367" s="128">
        <f ca="1">IF(OFFSET('IWP16'!UnitsOfServicePeriod2, 5, 15, 1, 1) = "", 0, OFFSET('IWP16'!UnitsOfServicePeriod2, 5, 15, 1, 1))</f>
        <v>0</v>
      </c>
      <c r="T367" s="128">
        <f ca="1">IF(OFFSET('IWP16'!UnitsOfServicePeriod2, 5, 16, 1, 1) = "", 0, OFFSET('IWP16'!UnitsOfServicePeriod2, 5, 16, 1, 1))</f>
        <v>0</v>
      </c>
      <c r="U367" s="128">
        <f ca="1">OFFSET('IWP16'!UnitsOfServicePeriod2, 5, 17, 1, 1)</f>
        <v>0</v>
      </c>
      <c r="V367" s="128">
        <f ca="1">IF(OFFSET('IWP16'!UnitsOfServicePeriod2, 5, 19, 1, 1) = "", 0, OFFSET('IWP16'!UnitsOfServicePeriod2, 5, 19, 1, 1))</f>
        <v>0</v>
      </c>
      <c r="W367" s="128">
        <f ca="1">OFFSET('IWP16'!UnitsOfServicePeriod2, 5, 20, 1, 1)</f>
        <v>0</v>
      </c>
      <c r="X367" s="128">
        <f ca="1">IF(OFFSET('IWP16'!UnitsOfServicePeriod2, 5, 21, 1, 1) = "", 0, OFFSET('IWP16'!UnitsOfServicePeriod2, 5, 21, 1, 1))</f>
        <v>0</v>
      </c>
      <c r="Y367" s="137">
        <f ca="1">OFFSET('IWP16'!UnitsOfServicePeriod2, 5, 22, 1, 1)</f>
        <v>0</v>
      </c>
    </row>
    <row r="368" spans="1:25">
      <c r="A368" s="125" t="s">
        <v>490</v>
      </c>
      <c r="B368" s="128">
        <v>1</v>
      </c>
      <c r="C368" s="128">
        <v>1</v>
      </c>
      <c r="D368" s="107">
        <f ca="1">IF(OFFSET('IWP17'!UnitsOfServicePeriod1, 0, 0, 1, 1)=DATE(1900,1,0), DATE(1900,1,1),OFFSET('IWP17'!UnitsOfServicePeriod1, 0, 0, 1, 1))</f>
        <v>1</v>
      </c>
      <c r="E368" s="107">
        <f ca="1">IF(OFFSET('IWP17'!UnitsOfServicePeriod1, 0, 1, 1, 1)=DATE(1900,1,0), DATE(1900,1,1),OFFSET('IWP17'!UnitsOfServicePeriod1, 0, 1, 1, 1))</f>
        <v>1</v>
      </c>
      <c r="F368" s="128">
        <f ca="1">OFFSET('IWP17'!UnitsOfServicePeriod1, 0, 2, 1, 1)</f>
        <v>0</v>
      </c>
      <c r="G368" s="128">
        <f ca="1">IF(OFFSET('IWP17'!UnitsOfServicePeriod1, 0, 3, 1, 1) = "", 0, OFFSET('IWP17'!UnitsOfServicePeriod1, 0, 3, 1, 1))</f>
        <v>0</v>
      </c>
      <c r="H368" s="128">
        <f ca="1">OFFSET('IWP17'!UnitsOfServicePeriod1, 0, 4, 1, 1)</f>
        <v>0</v>
      </c>
      <c r="I368" s="128">
        <f ca="1">IF(OFFSET('IWP17'!UnitsOfServicePeriod1, 0, 5, 1, 1) = "", 0, OFFSET('IWP17'!UnitsOfServicePeriod1, 0, 5, 1, 1))</f>
        <v>0</v>
      </c>
      <c r="J368" s="128">
        <f ca="1">OFFSET('IWP17'!UnitsOfServicePeriod1, 0, 6, 1, 1)</f>
        <v>0</v>
      </c>
      <c r="K368" s="128">
        <f ca="1">IF(OFFSET('IWP17'!UnitsOfServicePeriod1, 0, 7, 1, 1) = "", 0, OFFSET('IWP17'!UnitsOfServicePeriod1, 0, 7, 1, 1))</f>
        <v>0</v>
      </c>
      <c r="L368" s="128">
        <f ca="1">OFFSET('IWP17'!UnitsOfServicePeriod1, 0, 8, 1, 1)</f>
        <v>0</v>
      </c>
      <c r="M368" s="128">
        <f ca="1">IF(OFFSET('IWP17'!UnitsOfServicePeriod1, 0, 9, 1, 1) = "", 0, OFFSET('IWP17'!UnitsOfServicePeriod1, 0, 9, 1, 1))</f>
        <v>0</v>
      </c>
      <c r="N368" s="128">
        <f ca="1">OFFSET('IWP17'!UnitsOfServicePeriod1, 0, 10, 1, 1)</f>
        <v>0</v>
      </c>
      <c r="O368" s="128">
        <f ca="1">IF(OFFSET('IWP17'!UnitsOfServicePeriod1, 0, 11, 1, 1) = "", 0, OFFSET('IWP17'!UnitsOfServicePeriod1, 0, 11, 1, 1))</f>
        <v>0</v>
      </c>
      <c r="P368" s="128">
        <f ca="1">OFFSET('IWP17'!UnitsOfServicePeriod1, 0, 12, 1, 1)</f>
        <v>0</v>
      </c>
      <c r="Q368" s="128">
        <f ca="1">IF(OFFSET('IWP17'!UnitsOfServicePeriod1, 0, 13, 1, 1) = "", 0, OFFSET('IWP17'!UnitsOfServicePeriod1, 0, 13, 1, 1))</f>
        <v>0</v>
      </c>
      <c r="R368" s="128">
        <f ca="1">OFFSET('IWP17'!UnitsOfServicePeriod1, 0, 14, 1, 1)</f>
        <v>0</v>
      </c>
      <c r="S368" s="128">
        <f ca="1">IF(OFFSET('IWP17'!UnitsOfServicePeriod1, 0, 15, 1, 1) = "", 0, OFFSET('IWP17'!UnitsOfServicePeriod1, 0, 15, 1, 1))</f>
        <v>0</v>
      </c>
      <c r="T368" s="128">
        <f ca="1">IF(OFFSET('IWP17'!UnitsOfServicePeriod1, 0, 16, 1, 1) = "", 0, OFFSET('IWP17'!UnitsOfServicePeriod1, 0, 16, 1, 1))</f>
        <v>0</v>
      </c>
      <c r="U368" s="128">
        <f ca="1">OFFSET('IWP17'!UnitsOfServicePeriod1, 0, 17, 1, 1)</f>
        <v>0</v>
      </c>
      <c r="V368" s="128">
        <f ca="1">IF(OFFSET('IWP17'!UnitsOfServicePeriod1, 0, 19, 1, 1) = "", 0, OFFSET('IWP17'!UnitsOfServicePeriod1, 0, 19, 1, 1))</f>
        <v>0</v>
      </c>
      <c r="W368" s="128">
        <f ca="1">OFFSET('IWP17'!UnitsOfServicePeriod1, 0, 20, 1, 1)</f>
        <v>0</v>
      </c>
      <c r="X368" s="128">
        <f ca="1">IF(OFFSET('IWP17'!UnitsOfServicePeriod1, 0, 21, 1, 1) = "", 0, OFFSET('IWP17'!UnitsOfServicePeriod1, 0, 21, 1, 1))</f>
        <v>0</v>
      </c>
      <c r="Y368" s="137">
        <f ca="1">OFFSET('IWP17'!UnitsOfServicePeriod1, 0, 22, 1, 1)</f>
        <v>0</v>
      </c>
    </row>
    <row r="369" spans="1:25">
      <c r="A369" s="125" t="s">
        <v>490</v>
      </c>
      <c r="B369" s="128">
        <v>1</v>
      </c>
      <c r="C369" s="128">
        <v>2</v>
      </c>
      <c r="D369" s="107">
        <f ca="1">IF(OFFSET('IWP17'!UnitsOfServicePeriod1, 1, 0, 1, 1)=DATE(1900,1,0), DATE(1900,1,1),OFFSET('IWP17'!UnitsOfServicePeriod1, 1, 0, 1, 1))</f>
        <v>1</v>
      </c>
      <c r="E369" s="107">
        <f ca="1">IF(OFFSET('IWP17'!UnitsOfServicePeriod1, 1, 1, 1, 1)=DATE(1900,1,0), DATE(1900,1,1),OFFSET('IWP17'!UnitsOfServicePeriod1, 1, 1, 1, 1))</f>
        <v>1</v>
      </c>
      <c r="F369" s="128">
        <f ca="1">OFFSET('IWP17'!UnitsOfServicePeriod1, 1, 2, 1, 1)</f>
        <v>0</v>
      </c>
      <c r="G369" s="128">
        <f ca="1">IF(OFFSET('IWP17'!UnitsOfServicePeriod1, 1, 3, 1, 1) = "", 0, OFFSET('IWP17'!UnitsOfServicePeriod1, 1, 3, 1, 1))</f>
        <v>0</v>
      </c>
      <c r="H369" s="128">
        <f ca="1">OFFSET('IWP17'!UnitsOfServicePeriod1, 1, 4, 1, 1)</f>
        <v>0</v>
      </c>
      <c r="I369" s="128">
        <f ca="1">IF(OFFSET('IWP17'!UnitsOfServicePeriod1, 1, 5, 1, 1) = "", 0, OFFSET('IWP17'!UnitsOfServicePeriod1, 1, 5, 1, 1))</f>
        <v>0</v>
      </c>
      <c r="J369" s="128">
        <f ca="1">OFFSET('IWP17'!UnitsOfServicePeriod1, 1, 6, 1, 1)</f>
        <v>0</v>
      </c>
      <c r="K369" s="128">
        <f ca="1">IF(OFFSET('IWP17'!UnitsOfServicePeriod1, 1, 7, 1, 1) = "", 0, OFFSET('IWP17'!UnitsOfServicePeriod1, 1, 7, 1, 1))</f>
        <v>0</v>
      </c>
      <c r="L369" s="128">
        <f ca="1">OFFSET('IWP17'!UnitsOfServicePeriod1, 1, 8, 1, 1)</f>
        <v>0</v>
      </c>
      <c r="M369" s="128">
        <f ca="1">IF(OFFSET('IWP17'!UnitsOfServicePeriod1, 1, 9, 1, 1) = "", 0, OFFSET('IWP17'!UnitsOfServicePeriod1, 1, 9, 1, 1))</f>
        <v>0</v>
      </c>
      <c r="N369" s="128">
        <f ca="1">OFFSET('IWP17'!UnitsOfServicePeriod1, 1, 10, 1, 1)</f>
        <v>0</v>
      </c>
      <c r="O369" s="128">
        <f ca="1">IF(OFFSET('IWP17'!UnitsOfServicePeriod1, 1, 11, 1, 1) = "", 0, OFFSET('IWP17'!UnitsOfServicePeriod1, 1, 11, 1, 1))</f>
        <v>0</v>
      </c>
      <c r="P369" s="128">
        <f ca="1">OFFSET('IWP17'!UnitsOfServicePeriod1, 1, 12, 1, 1)</f>
        <v>0</v>
      </c>
      <c r="Q369" s="128">
        <f ca="1">IF(OFFSET('IWP17'!UnitsOfServicePeriod1, 1, 13, 1, 1) = "", 0, OFFSET('IWP17'!UnitsOfServicePeriod1, 1, 13, 1, 1))</f>
        <v>0</v>
      </c>
      <c r="R369" s="128">
        <f ca="1">OFFSET('IWP17'!UnitsOfServicePeriod1, 1, 14, 1, 1)</f>
        <v>0</v>
      </c>
      <c r="S369" s="128">
        <f ca="1">IF(OFFSET('IWP17'!UnitsOfServicePeriod1, 1, 15, 1, 1) = "", 0, OFFSET('IWP17'!UnitsOfServicePeriod1, 1, 15, 1, 1))</f>
        <v>0</v>
      </c>
      <c r="T369" s="128">
        <f ca="1">IF(OFFSET('IWP17'!UnitsOfServicePeriod1, 1, 16, 1, 1) = "", 0, OFFSET('IWP17'!UnitsOfServicePeriod1, 1, 16, 1, 1))</f>
        <v>0</v>
      </c>
      <c r="U369" s="128">
        <f ca="1">OFFSET('IWP17'!UnitsOfServicePeriod1, 1, 17, 1, 1)</f>
        <v>0</v>
      </c>
      <c r="V369" s="128">
        <f ca="1">IF(OFFSET('IWP17'!UnitsOfServicePeriod1, 1, 19, 1, 1) = "", 0, OFFSET('IWP17'!UnitsOfServicePeriod1, 1, 19, 1, 1))</f>
        <v>0</v>
      </c>
      <c r="W369" s="128">
        <f ca="1">OFFSET('IWP17'!UnitsOfServicePeriod1, 1, 20, 1, 1)</f>
        <v>0</v>
      </c>
      <c r="X369" s="128">
        <f ca="1">IF(OFFSET('IWP17'!UnitsOfServicePeriod1, 1, 21, 1, 1) = "", 0, OFFSET('IWP17'!UnitsOfServicePeriod1, 1, 21, 1, 1))</f>
        <v>0</v>
      </c>
      <c r="Y369" s="137">
        <f ca="1">OFFSET('IWP17'!UnitsOfServicePeriod1, 1, 22, 1, 1)</f>
        <v>0</v>
      </c>
    </row>
    <row r="370" spans="1:25">
      <c r="A370" s="125" t="s">
        <v>490</v>
      </c>
      <c r="B370" s="128">
        <v>1</v>
      </c>
      <c r="C370" s="128">
        <v>3</v>
      </c>
      <c r="D370" s="107">
        <f ca="1">IF(OFFSET('IWP17'!UnitsOfServicePeriod1, 2, 0, 1, 1)=DATE(1900,1,0), DATE(1900,1,1),OFFSET('IWP17'!UnitsOfServicePeriod1, 2, 0, 1, 1))</f>
        <v>1</v>
      </c>
      <c r="E370" s="107">
        <f ca="1">IF(OFFSET('IWP17'!UnitsOfServicePeriod1, 2, 1, 1, 1)=DATE(1900,1,0), DATE(1900,1,1),OFFSET('IWP17'!UnitsOfServicePeriod1, 2, 1, 1, 1))</f>
        <v>1</v>
      </c>
      <c r="F370" s="128">
        <f ca="1">OFFSET('IWP17'!UnitsOfServicePeriod1, 2, 2, 1, 1)</f>
        <v>0</v>
      </c>
      <c r="G370" s="128">
        <f ca="1">IF(OFFSET('IWP17'!UnitsOfServicePeriod1, 2, 3, 1, 1) = "", 0, OFFSET('IWP17'!UnitsOfServicePeriod1, 2, 3, 1, 1))</f>
        <v>0</v>
      </c>
      <c r="H370" s="128">
        <f ca="1">OFFSET('IWP17'!UnitsOfServicePeriod1, 2, 4, 1, 1)</f>
        <v>0</v>
      </c>
      <c r="I370" s="128">
        <f ca="1">IF(OFFSET('IWP17'!UnitsOfServicePeriod1, 2, 5, 1, 1) = "", 0, OFFSET('IWP17'!UnitsOfServicePeriod1, 2, 5, 1, 1))</f>
        <v>0</v>
      </c>
      <c r="J370" s="128">
        <f ca="1">OFFSET('IWP17'!UnitsOfServicePeriod1, 2, 6, 1, 1)</f>
        <v>0</v>
      </c>
      <c r="K370" s="128">
        <f ca="1">IF(OFFSET('IWP17'!UnitsOfServicePeriod1, 2, 7, 1, 1) = "", 0, OFFSET('IWP17'!UnitsOfServicePeriod1, 2, 7, 1, 1))</f>
        <v>0</v>
      </c>
      <c r="L370" s="128">
        <f ca="1">OFFSET('IWP17'!UnitsOfServicePeriod1, 2, 8, 1, 1)</f>
        <v>0</v>
      </c>
      <c r="M370" s="128">
        <f ca="1">IF(OFFSET('IWP17'!UnitsOfServicePeriod1, 2, 9, 1, 1) = "", 0, OFFSET('IWP17'!UnitsOfServicePeriod1, 2, 9, 1, 1))</f>
        <v>0</v>
      </c>
      <c r="N370" s="128">
        <f ca="1">OFFSET('IWP17'!UnitsOfServicePeriod1, 2, 10, 1, 1)</f>
        <v>0</v>
      </c>
      <c r="O370" s="128">
        <f ca="1">IF(OFFSET('IWP17'!UnitsOfServicePeriod1, 2, 11, 1, 1) = "", 0, OFFSET('IWP17'!UnitsOfServicePeriod1, 2, 11, 1, 1))</f>
        <v>0</v>
      </c>
      <c r="P370" s="128">
        <f ca="1">OFFSET('IWP17'!UnitsOfServicePeriod1, 2, 12, 1, 1)</f>
        <v>0</v>
      </c>
      <c r="Q370" s="128">
        <f ca="1">IF(OFFSET('IWP17'!UnitsOfServicePeriod1, 2, 13, 1, 1) = "", 0, OFFSET('IWP17'!UnitsOfServicePeriod1, 2, 13, 1, 1))</f>
        <v>0</v>
      </c>
      <c r="R370" s="128">
        <f ca="1">OFFSET('IWP17'!UnitsOfServicePeriod1, 2, 14, 1, 1)</f>
        <v>0</v>
      </c>
      <c r="S370" s="128">
        <f ca="1">IF(OFFSET('IWP17'!UnitsOfServicePeriod1, 2, 15, 1, 1) = "", 0, OFFSET('IWP17'!UnitsOfServicePeriod1, 2, 15, 1, 1))</f>
        <v>0</v>
      </c>
      <c r="T370" s="128">
        <f ca="1">IF(OFFSET('IWP17'!UnitsOfServicePeriod1, 2, 16, 1, 1) = "", 0, OFFSET('IWP17'!UnitsOfServicePeriod1, 2, 16, 1, 1))</f>
        <v>0</v>
      </c>
      <c r="U370" s="128">
        <f ca="1">OFFSET('IWP17'!UnitsOfServicePeriod1, 2, 17, 1, 1)</f>
        <v>0</v>
      </c>
      <c r="V370" s="128">
        <f ca="1">IF(OFFSET('IWP17'!UnitsOfServicePeriod1, 2, 19, 1, 1) = "", 0, OFFSET('IWP17'!UnitsOfServicePeriod1, 2, 19, 1, 1))</f>
        <v>0</v>
      </c>
      <c r="W370" s="128">
        <f ca="1">OFFSET('IWP17'!UnitsOfServicePeriod1, 2, 20, 1, 1)</f>
        <v>0</v>
      </c>
      <c r="X370" s="128">
        <f ca="1">IF(OFFSET('IWP17'!UnitsOfServicePeriod1, 2, 21, 1, 1) = "", 0, OFFSET('IWP17'!UnitsOfServicePeriod1, 2, 21, 1, 1))</f>
        <v>0</v>
      </c>
      <c r="Y370" s="137">
        <f ca="1">OFFSET('IWP17'!UnitsOfServicePeriod1, 2, 22, 1, 1)</f>
        <v>0</v>
      </c>
    </row>
    <row r="371" spans="1:25">
      <c r="A371" s="125" t="s">
        <v>490</v>
      </c>
      <c r="B371" s="128">
        <v>1</v>
      </c>
      <c r="C371" s="128">
        <v>4</v>
      </c>
      <c r="D371" s="107">
        <f ca="1">IF(OFFSET('IWP17'!UnitsOfServicePeriod1, 3, 0, 1, 1)=DATE(1900,1,0), DATE(1900,1,1),OFFSET('IWP17'!UnitsOfServicePeriod1, 3, 0, 1, 1))</f>
        <v>1</v>
      </c>
      <c r="E371" s="107">
        <f ca="1">IF(OFFSET('IWP17'!UnitsOfServicePeriod1, 3, 1, 1, 1)=DATE(1900,1,0), DATE(1900,1,1),OFFSET('IWP17'!UnitsOfServicePeriod1, 3, 1, 1, 1))</f>
        <v>1</v>
      </c>
      <c r="F371" s="128">
        <f ca="1">OFFSET('IWP17'!UnitsOfServicePeriod1, 3, 2, 1, 1)</f>
        <v>0</v>
      </c>
      <c r="G371" s="128">
        <f ca="1">IF(OFFSET('IWP17'!UnitsOfServicePeriod1, 3, 3, 1, 1) = "", 0, OFFSET('IWP17'!UnitsOfServicePeriod1, 3, 3, 1, 1))</f>
        <v>0</v>
      </c>
      <c r="H371" s="128">
        <f ca="1">OFFSET('IWP17'!UnitsOfServicePeriod1, 3, 4, 1, 1)</f>
        <v>0</v>
      </c>
      <c r="I371" s="128">
        <f ca="1">IF(OFFSET('IWP17'!UnitsOfServicePeriod1, 3, 5, 1, 1) = "", 0, OFFSET('IWP17'!UnitsOfServicePeriod1, 3, 5, 1, 1))</f>
        <v>0</v>
      </c>
      <c r="J371" s="128">
        <f ca="1">OFFSET('IWP17'!UnitsOfServicePeriod1, 3, 6, 1, 1)</f>
        <v>0</v>
      </c>
      <c r="K371" s="128">
        <f ca="1">IF(OFFSET('IWP17'!UnitsOfServicePeriod1, 3, 7, 1, 1) = "", 0, OFFSET('IWP17'!UnitsOfServicePeriod1, 3, 7, 1, 1))</f>
        <v>0</v>
      </c>
      <c r="L371" s="128">
        <f ca="1">OFFSET('IWP17'!UnitsOfServicePeriod1, 3, 8, 1, 1)</f>
        <v>0</v>
      </c>
      <c r="M371" s="128">
        <f ca="1">IF(OFFSET('IWP17'!UnitsOfServicePeriod1, 3, 9, 1, 1) = "", 0, OFFSET('IWP17'!UnitsOfServicePeriod1, 3, 9, 1, 1))</f>
        <v>0</v>
      </c>
      <c r="N371" s="128">
        <f ca="1">OFFSET('IWP17'!UnitsOfServicePeriod1, 3, 10, 1, 1)</f>
        <v>0</v>
      </c>
      <c r="O371" s="128">
        <f ca="1">IF(OFFSET('IWP17'!UnitsOfServicePeriod1, 3, 11, 1, 1) = "", 0, OFFSET('IWP17'!UnitsOfServicePeriod1, 3, 11, 1, 1))</f>
        <v>0</v>
      </c>
      <c r="P371" s="128">
        <f ca="1">OFFSET('IWP17'!UnitsOfServicePeriod1, 3, 12, 1, 1)</f>
        <v>0</v>
      </c>
      <c r="Q371" s="128">
        <f ca="1">IF(OFFSET('IWP17'!UnitsOfServicePeriod1, 3, 13, 1, 1) = "", 0, OFFSET('IWP17'!UnitsOfServicePeriod1, 3, 13, 1, 1))</f>
        <v>0</v>
      </c>
      <c r="R371" s="128">
        <f ca="1">OFFSET('IWP17'!UnitsOfServicePeriod1, 3, 14, 1, 1)</f>
        <v>0</v>
      </c>
      <c r="S371" s="128">
        <f ca="1">IF(OFFSET('IWP17'!UnitsOfServicePeriod1, 3, 15, 1, 1) = "", 0, OFFSET('IWP17'!UnitsOfServicePeriod1, 3, 15, 1, 1))</f>
        <v>0</v>
      </c>
      <c r="T371" s="128">
        <f ca="1">IF(OFFSET('IWP17'!UnitsOfServicePeriod1, 3, 16, 1, 1) = "", 0, OFFSET('IWP17'!UnitsOfServicePeriod1, 3, 16, 1, 1))</f>
        <v>0</v>
      </c>
      <c r="U371" s="128">
        <f ca="1">OFFSET('IWP17'!UnitsOfServicePeriod1, 3, 17, 1, 1)</f>
        <v>0</v>
      </c>
      <c r="V371" s="128">
        <f ca="1">IF(OFFSET('IWP17'!UnitsOfServicePeriod1, 3, 19, 1, 1) = "", 0, OFFSET('IWP17'!UnitsOfServicePeriod1, 3, 19, 1, 1))</f>
        <v>0</v>
      </c>
      <c r="W371" s="128">
        <f ca="1">OFFSET('IWP17'!UnitsOfServicePeriod1, 3, 20, 1, 1)</f>
        <v>0</v>
      </c>
      <c r="X371" s="128">
        <f ca="1">IF(OFFSET('IWP17'!UnitsOfServicePeriod1, 3, 21, 1, 1) = "", 0, OFFSET('IWP17'!UnitsOfServicePeriod1, 3, 21, 1, 1))</f>
        <v>0</v>
      </c>
      <c r="Y371" s="137">
        <f ca="1">OFFSET('IWP17'!UnitsOfServicePeriod1, 3, 22, 1, 1)</f>
        <v>0</v>
      </c>
    </row>
    <row r="372" spans="1:25">
      <c r="A372" s="125" t="s">
        <v>490</v>
      </c>
      <c r="B372" s="128">
        <v>1</v>
      </c>
      <c r="C372" s="128">
        <v>5</v>
      </c>
      <c r="D372" s="107">
        <f ca="1">IF(OFFSET('IWP17'!UnitsOfServicePeriod1, 4, 0, 1, 1)=DATE(1900,1,0), DATE(1900,1,1),OFFSET('IWP17'!UnitsOfServicePeriod1, 4, 0, 1, 1))</f>
        <v>1</v>
      </c>
      <c r="E372" s="107">
        <f ca="1">IF(OFFSET('IWP17'!UnitsOfServicePeriod1, 4, 1, 1, 1)=DATE(1900,1,0), DATE(1900,1,1),OFFSET('IWP17'!UnitsOfServicePeriod1, 4, 1, 1, 1))</f>
        <v>1</v>
      </c>
      <c r="F372" s="128">
        <f ca="1">OFFSET('IWP17'!UnitsOfServicePeriod1, 4, 2, 1, 1)</f>
        <v>0</v>
      </c>
      <c r="G372" s="128">
        <f ca="1">IF(OFFSET('IWP17'!UnitsOfServicePeriod1, 4, 3, 1, 1) = "", 0, OFFSET('IWP17'!UnitsOfServicePeriod1, 4, 3, 1, 1))</f>
        <v>0</v>
      </c>
      <c r="H372" s="128">
        <f ca="1">OFFSET('IWP17'!UnitsOfServicePeriod1, 4, 4, 1, 1)</f>
        <v>0</v>
      </c>
      <c r="I372" s="128">
        <f ca="1">IF(OFFSET('IWP17'!UnitsOfServicePeriod1, 4, 5, 1, 1) = "", 0, OFFSET('IWP17'!UnitsOfServicePeriod1, 4, 5, 1, 1))</f>
        <v>0</v>
      </c>
      <c r="J372" s="128">
        <f ca="1">OFFSET('IWP17'!UnitsOfServicePeriod1, 4, 6, 1, 1)</f>
        <v>0</v>
      </c>
      <c r="K372" s="128">
        <f ca="1">IF(OFFSET('IWP17'!UnitsOfServicePeriod1, 4, 7, 1, 1) = "", 0, OFFSET('IWP17'!UnitsOfServicePeriod1, 4, 7, 1, 1))</f>
        <v>0</v>
      </c>
      <c r="L372" s="128">
        <f ca="1">OFFSET('IWP17'!UnitsOfServicePeriod1, 4, 8, 1, 1)</f>
        <v>0</v>
      </c>
      <c r="M372" s="128">
        <f ca="1">IF(OFFSET('IWP17'!UnitsOfServicePeriod1, 4, 9, 1, 1) = "", 0, OFFSET('IWP17'!UnitsOfServicePeriod1, 4, 9, 1, 1))</f>
        <v>0</v>
      </c>
      <c r="N372" s="128">
        <f ca="1">OFFSET('IWP17'!UnitsOfServicePeriod1, 4, 10, 1, 1)</f>
        <v>0</v>
      </c>
      <c r="O372" s="128">
        <f ca="1">IF(OFFSET('IWP17'!UnitsOfServicePeriod1, 4, 11, 1, 1) = "", 0, OFFSET('IWP17'!UnitsOfServicePeriod1, 4, 11, 1, 1))</f>
        <v>0</v>
      </c>
      <c r="P372" s="128">
        <f ca="1">OFFSET('IWP17'!UnitsOfServicePeriod1, 4, 12, 1, 1)</f>
        <v>0</v>
      </c>
      <c r="Q372" s="128">
        <f ca="1">IF(OFFSET('IWP17'!UnitsOfServicePeriod1, 4, 13, 1, 1) = "", 0, OFFSET('IWP17'!UnitsOfServicePeriod1, 4, 13, 1, 1))</f>
        <v>0</v>
      </c>
      <c r="R372" s="128">
        <f ca="1">OFFSET('IWP17'!UnitsOfServicePeriod1, 4, 14, 1, 1)</f>
        <v>0</v>
      </c>
      <c r="S372" s="128">
        <f ca="1">IF(OFFSET('IWP17'!UnitsOfServicePeriod1, 4, 15, 1, 1) = "", 0, OFFSET('IWP17'!UnitsOfServicePeriod1, 4, 15, 1, 1))</f>
        <v>0</v>
      </c>
      <c r="T372" s="128">
        <f ca="1">IF(OFFSET('IWP17'!UnitsOfServicePeriod1, 4, 16, 1, 1) = "", 0, OFFSET('IWP17'!UnitsOfServicePeriod1, 4, 16, 1, 1))</f>
        <v>0</v>
      </c>
      <c r="U372" s="128">
        <f ca="1">OFFSET('IWP17'!UnitsOfServicePeriod1, 4, 17, 1, 1)</f>
        <v>0</v>
      </c>
      <c r="V372" s="128">
        <f ca="1">IF(OFFSET('IWP17'!UnitsOfServicePeriod1, 4, 19, 1, 1) = "", 0, OFFSET('IWP17'!UnitsOfServicePeriod1, 4, 19, 1, 1))</f>
        <v>0</v>
      </c>
      <c r="W372" s="128">
        <f ca="1">OFFSET('IWP17'!UnitsOfServicePeriod1, 4, 20, 1, 1)</f>
        <v>0</v>
      </c>
      <c r="X372" s="128">
        <f ca="1">IF(OFFSET('IWP17'!UnitsOfServicePeriod1, 4, 21, 1, 1) = "", 0, OFFSET('IWP17'!UnitsOfServicePeriod1, 4, 21, 1, 1))</f>
        <v>0</v>
      </c>
      <c r="Y372" s="137">
        <f ca="1">OFFSET('IWP17'!UnitsOfServicePeriod1, 4, 22, 1, 1)</f>
        <v>0</v>
      </c>
    </row>
    <row r="373" spans="1:25">
      <c r="A373" s="125" t="s">
        <v>490</v>
      </c>
      <c r="B373" s="128">
        <v>1</v>
      </c>
      <c r="C373" s="128">
        <v>6</v>
      </c>
      <c r="D373" s="107">
        <f ca="1">IF(OFFSET('IWP17'!UnitsOfServicePeriod1, 5, 0, 1, 1)=DATE(1900,1,0), DATE(1900,1,1),OFFSET('IWP17'!UnitsOfServicePeriod1, 5, 0, 1, 1))</f>
        <v>1</v>
      </c>
      <c r="E373" s="107">
        <f ca="1">IF(OFFSET('IWP17'!UnitsOfServicePeriod1, 5, 1, 1, 1)=DATE(1900,1,0), DATE(1900,1,1),OFFSET('IWP17'!UnitsOfServicePeriod1, 5, 1, 1, 1))</f>
        <v>1</v>
      </c>
      <c r="F373" s="128">
        <f ca="1">OFFSET('IWP17'!UnitsOfServicePeriod1, 5, 2, 1, 1)</f>
        <v>0</v>
      </c>
      <c r="G373" s="128">
        <f ca="1">IF(OFFSET('IWP17'!UnitsOfServicePeriod1, 5, 3, 1, 1) = "", 0, OFFSET('IWP17'!UnitsOfServicePeriod1, 5, 3, 1, 1))</f>
        <v>0</v>
      </c>
      <c r="H373" s="128">
        <f ca="1">OFFSET('IWP17'!UnitsOfServicePeriod1, 5, 4, 1, 1)</f>
        <v>0</v>
      </c>
      <c r="I373" s="128">
        <f ca="1">IF(OFFSET('IWP17'!UnitsOfServicePeriod1, 5, 5, 1, 1) = "", 0, OFFSET('IWP17'!UnitsOfServicePeriod1, 5, 5, 1, 1))</f>
        <v>0</v>
      </c>
      <c r="J373" s="128">
        <f ca="1">OFFSET('IWP17'!UnitsOfServicePeriod1, 5, 6, 1, 1)</f>
        <v>0</v>
      </c>
      <c r="K373" s="128">
        <f ca="1">IF(OFFSET('IWP17'!UnitsOfServicePeriod1, 5, 7, 1, 1) = "", 0, OFFSET('IWP17'!UnitsOfServicePeriod1, 5, 7, 1, 1))</f>
        <v>0</v>
      </c>
      <c r="L373" s="128">
        <f ca="1">OFFSET('IWP17'!UnitsOfServicePeriod1, 5, 8, 1, 1)</f>
        <v>0</v>
      </c>
      <c r="M373" s="128">
        <f ca="1">IF(OFFSET('IWP17'!UnitsOfServicePeriod1, 5, 9, 1, 1) = "", 0, OFFSET('IWP17'!UnitsOfServicePeriod1, 5, 9, 1, 1))</f>
        <v>0</v>
      </c>
      <c r="N373" s="128">
        <f ca="1">OFFSET('IWP17'!UnitsOfServicePeriod1, 5, 10, 1, 1)</f>
        <v>0</v>
      </c>
      <c r="O373" s="128">
        <f ca="1">IF(OFFSET('IWP17'!UnitsOfServicePeriod1, 5, 11, 1, 1) = "", 0, OFFSET('IWP17'!UnitsOfServicePeriod1, 5, 11, 1, 1))</f>
        <v>0</v>
      </c>
      <c r="P373" s="128">
        <f ca="1">OFFSET('IWP17'!UnitsOfServicePeriod1, 5, 12, 1, 1)</f>
        <v>0</v>
      </c>
      <c r="Q373" s="128">
        <f ca="1">IF(OFFSET('IWP17'!UnitsOfServicePeriod1, 5, 13, 1, 1) = "", 0, OFFSET('IWP17'!UnitsOfServicePeriod1, 5, 13, 1, 1))</f>
        <v>0</v>
      </c>
      <c r="R373" s="128">
        <f ca="1">OFFSET('IWP17'!UnitsOfServicePeriod1, 5, 14, 1, 1)</f>
        <v>0</v>
      </c>
      <c r="S373" s="128">
        <f ca="1">IF(OFFSET('IWP17'!UnitsOfServicePeriod1, 5, 15, 1, 1) = "", 0, OFFSET('IWP17'!UnitsOfServicePeriod1, 5, 15, 1, 1))</f>
        <v>0</v>
      </c>
      <c r="T373" s="128">
        <f ca="1">IF(OFFSET('IWP17'!UnitsOfServicePeriod1, 5, 16, 1, 1) = "", 0, OFFSET('IWP17'!UnitsOfServicePeriod1, 5, 16, 1, 1))</f>
        <v>0</v>
      </c>
      <c r="U373" s="128">
        <f ca="1">OFFSET('IWP17'!UnitsOfServicePeriod1, 5, 17, 1, 1)</f>
        <v>0</v>
      </c>
      <c r="V373" s="128">
        <f ca="1">IF(OFFSET('IWP17'!UnitsOfServicePeriod1, 5, 19, 1, 1) = "", 0, OFFSET('IWP17'!UnitsOfServicePeriod1, 5, 19, 1, 1))</f>
        <v>0</v>
      </c>
      <c r="W373" s="128">
        <f ca="1">OFFSET('IWP17'!UnitsOfServicePeriod1, 5, 20, 1, 1)</f>
        <v>0</v>
      </c>
      <c r="X373" s="128">
        <f ca="1">IF(OFFSET('IWP17'!UnitsOfServicePeriod1, 5, 21, 1, 1) = "", 0, OFFSET('IWP17'!UnitsOfServicePeriod1, 5, 21, 1, 1))</f>
        <v>0</v>
      </c>
      <c r="Y373" s="137">
        <f ca="1">OFFSET('IWP17'!UnitsOfServicePeriod1, 5, 22, 1, 1)</f>
        <v>0</v>
      </c>
    </row>
    <row r="374" spans="1:25">
      <c r="A374" s="125" t="s">
        <v>490</v>
      </c>
      <c r="B374" s="128">
        <v>2</v>
      </c>
      <c r="C374" s="128">
        <v>1</v>
      </c>
      <c r="D374" s="107">
        <f ca="1">IF(OFFSET('IWP17'!UnitsOfServicePeriod2, 0, 0, 1, 1)=DATE(1900,1,0), DATE(1900,1,1),OFFSET('IWP17'!UnitsOfServicePeriod2, 0, 0, 1, 1))</f>
        <v>1</v>
      </c>
      <c r="E374" s="107">
        <f ca="1">IF(OFFSET('IWP17'!UnitsOfServicePeriod2, 0, 1, 1, 1)=DATE(1900,1,0), DATE(1900,1,1),OFFSET('IWP17'!UnitsOfServicePeriod2, 0, 1, 1, 1))</f>
        <v>1</v>
      </c>
      <c r="F374" s="128">
        <f ca="1">OFFSET('IWP17'!UnitsOfServicePeriod2, 0, 2, 1, 1)</f>
        <v>0</v>
      </c>
      <c r="G374" s="128">
        <f ca="1">IF(OFFSET('IWP17'!UnitsOfServicePeriod2, 0, 3, 1, 1) = "", 0, OFFSET('IWP17'!UnitsOfServicePeriod2, 0, 3, 1, 1))</f>
        <v>0</v>
      </c>
      <c r="H374" s="128">
        <f ca="1">OFFSET('IWP17'!UnitsOfServicePeriod2, 0, 4, 1, 1)</f>
        <v>0</v>
      </c>
      <c r="I374" s="128">
        <f ca="1">IF(OFFSET('IWP17'!UnitsOfServicePeriod2, 0, 5, 1, 1) = "", 0, OFFSET('IWP17'!UnitsOfServicePeriod2, 0, 5, 1, 1))</f>
        <v>0</v>
      </c>
      <c r="J374" s="128">
        <f ca="1">OFFSET('IWP17'!UnitsOfServicePeriod2, 0, 6, 1, 1)</f>
        <v>0</v>
      </c>
      <c r="K374" s="128">
        <f ca="1">IF(OFFSET('IWP17'!UnitsOfServicePeriod2, 0, 7, 1, 1) = "", 0, OFFSET('IWP17'!UnitsOfServicePeriod2, 0, 7, 1, 1))</f>
        <v>0</v>
      </c>
      <c r="L374" s="128">
        <f ca="1">OFFSET('IWP17'!UnitsOfServicePeriod2, 0, 8, 1, 1)</f>
        <v>0</v>
      </c>
      <c r="M374" s="128">
        <f ca="1">IF(OFFSET('IWP17'!UnitsOfServicePeriod2, 0, 9, 1, 1) = "", 0, OFFSET('IWP17'!UnitsOfServicePeriod2, 0, 9, 1, 1))</f>
        <v>0</v>
      </c>
      <c r="N374" s="128">
        <f ca="1">OFFSET('IWP17'!UnitsOfServicePeriod2, 0, 10, 1, 1)</f>
        <v>0</v>
      </c>
      <c r="O374" s="128">
        <f ca="1">IF(OFFSET('IWP17'!UnitsOfServicePeriod2, 0, 11, 1, 1) = "", 0, OFFSET('IWP17'!UnitsOfServicePeriod2, 0, 11, 1, 1))</f>
        <v>0</v>
      </c>
      <c r="P374" s="128">
        <f ca="1">OFFSET('IWP17'!UnitsOfServicePeriod2, 0, 12, 1, 1)</f>
        <v>0</v>
      </c>
      <c r="Q374" s="128">
        <f ca="1">IF(OFFSET('IWP17'!UnitsOfServicePeriod2, 0, 13, 1, 1) = "", 0, OFFSET('IWP17'!UnitsOfServicePeriod2, 0, 13, 1, 1))</f>
        <v>0</v>
      </c>
      <c r="R374" s="128">
        <f ca="1">OFFSET('IWP17'!UnitsOfServicePeriod2, 0, 14, 1, 1)</f>
        <v>0</v>
      </c>
      <c r="S374" s="128">
        <f ca="1">IF(OFFSET('IWP17'!UnitsOfServicePeriod2, 0, 15, 1, 1) = "", 0, OFFSET('IWP17'!UnitsOfServicePeriod2, 0, 15, 1, 1))</f>
        <v>0</v>
      </c>
      <c r="T374" s="128">
        <f ca="1">IF(OFFSET('IWP17'!UnitsOfServicePeriod2, 0, 16, 1, 1) = "", 0, OFFSET('IWP17'!UnitsOfServicePeriod2, 0, 16, 1, 1))</f>
        <v>0</v>
      </c>
      <c r="U374" s="128">
        <f ca="1">OFFSET('IWP17'!UnitsOfServicePeriod2, 0, 17, 1, 1)</f>
        <v>0</v>
      </c>
      <c r="V374" s="128">
        <f ca="1">IF(OFFSET('IWP17'!UnitsOfServicePeriod2, 0, 19, 1, 1) = "", 0, OFFSET('IWP17'!UnitsOfServicePeriod2, 0, 19, 1, 1))</f>
        <v>0</v>
      </c>
      <c r="W374" s="128">
        <f ca="1">OFFSET('IWP17'!UnitsOfServicePeriod2, 0, 20, 1, 1)</f>
        <v>0</v>
      </c>
      <c r="X374" s="128">
        <f ca="1">IF(OFFSET('IWP17'!UnitsOfServicePeriod2, 0, 21, 1, 1) = "", 0, OFFSET('IWP17'!UnitsOfServicePeriod2, 0, 21, 1, 1))</f>
        <v>0</v>
      </c>
      <c r="Y374" s="137">
        <f ca="1">OFFSET('IWP17'!UnitsOfServicePeriod2, 0, 22, 1, 1)</f>
        <v>0</v>
      </c>
    </row>
    <row r="375" spans="1:25">
      <c r="A375" s="125" t="s">
        <v>490</v>
      </c>
      <c r="B375" s="128">
        <v>2</v>
      </c>
      <c r="C375" s="128">
        <v>2</v>
      </c>
      <c r="D375" s="107">
        <f ca="1">IF(OFFSET('IWP17'!UnitsOfServicePeriod2, 1, 0, 1, 1)=DATE(1900,1,0), DATE(1900,1,1),OFFSET('IWP17'!UnitsOfServicePeriod2, 1, 0, 1, 1))</f>
        <v>1</v>
      </c>
      <c r="E375" s="107">
        <f ca="1">IF(OFFSET('IWP17'!UnitsOfServicePeriod2, 1, 1, 1, 1)=DATE(1900,1,0), DATE(1900,1,1),OFFSET('IWP17'!UnitsOfServicePeriod2, 1, 1, 1, 1))</f>
        <v>1</v>
      </c>
      <c r="F375" s="128">
        <f ca="1">OFFSET('IWP17'!UnitsOfServicePeriod2, 1, 2, 1, 1)</f>
        <v>0</v>
      </c>
      <c r="G375" s="128">
        <f ca="1">IF(OFFSET('IWP17'!UnitsOfServicePeriod2, 1, 3, 1, 1) = "", 0, OFFSET('IWP17'!UnitsOfServicePeriod2, 1, 3, 1, 1))</f>
        <v>0</v>
      </c>
      <c r="H375" s="128">
        <f ca="1">OFFSET('IWP17'!UnitsOfServicePeriod2, 1, 4, 1, 1)</f>
        <v>0</v>
      </c>
      <c r="I375" s="128">
        <f ca="1">IF(OFFSET('IWP17'!UnitsOfServicePeriod2, 1, 5, 1, 1) = "", 0, OFFSET('IWP17'!UnitsOfServicePeriod2, 1, 5, 1, 1))</f>
        <v>0</v>
      </c>
      <c r="J375" s="128">
        <f ca="1">OFFSET('IWP17'!UnitsOfServicePeriod2, 1, 6, 1, 1)</f>
        <v>0</v>
      </c>
      <c r="K375" s="128">
        <f ca="1">IF(OFFSET('IWP17'!UnitsOfServicePeriod2, 1, 7, 1, 1) = "", 0, OFFSET('IWP17'!UnitsOfServicePeriod2, 1, 7, 1, 1))</f>
        <v>0</v>
      </c>
      <c r="L375" s="128">
        <f ca="1">OFFSET('IWP17'!UnitsOfServicePeriod2, 1, 8, 1, 1)</f>
        <v>0</v>
      </c>
      <c r="M375" s="128">
        <f ca="1">IF(OFFSET('IWP17'!UnitsOfServicePeriod2, 1, 9, 1, 1) = "", 0, OFFSET('IWP17'!UnitsOfServicePeriod2, 1, 9, 1, 1))</f>
        <v>0</v>
      </c>
      <c r="N375" s="128">
        <f ca="1">OFFSET('IWP17'!UnitsOfServicePeriod2, 1, 10, 1, 1)</f>
        <v>0</v>
      </c>
      <c r="O375" s="128">
        <f ca="1">IF(OFFSET('IWP17'!UnitsOfServicePeriod2, 1, 11, 1, 1) = "", 0, OFFSET('IWP17'!UnitsOfServicePeriod2, 1, 11, 1, 1))</f>
        <v>0</v>
      </c>
      <c r="P375" s="128">
        <f ca="1">OFFSET('IWP17'!UnitsOfServicePeriod2, 1, 12, 1, 1)</f>
        <v>0</v>
      </c>
      <c r="Q375" s="128">
        <f ca="1">IF(OFFSET('IWP17'!UnitsOfServicePeriod2, 1, 13, 1, 1) = "", 0, OFFSET('IWP17'!UnitsOfServicePeriod2, 1, 13, 1, 1))</f>
        <v>0</v>
      </c>
      <c r="R375" s="128">
        <f ca="1">OFFSET('IWP17'!UnitsOfServicePeriod2, 1, 14, 1, 1)</f>
        <v>0</v>
      </c>
      <c r="S375" s="128">
        <f ca="1">IF(OFFSET('IWP17'!UnitsOfServicePeriod2, 1, 15, 1, 1) = "", 0, OFFSET('IWP17'!UnitsOfServicePeriod2, 1, 15, 1, 1))</f>
        <v>0</v>
      </c>
      <c r="T375" s="128">
        <f ca="1">IF(OFFSET('IWP17'!UnitsOfServicePeriod2, 1, 16, 1, 1) = "", 0, OFFSET('IWP17'!UnitsOfServicePeriod2, 1, 16, 1, 1))</f>
        <v>0</v>
      </c>
      <c r="U375" s="128">
        <f ca="1">OFFSET('IWP17'!UnitsOfServicePeriod2, 1, 17, 1, 1)</f>
        <v>0</v>
      </c>
      <c r="V375" s="128">
        <f ca="1">IF(OFFSET('IWP17'!UnitsOfServicePeriod2, 1, 19, 1, 1) = "", 0, OFFSET('IWP17'!UnitsOfServicePeriod2, 1, 19, 1, 1))</f>
        <v>0</v>
      </c>
      <c r="W375" s="128">
        <f ca="1">OFFSET('IWP17'!UnitsOfServicePeriod2, 1, 20, 1, 1)</f>
        <v>0</v>
      </c>
      <c r="X375" s="128">
        <f ca="1">IF(OFFSET('IWP17'!UnitsOfServicePeriod2, 1, 21, 1, 1) = "", 0, OFFSET('IWP17'!UnitsOfServicePeriod2, 1, 21, 1, 1))</f>
        <v>0</v>
      </c>
      <c r="Y375" s="137">
        <f ca="1">OFFSET('IWP17'!UnitsOfServicePeriod2, 1, 22, 1, 1)</f>
        <v>0</v>
      </c>
    </row>
    <row r="376" spans="1:25">
      <c r="A376" s="125" t="s">
        <v>490</v>
      </c>
      <c r="B376" s="128">
        <v>2</v>
      </c>
      <c r="C376" s="128">
        <v>3</v>
      </c>
      <c r="D376" s="107">
        <f ca="1">IF(OFFSET('IWP17'!UnitsOfServicePeriod2, 2, 0, 1, 1)=DATE(1900,1,0), DATE(1900,1,1),OFFSET('IWP17'!UnitsOfServicePeriod2, 2, 0, 1, 1))</f>
        <v>1</v>
      </c>
      <c r="E376" s="107">
        <f ca="1">IF(OFFSET('IWP17'!UnitsOfServicePeriod2, 2, 1, 1, 1)=DATE(1900,1,0), DATE(1900,1,1),OFFSET('IWP17'!UnitsOfServicePeriod2, 2, 1, 1, 1))</f>
        <v>1</v>
      </c>
      <c r="F376" s="128">
        <f ca="1">OFFSET('IWP17'!UnitsOfServicePeriod2, 2, 2, 1, 1)</f>
        <v>0</v>
      </c>
      <c r="G376" s="128">
        <f ca="1">IF(OFFSET('IWP17'!UnitsOfServicePeriod2, 2, 3, 1, 1) = "", 0, OFFSET('IWP17'!UnitsOfServicePeriod2, 2, 3, 1, 1))</f>
        <v>0</v>
      </c>
      <c r="H376" s="128">
        <f ca="1">OFFSET('IWP17'!UnitsOfServicePeriod2, 2, 4, 1, 1)</f>
        <v>0</v>
      </c>
      <c r="I376" s="128">
        <f ca="1">IF(OFFSET('IWP17'!UnitsOfServicePeriod2, 2, 5, 1, 1) = "", 0, OFFSET('IWP17'!UnitsOfServicePeriod2, 2, 5, 1, 1))</f>
        <v>0</v>
      </c>
      <c r="J376" s="128">
        <f ca="1">OFFSET('IWP17'!UnitsOfServicePeriod2, 2, 6, 1, 1)</f>
        <v>0</v>
      </c>
      <c r="K376" s="128">
        <f ca="1">IF(OFFSET('IWP17'!UnitsOfServicePeriod2, 2, 7, 1, 1) = "", 0, OFFSET('IWP17'!UnitsOfServicePeriod2, 2, 7, 1, 1))</f>
        <v>0</v>
      </c>
      <c r="L376" s="128">
        <f ca="1">OFFSET('IWP17'!UnitsOfServicePeriod2, 2, 8, 1, 1)</f>
        <v>0</v>
      </c>
      <c r="M376" s="128">
        <f ca="1">IF(OFFSET('IWP17'!UnitsOfServicePeriod2, 2, 9, 1, 1) = "", 0, OFFSET('IWP17'!UnitsOfServicePeriod2, 2, 9, 1, 1))</f>
        <v>0</v>
      </c>
      <c r="N376" s="128">
        <f ca="1">OFFSET('IWP17'!UnitsOfServicePeriod2, 2, 10, 1, 1)</f>
        <v>0</v>
      </c>
      <c r="O376" s="128">
        <f ca="1">IF(OFFSET('IWP17'!UnitsOfServicePeriod2, 2, 11, 1, 1) = "", 0, OFFSET('IWP17'!UnitsOfServicePeriod2, 2, 11, 1, 1))</f>
        <v>0</v>
      </c>
      <c r="P376" s="128">
        <f ca="1">OFFSET('IWP17'!UnitsOfServicePeriod2, 2, 12, 1, 1)</f>
        <v>0</v>
      </c>
      <c r="Q376" s="128">
        <f ca="1">IF(OFFSET('IWP17'!UnitsOfServicePeriod2, 2, 13, 1, 1) = "", 0, OFFSET('IWP17'!UnitsOfServicePeriod2, 2, 13, 1, 1))</f>
        <v>0</v>
      </c>
      <c r="R376" s="128">
        <f ca="1">OFFSET('IWP17'!UnitsOfServicePeriod2, 2, 14, 1, 1)</f>
        <v>0</v>
      </c>
      <c r="S376" s="128">
        <f ca="1">IF(OFFSET('IWP17'!UnitsOfServicePeriod2, 2, 15, 1, 1) = "", 0, OFFSET('IWP17'!UnitsOfServicePeriod2, 2, 15, 1, 1))</f>
        <v>0</v>
      </c>
      <c r="T376" s="128">
        <f ca="1">IF(OFFSET('IWP17'!UnitsOfServicePeriod2, 2, 16, 1, 1) = "", 0, OFFSET('IWP17'!UnitsOfServicePeriod2, 2, 16, 1, 1))</f>
        <v>0</v>
      </c>
      <c r="U376" s="128">
        <f ca="1">OFFSET('IWP17'!UnitsOfServicePeriod2, 2, 17, 1, 1)</f>
        <v>0</v>
      </c>
      <c r="V376" s="128">
        <f ca="1">IF(OFFSET('IWP17'!UnitsOfServicePeriod2, 2, 19, 1, 1) = "", 0, OFFSET('IWP17'!UnitsOfServicePeriod2, 2, 19, 1, 1))</f>
        <v>0</v>
      </c>
      <c r="W376" s="128">
        <f ca="1">OFFSET('IWP17'!UnitsOfServicePeriod2, 2, 20, 1, 1)</f>
        <v>0</v>
      </c>
      <c r="X376" s="128">
        <f ca="1">IF(OFFSET('IWP17'!UnitsOfServicePeriod2, 2, 21, 1, 1) = "", 0, OFFSET('IWP17'!UnitsOfServicePeriod2, 2, 21, 1, 1))</f>
        <v>0</v>
      </c>
      <c r="Y376" s="137">
        <f ca="1">OFFSET('IWP17'!UnitsOfServicePeriod2, 2, 22, 1, 1)</f>
        <v>0</v>
      </c>
    </row>
    <row r="377" spans="1:25">
      <c r="A377" s="125" t="s">
        <v>490</v>
      </c>
      <c r="B377" s="128">
        <v>2</v>
      </c>
      <c r="C377" s="128">
        <v>4</v>
      </c>
      <c r="D377" s="107">
        <f ca="1">IF(OFFSET('IWP17'!UnitsOfServicePeriod2, 3, 0, 1, 1)=DATE(1900,1,0), DATE(1900,1,1),OFFSET('IWP17'!UnitsOfServicePeriod2, 3, 0, 1, 1))</f>
        <v>1</v>
      </c>
      <c r="E377" s="107">
        <f ca="1">IF(OFFSET('IWP17'!UnitsOfServicePeriod2, 3, 1, 1, 1)=DATE(1900,1,0), DATE(1900,1,1),OFFSET('IWP17'!UnitsOfServicePeriod2, 3, 1, 1, 1))</f>
        <v>1</v>
      </c>
      <c r="F377" s="128">
        <f ca="1">OFFSET('IWP17'!UnitsOfServicePeriod2, 3, 2, 1, 1)</f>
        <v>0</v>
      </c>
      <c r="G377" s="128">
        <f ca="1">IF(OFFSET('IWP17'!UnitsOfServicePeriod2, 3, 3, 1, 1) = "", 0, OFFSET('IWP17'!UnitsOfServicePeriod2, 3, 3, 1, 1))</f>
        <v>0</v>
      </c>
      <c r="H377" s="128">
        <f ca="1">OFFSET('IWP17'!UnitsOfServicePeriod2, 3, 4, 1, 1)</f>
        <v>0</v>
      </c>
      <c r="I377" s="128">
        <f ca="1">IF(OFFSET('IWP17'!UnitsOfServicePeriod2, 3, 5, 1, 1) = "", 0, OFFSET('IWP17'!UnitsOfServicePeriod2, 3, 5, 1, 1))</f>
        <v>0</v>
      </c>
      <c r="J377" s="128">
        <f ca="1">OFFSET('IWP17'!UnitsOfServicePeriod2, 3, 6, 1, 1)</f>
        <v>0</v>
      </c>
      <c r="K377" s="128">
        <f ca="1">IF(OFFSET('IWP17'!UnitsOfServicePeriod2, 3, 7, 1, 1) = "", 0, OFFSET('IWP17'!UnitsOfServicePeriod2, 3, 7, 1, 1))</f>
        <v>0</v>
      </c>
      <c r="L377" s="128">
        <f ca="1">OFFSET('IWP17'!UnitsOfServicePeriod2, 3, 8, 1, 1)</f>
        <v>0</v>
      </c>
      <c r="M377" s="128">
        <f ca="1">IF(OFFSET('IWP17'!UnitsOfServicePeriod2, 3, 9, 1, 1) = "", 0, OFFSET('IWP17'!UnitsOfServicePeriod2, 3, 9, 1, 1))</f>
        <v>0</v>
      </c>
      <c r="N377" s="128">
        <f ca="1">OFFSET('IWP17'!UnitsOfServicePeriod2, 3, 10, 1, 1)</f>
        <v>0</v>
      </c>
      <c r="O377" s="128">
        <f ca="1">IF(OFFSET('IWP17'!UnitsOfServicePeriod2, 3, 11, 1, 1) = "", 0, OFFSET('IWP17'!UnitsOfServicePeriod2, 3, 11, 1, 1))</f>
        <v>0</v>
      </c>
      <c r="P377" s="128">
        <f ca="1">OFFSET('IWP17'!UnitsOfServicePeriod2, 3, 12, 1, 1)</f>
        <v>0</v>
      </c>
      <c r="Q377" s="128">
        <f ca="1">IF(OFFSET('IWP17'!UnitsOfServicePeriod2, 3, 13, 1, 1) = "", 0, OFFSET('IWP17'!UnitsOfServicePeriod2, 3, 13, 1, 1))</f>
        <v>0</v>
      </c>
      <c r="R377" s="128">
        <f ca="1">OFFSET('IWP17'!UnitsOfServicePeriod2, 3, 14, 1, 1)</f>
        <v>0</v>
      </c>
      <c r="S377" s="128">
        <f ca="1">IF(OFFSET('IWP17'!UnitsOfServicePeriod2, 3, 15, 1, 1) = "", 0, OFFSET('IWP17'!UnitsOfServicePeriod2, 3, 15, 1, 1))</f>
        <v>0</v>
      </c>
      <c r="T377" s="128">
        <f ca="1">IF(OFFSET('IWP17'!UnitsOfServicePeriod2, 3, 16, 1, 1) = "", 0, OFFSET('IWP17'!UnitsOfServicePeriod2, 3, 16, 1, 1))</f>
        <v>0</v>
      </c>
      <c r="U377" s="128">
        <f ca="1">OFFSET('IWP17'!UnitsOfServicePeriod2, 3, 17, 1, 1)</f>
        <v>0</v>
      </c>
      <c r="V377" s="128">
        <f ca="1">IF(OFFSET('IWP17'!UnitsOfServicePeriod2, 3, 19, 1, 1) = "", 0, OFFSET('IWP17'!UnitsOfServicePeriod2, 3, 19, 1, 1))</f>
        <v>0</v>
      </c>
      <c r="W377" s="128">
        <f ca="1">OFFSET('IWP17'!UnitsOfServicePeriod2, 3, 20, 1, 1)</f>
        <v>0</v>
      </c>
      <c r="X377" s="128">
        <f ca="1">IF(OFFSET('IWP17'!UnitsOfServicePeriod2, 3, 21, 1, 1) = "", 0, OFFSET('IWP17'!UnitsOfServicePeriod2, 3, 21, 1, 1))</f>
        <v>0</v>
      </c>
      <c r="Y377" s="137">
        <f ca="1">OFFSET('IWP17'!UnitsOfServicePeriod2, 3, 22, 1, 1)</f>
        <v>0</v>
      </c>
    </row>
    <row r="378" spans="1:25">
      <c r="A378" s="125" t="s">
        <v>490</v>
      </c>
      <c r="B378" s="128">
        <v>2</v>
      </c>
      <c r="C378" s="128">
        <v>5</v>
      </c>
      <c r="D378" s="107">
        <f ca="1">IF(OFFSET('IWP17'!UnitsOfServicePeriod2, 4, 0, 1, 1)=DATE(1900,1,0), DATE(1900,1,1),OFFSET('IWP17'!UnitsOfServicePeriod2, 4, 0, 1, 1))</f>
        <v>1</v>
      </c>
      <c r="E378" s="107">
        <f ca="1">IF(OFFSET('IWP17'!UnitsOfServicePeriod2, 4, 1, 1, 1)=DATE(1900,1,0), DATE(1900,1,1),OFFSET('IWP17'!UnitsOfServicePeriod2, 4, 1, 1, 1))</f>
        <v>1</v>
      </c>
      <c r="F378" s="128">
        <f ca="1">OFFSET('IWP17'!UnitsOfServicePeriod2, 4, 2, 1, 1)</f>
        <v>0</v>
      </c>
      <c r="G378" s="128">
        <f ca="1">IF(OFFSET('IWP17'!UnitsOfServicePeriod2, 4, 3, 1, 1) = "", 0, OFFSET('IWP17'!UnitsOfServicePeriod2, 4, 3, 1, 1))</f>
        <v>0</v>
      </c>
      <c r="H378" s="128">
        <f ca="1">OFFSET('IWP17'!UnitsOfServicePeriod2, 4, 4, 1, 1)</f>
        <v>0</v>
      </c>
      <c r="I378" s="128">
        <f ca="1">IF(OFFSET('IWP17'!UnitsOfServicePeriod2, 4, 5, 1, 1) = "", 0, OFFSET('IWP17'!UnitsOfServicePeriod2, 4, 5, 1, 1))</f>
        <v>0</v>
      </c>
      <c r="J378" s="128">
        <f ca="1">OFFSET('IWP17'!UnitsOfServicePeriod2, 4, 6, 1, 1)</f>
        <v>0</v>
      </c>
      <c r="K378" s="128">
        <f ca="1">IF(OFFSET('IWP17'!UnitsOfServicePeriod2, 4, 7, 1, 1) = "", 0, OFFSET('IWP17'!UnitsOfServicePeriod2, 4, 7, 1, 1))</f>
        <v>0</v>
      </c>
      <c r="L378" s="128">
        <f ca="1">OFFSET('IWP17'!UnitsOfServicePeriod2, 4, 8, 1, 1)</f>
        <v>0</v>
      </c>
      <c r="M378" s="128">
        <f ca="1">IF(OFFSET('IWP17'!UnitsOfServicePeriod2, 4, 9, 1, 1) = "", 0, OFFSET('IWP17'!UnitsOfServicePeriod2, 4, 9, 1, 1))</f>
        <v>0</v>
      </c>
      <c r="N378" s="128">
        <f ca="1">OFFSET('IWP17'!UnitsOfServicePeriod2, 4, 10, 1, 1)</f>
        <v>0</v>
      </c>
      <c r="O378" s="128">
        <f ca="1">IF(OFFSET('IWP17'!UnitsOfServicePeriod2, 4, 11, 1, 1) = "", 0, OFFSET('IWP17'!UnitsOfServicePeriod2, 4, 11, 1, 1))</f>
        <v>0</v>
      </c>
      <c r="P378" s="128">
        <f ca="1">OFFSET('IWP17'!UnitsOfServicePeriod2, 4, 12, 1, 1)</f>
        <v>0</v>
      </c>
      <c r="Q378" s="128">
        <f ca="1">IF(OFFSET('IWP17'!UnitsOfServicePeriod2, 4, 13, 1, 1) = "", 0, OFFSET('IWP17'!UnitsOfServicePeriod2, 4, 13, 1, 1))</f>
        <v>0</v>
      </c>
      <c r="R378" s="128">
        <f ca="1">OFFSET('IWP17'!UnitsOfServicePeriod2, 4, 14, 1, 1)</f>
        <v>0</v>
      </c>
      <c r="S378" s="128">
        <f ca="1">IF(OFFSET('IWP17'!UnitsOfServicePeriod2, 4, 15, 1, 1) = "", 0, OFFSET('IWP17'!UnitsOfServicePeriod2, 4, 15, 1, 1))</f>
        <v>0</v>
      </c>
      <c r="T378" s="128">
        <f ca="1">IF(OFFSET('IWP17'!UnitsOfServicePeriod2, 4, 16, 1, 1) = "", 0, OFFSET('IWP17'!UnitsOfServicePeriod2, 4, 16, 1, 1))</f>
        <v>0</v>
      </c>
      <c r="U378" s="128">
        <f ca="1">OFFSET('IWP17'!UnitsOfServicePeriod2, 4, 17, 1, 1)</f>
        <v>0</v>
      </c>
      <c r="V378" s="128">
        <f ca="1">IF(OFFSET('IWP17'!UnitsOfServicePeriod2, 4, 19, 1, 1) = "", 0, OFFSET('IWP17'!UnitsOfServicePeriod2, 4, 19, 1, 1))</f>
        <v>0</v>
      </c>
      <c r="W378" s="128">
        <f ca="1">OFFSET('IWP17'!UnitsOfServicePeriod2, 4, 20, 1, 1)</f>
        <v>0</v>
      </c>
      <c r="X378" s="128">
        <f ca="1">IF(OFFSET('IWP17'!UnitsOfServicePeriod2, 4, 21, 1, 1) = "", 0, OFFSET('IWP17'!UnitsOfServicePeriod2, 4, 21, 1, 1))</f>
        <v>0</v>
      </c>
      <c r="Y378" s="137">
        <f ca="1">OFFSET('IWP17'!UnitsOfServicePeriod2, 4, 22, 1, 1)</f>
        <v>0</v>
      </c>
    </row>
    <row r="379" spans="1:25">
      <c r="A379" s="125" t="s">
        <v>490</v>
      </c>
      <c r="B379" s="128">
        <v>2</v>
      </c>
      <c r="C379" s="128">
        <v>6</v>
      </c>
      <c r="D379" s="107">
        <f ca="1">IF(OFFSET('IWP17'!UnitsOfServicePeriod2, 5, 0, 1, 1)=DATE(1900,1,0), DATE(1900,1,1),OFFSET('IWP17'!UnitsOfServicePeriod2, 5, 0, 1, 1))</f>
        <v>1</v>
      </c>
      <c r="E379" s="107">
        <f ca="1">IF(OFFSET('IWP17'!UnitsOfServicePeriod2, 5, 1, 1, 1)=DATE(1900,1,0), DATE(1900,1,1),OFFSET('IWP17'!UnitsOfServicePeriod2, 5, 1, 1, 1))</f>
        <v>1</v>
      </c>
      <c r="F379" s="128">
        <f ca="1">OFFSET('IWP17'!UnitsOfServicePeriod2, 5, 2, 1, 1)</f>
        <v>0</v>
      </c>
      <c r="G379" s="128">
        <f ca="1">IF(OFFSET('IWP17'!UnitsOfServicePeriod2, 5, 3, 1, 1) = "", 0, OFFSET('IWP17'!UnitsOfServicePeriod2, 5, 3, 1, 1))</f>
        <v>0</v>
      </c>
      <c r="H379" s="128">
        <f ca="1">OFFSET('IWP17'!UnitsOfServicePeriod2, 5, 4, 1, 1)</f>
        <v>0</v>
      </c>
      <c r="I379" s="128">
        <f ca="1">IF(OFFSET('IWP17'!UnitsOfServicePeriod2, 5, 5, 1, 1) = "", 0, OFFSET('IWP17'!UnitsOfServicePeriod2, 5, 5, 1, 1))</f>
        <v>0</v>
      </c>
      <c r="J379" s="128">
        <f ca="1">OFFSET('IWP17'!UnitsOfServicePeriod2, 5, 6, 1, 1)</f>
        <v>0</v>
      </c>
      <c r="K379" s="128">
        <f ca="1">IF(OFFSET('IWP17'!UnitsOfServicePeriod2, 5, 7, 1, 1) = "", 0, OFFSET('IWP17'!UnitsOfServicePeriod2, 5, 7, 1, 1))</f>
        <v>0</v>
      </c>
      <c r="L379" s="128">
        <f ca="1">OFFSET('IWP17'!UnitsOfServicePeriod2, 5, 8, 1, 1)</f>
        <v>0</v>
      </c>
      <c r="M379" s="128">
        <f ca="1">IF(OFFSET('IWP17'!UnitsOfServicePeriod2, 5, 9, 1, 1) = "", 0, OFFSET('IWP17'!UnitsOfServicePeriod2, 5, 9, 1, 1))</f>
        <v>0</v>
      </c>
      <c r="N379" s="128">
        <f ca="1">OFFSET('IWP17'!UnitsOfServicePeriod2, 5, 10, 1, 1)</f>
        <v>0</v>
      </c>
      <c r="O379" s="128">
        <f ca="1">IF(OFFSET('IWP17'!UnitsOfServicePeriod2, 5, 11, 1, 1) = "", 0, OFFSET('IWP17'!UnitsOfServicePeriod2, 5, 11, 1, 1))</f>
        <v>0</v>
      </c>
      <c r="P379" s="128">
        <f ca="1">OFFSET('IWP17'!UnitsOfServicePeriod2, 5, 12, 1, 1)</f>
        <v>0</v>
      </c>
      <c r="Q379" s="128">
        <f ca="1">IF(OFFSET('IWP17'!UnitsOfServicePeriod2, 5, 13, 1, 1) = "", 0, OFFSET('IWP17'!UnitsOfServicePeriod2, 5, 13, 1, 1))</f>
        <v>0</v>
      </c>
      <c r="R379" s="128">
        <f ca="1">OFFSET('IWP17'!UnitsOfServicePeriod2, 5, 14, 1, 1)</f>
        <v>0</v>
      </c>
      <c r="S379" s="128">
        <f ca="1">IF(OFFSET('IWP17'!UnitsOfServicePeriod2, 5, 15, 1, 1) = "", 0, OFFSET('IWP17'!UnitsOfServicePeriod2, 5, 15, 1, 1))</f>
        <v>0</v>
      </c>
      <c r="T379" s="128">
        <f ca="1">IF(OFFSET('IWP17'!UnitsOfServicePeriod2, 5, 16, 1, 1) = "", 0, OFFSET('IWP17'!UnitsOfServicePeriod2, 5, 16, 1, 1))</f>
        <v>0</v>
      </c>
      <c r="U379" s="128">
        <f ca="1">OFFSET('IWP17'!UnitsOfServicePeriod2, 5, 17, 1, 1)</f>
        <v>0</v>
      </c>
      <c r="V379" s="128">
        <f ca="1">IF(OFFSET('IWP17'!UnitsOfServicePeriod2, 5, 19, 1, 1) = "", 0, OFFSET('IWP17'!UnitsOfServicePeriod2, 5, 19, 1, 1))</f>
        <v>0</v>
      </c>
      <c r="W379" s="128">
        <f ca="1">OFFSET('IWP17'!UnitsOfServicePeriod2, 5, 20, 1, 1)</f>
        <v>0</v>
      </c>
      <c r="X379" s="128">
        <f ca="1">IF(OFFSET('IWP17'!UnitsOfServicePeriod2, 5, 21, 1, 1) = "", 0, OFFSET('IWP17'!UnitsOfServicePeriod2, 5, 21, 1, 1))</f>
        <v>0</v>
      </c>
      <c r="Y379" s="137">
        <f ca="1">OFFSET('IWP17'!UnitsOfServicePeriod2, 5, 22, 1, 1)</f>
        <v>0</v>
      </c>
    </row>
    <row r="380" spans="1:25">
      <c r="A380" s="125" t="s">
        <v>491</v>
      </c>
      <c r="B380" s="128">
        <v>1</v>
      </c>
      <c r="C380" s="128">
        <v>1</v>
      </c>
      <c r="D380" s="107">
        <f ca="1">IF(OFFSET('IWP18'!UnitsOfServicePeriod1, 0, 0, 1, 1)=DATE(1900,1,0), DATE(1900,1,1),OFFSET('IWP18'!UnitsOfServicePeriod1, 0, 0, 1, 1))</f>
        <v>1</v>
      </c>
      <c r="E380" s="107">
        <f ca="1">IF(OFFSET('IWP18'!UnitsOfServicePeriod1, 0, 1, 1, 1)=DATE(1900,1,0), DATE(1900,1,1),OFFSET('IWP18'!UnitsOfServicePeriod1, 0, 1, 1, 1))</f>
        <v>1</v>
      </c>
      <c r="F380" s="128">
        <f ca="1">OFFSET('IWP18'!UnitsOfServicePeriod1, 0, 2, 1, 1)</f>
        <v>0</v>
      </c>
      <c r="G380" s="128">
        <f ca="1">IF(OFFSET('IWP18'!UnitsOfServicePeriod1, 0, 3, 1, 1) = "", 0, OFFSET('IWP18'!UnitsOfServicePeriod1, 0, 3, 1, 1))</f>
        <v>0</v>
      </c>
      <c r="H380" s="128">
        <f ca="1">OFFSET('IWP18'!UnitsOfServicePeriod1, 0, 4, 1, 1)</f>
        <v>0</v>
      </c>
      <c r="I380" s="128">
        <f ca="1">IF(OFFSET('IWP18'!UnitsOfServicePeriod1, 0, 5, 1, 1) = "", 0, OFFSET('IWP18'!UnitsOfServicePeriod1, 0, 5, 1, 1))</f>
        <v>0</v>
      </c>
      <c r="J380" s="128">
        <f ca="1">OFFSET('IWP18'!UnitsOfServicePeriod1, 0, 6, 1, 1)</f>
        <v>0</v>
      </c>
      <c r="K380" s="128">
        <f ca="1">IF(OFFSET('IWP18'!UnitsOfServicePeriod1, 0, 7, 1, 1) = "", 0, OFFSET('IWP18'!UnitsOfServicePeriod1, 0, 7, 1, 1))</f>
        <v>0</v>
      </c>
      <c r="L380" s="128">
        <f ca="1">OFFSET('IWP18'!UnitsOfServicePeriod1, 0, 8, 1, 1)</f>
        <v>0</v>
      </c>
      <c r="M380" s="128">
        <f ca="1">IF(OFFSET('IWP18'!UnitsOfServicePeriod1, 0, 9, 1, 1) = "", 0, OFFSET('IWP18'!UnitsOfServicePeriod1, 0, 9, 1, 1))</f>
        <v>0</v>
      </c>
      <c r="N380" s="128">
        <f ca="1">OFFSET('IWP18'!UnitsOfServicePeriod1, 0, 10, 1, 1)</f>
        <v>0</v>
      </c>
      <c r="O380" s="128">
        <f ca="1">IF(OFFSET('IWP18'!UnitsOfServicePeriod1, 0, 11, 1, 1) = "", 0, OFFSET('IWP18'!UnitsOfServicePeriod1, 0, 11, 1, 1))</f>
        <v>0</v>
      </c>
      <c r="P380" s="128">
        <f ca="1">OFFSET('IWP18'!UnitsOfServicePeriod1, 0, 12, 1, 1)</f>
        <v>0</v>
      </c>
      <c r="Q380" s="128">
        <f ca="1">IF(OFFSET('IWP18'!UnitsOfServicePeriod1, 0, 13, 1, 1) = "", 0, OFFSET('IWP18'!UnitsOfServicePeriod1, 0, 13, 1, 1))</f>
        <v>0</v>
      </c>
      <c r="R380" s="128">
        <f ca="1">OFFSET('IWP18'!UnitsOfServicePeriod1, 0, 14, 1, 1)</f>
        <v>0</v>
      </c>
      <c r="S380" s="128">
        <f ca="1">IF(OFFSET('IWP18'!UnitsOfServicePeriod1, 0, 15, 1, 1) = "", 0, OFFSET('IWP18'!UnitsOfServicePeriod1, 0, 15, 1, 1))</f>
        <v>0</v>
      </c>
      <c r="T380" s="128">
        <f ca="1">IF(OFFSET('IWP18'!UnitsOfServicePeriod1, 0, 16, 1, 1) = "", 0, OFFSET('IWP18'!UnitsOfServicePeriod1, 0, 16, 1, 1))</f>
        <v>0</v>
      </c>
      <c r="U380" s="128">
        <f ca="1">OFFSET('IWP18'!UnitsOfServicePeriod1, 0, 17, 1, 1)</f>
        <v>0</v>
      </c>
      <c r="V380" s="128">
        <f ca="1">IF(OFFSET('IWP18'!UnitsOfServicePeriod1, 0, 19, 1, 1) = "", 0, OFFSET('IWP18'!UnitsOfServicePeriod1, 0, 19, 1, 1))</f>
        <v>0</v>
      </c>
      <c r="W380" s="128">
        <f ca="1">OFFSET('IWP18'!UnitsOfServicePeriod1, 0, 20, 1, 1)</f>
        <v>0</v>
      </c>
      <c r="X380" s="128">
        <f ca="1">IF(OFFSET('IWP18'!UnitsOfServicePeriod1, 0, 21, 1, 1) = "", 0, OFFSET('IWP18'!UnitsOfServicePeriod1, 0, 21, 1, 1))</f>
        <v>0</v>
      </c>
      <c r="Y380" s="137">
        <f ca="1">OFFSET('IWP18'!UnitsOfServicePeriod1, 0, 22, 1, 1)</f>
        <v>0</v>
      </c>
    </row>
    <row r="381" spans="1:25">
      <c r="A381" s="125" t="s">
        <v>491</v>
      </c>
      <c r="B381" s="128">
        <v>1</v>
      </c>
      <c r="C381" s="128">
        <v>2</v>
      </c>
      <c r="D381" s="107">
        <f ca="1">IF(OFFSET('IWP18'!UnitsOfServicePeriod1, 1, 0, 1, 1)=DATE(1900,1,0), DATE(1900,1,1),OFFSET('IWP18'!UnitsOfServicePeriod1, 1, 0, 1, 1))</f>
        <v>1</v>
      </c>
      <c r="E381" s="107">
        <f ca="1">IF(OFFSET('IWP18'!UnitsOfServicePeriod1, 1, 1, 1, 1)=DATE(1900,1,0), DATE(1900,1,1),OFFSET('IWP18'!UnitsOfServicePeriod1, 1, 1, 1, 1))</f>
        <v>1</v>
      </c>
      <c r="F381" s="128">
        <f ca="1">OFFSET('IWP18'!UnitsOfServicePeriod1, 1, 2, 1, 1)</f>
        <v>0</v>
      </c>
      <c r="G381" s="128">
        <f ca="1">IF(OFFSET('IWP18'!UnitsOfServicePeriod1, 1, 3, 1, 1) = "", 0, OFFSET('IWP18'!UnitsOfServicePeriod1, 1, 3, 1, 1))</f>
        <v>0</v>
      </c>
      <c r="H381" s="128">
        <f ca="1">OFFSET('IWP18'!UnitsOfServicePeriod1, 1, 4, 1, 1)</f>
        <v>0</v>
      </c>
      <c r="I381" s="128">
        <f ca="1">IF(OFFSET('IWP18'!UnitsOfServicePeriod1, 1, 5, 1, 1) = "", 0, OFFSET('IWP18'!UnitsOfServicePeriod1, 1, 5, 1, 1))</f>
        <v>0</v>
      </c>
      <c r="J381" s="128">
        <f ca="1">OFFSET('IWP18'!UnitsOfServicePeriod1, 1, 6, 1, 1)</f>
        <v>0</v>
      </c>
      <c r="K381" s="128">
        <f ca="1">IF(OFFSET('IWP18'!UnitsOfServicePeriod1, 1, 7, 1, 1) = "", 0, OFFSET('IWP18'!UnitsOfServicePeriod1, 1, 7, 1, 1))</f>
        <v>0</v>
      </c>
      <c r="L381" s="128">
        <f ca="1">OFFSET('IWP18'!UnitsOfServicePeriod1, 1, 8, 1, 1)</f>
        <v>0</v>
      </c>
      <c r="M381" s="128">
        <f ca="1">IF(OFFSET('IWP18'!UnitsOfServicePeriod1, 1, 9, 1, 1) = "", 0, OFFSET('IWP18'!UnitsOfServicePeriod1, 1, 9, 1, 1))</f>
        <v>0</v>
      </c>
      <c r="N381" s="128">
        <f ca="1">OFFSET('IWP18'!UnitsOfServicePeriod1, 1, 10, 1, 1)</f>
        <v>0</v>
      </c>
      <c r="O381" s="128">
        <f ca="1">IF(OFFSET('IWP18'!UnitsOfServicePeriod1, 1, 11, 1, 1) = "", 0, OFFSET('IWP18'!UnitsOfServicePeriod1, 1, 11, 1, 1))</f>
        <v>0</v>
      </c>
      <c r="P381" s="128">
        <f ca="1">OFFSET('IWP18'!UnitsOfServicePeriod1, 1, 12, 1, 1)</f>
        <v>0</v>
      </c>
      <c r="Q381" s="128">
        <f ca="1">IF(OFFSET('IWP18'!UnitsOfServicePeriod1, 1, 13, 1, 1) = "", 0, OFFSET('IWP18'!UnitsOfServicePeriod1, 1, 13, 1, 1))</f>
        <v>0</v>
      </c>
      <c r="R381" s="128">
        <f ca="1">OFFSET('IWP18'!UnitsOfServicePeriod1, 1, 14, 1, 1)</f>
        <v>0</v>
      </c>
      <c r="S381" s="128">
        <f ca="1">IF(OFFSET('IWP18'!UnitsOfServicePeriod1, 1, 15, 1, 1) = "", 0, OFFSET('IWP18'!UnitsOfServicePeriod1, 1, 15, 1, 1))</f>
        <v>0</v>
      </c>
      <c r="T381" s="128">
        <f ca="1">IF(OFFSET('IWP18'!UnitsOfServicePeriod1, 1, 16, 1, 1) = "", 0, OFFSET('IWP18'!UnitsOfServicePeriod1, 1, 16, 1, 1))</f>
        <v>0</v>
      </c>
      <c r="U381" s="128">
        <f ca="1">OFFSET('IWP18'!UnitsOfServicePeriod1, 1, 17, 1, 1)</f>
        <v>0</v>
      </c>
      <c r="V381" s="128">
        <f ca="1">IF(OFFSET('IWP18'!UnitsOfServicePeriod1, 1, 19, 1, 1) = "", 0, OFFSET('IWP18'!UnitsOfServicePeriod1, 1, 19, 1, 1))</f>
        <v>0</v>
      </c>
      <c r="W381" s="128">
        <f ca="1">OFFSET('IWP18'!UnitsOfServicePeriod1, 1, 20, 1, 1)</f>
        <v>0</v>
      </c>
      <c r="X381" s="128">
        <f ca="1">IF(OFFSET('IWP18'!UnitsOfServicePeriod1, 1, 21, 1, 1) = "", 0, OFFSET('IWP18'!UnitsOfServicePeriod1, 1, 21, 1, 1))</f>
        <v>0</v>
      </c>
      <c r="Y381" s="137">
        <f ca="1">OFFSET('IWP18'!UnitsOfServicePeriod1, 1, 22, 1, 1)</f>
        <v>0</v>
      </c>
    </row>
    <row r="382" spans="1:25">
      <c r="A382" s="125" t="s">
        <v>491</v>
      </c>
      <c r="B382" s="128">
        <v>1</v>
      </c>
      <c r="C382" s="128">
        <v>3</v>
      </c>
      <c r="D382" s="107">
        <f ca="1">IF(OFFSET('IWP18'!UnitsOfServicePeriod1, 2, 0, 1, 1)=DATE(1900,1,0), DATE(1900,1,1),OFFSET('IWP18'!UnitsOfServicePeriod1, 2, 0, 1, 1))</f>
        <v>1</v>
      </c>
      <c r="E382" s="107">
        <f ca="1">IF(OFFSET('IWP18'!UnitsOfServicePeriod1, 2, 1, 1, 1)=DATE(1900,1,0), DATE(1900,1,1),OFFSET('IWP18'!UnitsOfServicePeriod1, 2, 1, 1, 1))</f>
        <v>1</v>
      </c>
      <c r="F382" s="128">
        <f ca="1">OFFSET('IWP18'!UnitsOfServicePeriod1, 2, 2, 1, 1)</f>
        <v>0</v>
      </c>
      <c r="G382" s="128">
        <f ca="1">IF(OFFSET('IWP18'!UnitsOfServicePeriod1, 2, 3, 1, 1) = "", 0, OFFSET('IWP18'!UnitsOfServicePeriod1, 2, 3, 1, 1))</f>
        <v>0</v>
      </c>
      <c r="H382" s="128">
        <f ca="1">OFFSET('IWP18'!UnitsOfServicePeriod1, 2, 4, 1, 1)</f>
        <v>0</v>
      </c>
      <c r="I382" s="128">
        <f ca="1">IF(OFFSET('IWP18'!UnitsOfServicePeriod1, 2, 5, 1, 1) = "", 0, OFFSET('IWP18'!UnitsOfServicePeriod1, 2, 5, 1, 1))</f>
        <v>0</v>
      </c>
      <c r="J382" s="128">
        <f ca="1">OFFSET('IWP18'!UnitsOfServicePeriod1, 2, 6, 1, 1)</f>
        <v>0</v>
      </c>
      <c r="K382" s="128">
        <f ca="1">IF(OFFSET('IWP18'!UnitsOfServicePeriod1, 2, 7, 1, 1) = "", 0, OFFSET('IWP18'!UnitsOfServicePeriod1, 2, 7, 1, 1))</f>
        <v>0</v>
      </c>
      <c r="L382" s="128">
        <f ca="1">OFFSET('IWP18'!UnitsOfServicePeriod1, 2, 8, 1, 1)</f>
        <v>0</v>
      </c>
      <c r="M382" s="128">
        <f ca="1">IF(OFFSET('IWP18'!UnitsOfServicePeriod1, 2, 9, 1, 1) = "", 0, OFFSET('IWP18'!UnitsOfServicePeriod1, 2, 9, 1, 1))</f>
        <v>0</v>
      </c>
      <c r="N382" s="128">
        <f ca="1">OFFSET('IWP18'!UnitsOfServicePeriod1, 2, 10, 1, 1)</f>
        <v>0</v>
      </c>
      <c r="O382" s="128">
        <f ca="1">IF(OFFSET('IWP18'!UnitsOfServicePeriod1, 2, 11, 1, 1) = "", 0, OFFSET('IWP18'!UnitsOfServicePeriod1, 2, 11, 1, 1))</f>
        <v>0</v>
      </c>
      <c r="P382" s="128">
        <f ca="1">OFFSET('IWP18'!UnitsOfServicePeriod1, 2, 12, 1, 1)</f>
        <v>0</v>
      </c>
      <c r="Q382" s="128">
        <f ca="1">IF(OFFSET('IWP18'!UnitsOfServicePeriod1, 2, 13, 1, 1) = "", 0, OFFSET('IWP18'!UnitsOfServicePeriod1, 2, 13, 1, 1))</f>
        <v>0</v>
      </c>
      <c r="R382" s="128">
        <f ca="1">OFFSET('IWP18'!UnitsOfServicePeriod1, 2, 14, 1, 1)</f>
        <v>0</v>
      </c>
      <c r="S382" s="128">
        <f ca="1">IF(OFFSET('IWP18'!UnitsOfServicePeriod1, 2, 15, 1, 1) = "", 0, OFFSET('IWP18'!UnitsOfServicePeriod1, 2, 15, 1, 1))</f>
        <v>0</v>
      </c>
      <c r="T382" s="128">
        <f ca="1">IF(OFFSET('IWP18'!UnitsOfServicePeriod1, 2, 16, 1, 1) = "", 0, OFFSET('IWP18'!UnitsOfServicePeriod1, 2, 16, 1, 1))</f>
        <v>0</v>
      </c>
      <c r="U382" s="128">
        <f ca="1">OFFSET('IWP18'!UnitsOfServicePeriod1, 2, 17, 1, 1)</f>
        <v>0</v>
      </c>
      <c r="V382" s="128">
        <f ca="1">IF(OFFSET('IWP18'!UnitsOfServicePeriod1, 2, 19, 1, 1) = "", 0, OFFSET('IWP18'!UnitsOfServicePeriod1, 2, 19, 1, 1))</f>
        <v>0</v>
      </c>
      <c r="W382" s="128">
        <f ca="1">OFFSET('IWP18'!UnitsOfServicePeriod1, 2, 20, 1, 1)</f>
        <v>0</v>
      </c>
      <c r="X382" s="128">
        <f ca="1">IF(OFFSET('IWP18'!UnitsOfServicePeriod1, 2, 21, 1, 1) = "", 0, OFFSET('IWP18'!UnitsOfServicePeriod1, 2, 21, 1, 1))</f>
        <v>0</v>
      </c>
      <c r="Y382" s="137">
        <f ca="1">OFFSET('IWP18'!UnitsOfServicePeriod1, 2, 22, 1, 1)</f>
        <v>0</v>
      </c>
    </row>
    <row r="383" spans="1:25">
      <c r="A383" s="125" t="s">
        <v>491</v>
      </c>
      <c r="B383" s="128">
        <v>1</v>
      </c>
      <c r="C383" s="128">
        <v>4</v>
      </c>
      <c r="D383" s="107">
        <f ca="1">IF(OFFSET('IWP18'!UnitsOfServicePeriod1, 3, 0, 1, 1)=DATE(1900,1,0), DATE(1900,1,1),OFFSET('IWP18'!UnitsOfServicePeriod1, 3, 0, 1, 1))</f>
        <v>1</v>
      </c>
      <c r="E383" s="107">
        <f ca="1">IF(OFFSET('IWP18'!UnitsOfServicePeriod1, 3, 1, 1, 1)=DATE(1900,1,0), DATE(1900,1,1),OFFSET('IWP18'!UnitsOfServicePeriod1, 3, 1, 1, 1))</f>
        <v>1</v>
      </c>
      <c r="F383" s="128">
        <f ca="1">OFFSET('IWP18'!UnitsOfServicePeriod1, 3, 2, 1, 1)</f>
        <v>0</v>
      </c>
      <c r="G383" s="128">
        <f ca="1">IF(OFFSET('IWP18'!UnitsOfServicePeriod1, 3, 3, 1, 1) = "", 0, OFFSET('IWP18'!UnitsOfServicePeriod1, 3, 3, 1, 1))</f>
        <v>0</v>
      </c>
      <c r="H383" s="128">
        <f ca="1">OFFSET('IWP18'!UnitsOfServicePeriod1, 3, 4, 1, 1)</f>
        <v>0</v>
      </c>
      <c r="I383" s="128">
        <f ca="1">IF(OFFSET('IWP18'!UnitsOfServicePeriod1, 3, 5, 1, 1) = "", 0, OFFSET('IWP18'!UnitsOfServicePeriod1, 3, 5, 1, 1))</f>
        <v>0</v>
      </c>
      <c r="J383" s="128">
        <f ca="1">OFFSET('IWP18'!UnitsOfServicePeriod1, 3, 6, 1, 1)</f>
        <v>0</v>
      </c>
      <c r="K383" s="128">
        <f ca="1">IF(OFFSET('IWP18'!UnitsOfServicePeriod1, 3, 7, 1, 1) = "", 0, OFFSET('IWP18'!UnitsOfServicePeriod1, 3, 7, 1, 1))</f>
        <v>0</v>
      </c>
      <c r="L383" s="128">
        <f ca="1">OFFSET('IWP18'!UnitsOfServicePeriod1, 3, 8, 1, 1)</f>
        <v>0</v>
      </c>
      <c r="M383" s="128">
        <f ca="1">IF(OFFSET('IWP18'!UnitsOfServicePeriod1, 3, 9, 1, 1) = "", 0, OFFSET('IWP18'!UnitsOfServicePeriod1, 3, 9, 1, 1))</f>
        <v>0</v>
      </c>
      <c r="N383" s="128">
        <f ca="1">OFFSET('IWP18'!UnitsOfServicePeriod1, 3, 10, 1, 1)</f>
        <v>0</v>
      </c>
      <c r="O383" s="128">
        <f ca="1">IF(OFFSET('IWP18'!UnitsOfServicePeriod1, 3, 11, 1, 1) = "", 0, OFFSET('IWP18'!UnitsOfServicePeriod1, 3, 11, 1, 1))</f>
        <v>0</v>
      </c>
      <c r="P383" s="128">
        <f ca="1">OFFSET('IWP18'!UnitsOfServicePeriod1, 3, 12, 1, 1)</f>
        <v>0</v>
      </c>
      <c r="Q383" s="128">
        <f ca="1">IF(OFFSET('IWP18'!UnitsOfServicePeriod1, 3, 13, 1, 1) = "", 0, OFFSET('IWP18'!UnitsOfServicePeriod1, 3, 13, 1, 1))</f>
        <v>0</v>
      </c>
      <c r="R383" s="128">
        <f ca="1">OFFSET('IWP18'!UnitsOfServicePeriod1, 3, 14, 1, 1)</f>
        <v>0</v>
      </c>
      <c r="S383" s="128">
        <f ca="1">IF(OFFSET('IWP18'!UnitsOfServicePeriod1, 3, 15, 1, 1) = "", 0, OFFSET('IWP18'!UnitsOfServicePeriod1, 3, 15, 1, 1))</f>
        <v>0</v>
      </c>
      <c r="T383" s="128">
        <f ca="1">IF(OFFSET('IWP18'!UnitsOfServicePeriod1, 3, 16, 1, 1) = "", 0, OFFSET('IWP18'!UnitsOfServicePeriod1, 3, 16, 1, 1))</f>
        <v>0</v>
      </c>
      <c r="U383" s="128">
        <f ca="1">OFFSET('IWP18'!UnitsOfServicePeriod1, 3, 17, 1, 1)</f>
        <v>0</v>
      </c>
      <c r="V383" s="128">
        <f ca="1">IF(OFFSET('IWP18'!UnitsOfServicePeriod1, 3, 19, 1, 1) = "", 0, OFFSET('IWP18'!UnitsOfServicePeriod1, 3, 19, 1, 1))</f>
        <v>0</v>
      </c>
      <c r="W383" s="128">
        <f ca="1">OFFSET('IWP18'!UnitsOfServicePeriod1, 3, 20, 1, 1)</f>
        <v>0</v>
      </c>
      <c r="X383" s="128">
        <f ca="1">IF(OFFSET('IWP18'!UnitsOfServicePeriod1, 3, 21, 1, 1) = "", 0, OFFSET('IWP18'!UnitsOfServicePeriod1, 3, 21, 1, 1))</f>
        <v>0</v>
      </c>
      <c r="Y383" s="137">
        <f ca="1">OFFSET('IWP18'!UnitsOfServicePeriod1, 3, 22, 1, 1)</f>
        <v>0</v>
      </c>
    </row>
    <row r="384" spans="1:25">
      <c r="A384" s="125" t="s">
        <v>491</v>
      </c>
      <c r="B384" s="128">
        <v>1</v>
      </c>
      <c r="C384" s="128">
        <v>5</v>
      </c>
      <c r="D384" s="107">
        <f ca="1">IF(OFFSET('IWP18'!UnitsOfServicePeriod1, 4, 0, 1, 1)=DATE(1900,1,0), DATE(1900,1,1),OFFSET('IWP18'!UnitsOfServicePeriod1, 4, 0, 1, 1))</f>
        <v>1</v>
      </c>
      <c r="E384" s="107">
        <f ca="1">IF(OFFSET('IWP18'!UnitsOfServicePeriod1, 4, 1, 1, 1)=DATE(1900,1,0), DATE(1900,1,1),OFFSET('IWP18'!UnitsOfServicePeriod1, 4, 1, 1, 1))</f>
        <v>1</v>
      </c>
      <c r="F384" s="128">
        <f ca="1">OFFSET('IWP18'!UnitsOfServicePeriod1, 4, 2, 1, 1)</f>
        <v>0</v>
      </c>
      <c r="G384" s="128">
        <f ca="1">IF(OFFSET('IWP18'!UnitsOfServicePeriod1, 4, 3, 1, 1) = "", 0, OFFSET('IWP18'!UnitsOfServicePeriod1, 4, 3, 1, 1))</f>
        <v>0</v>
      </c>
      <c r="H384" s="128">
        <f ca="1">OFFSET('IWP18'!UnitsOfServicePeriod1, 4, 4, 1, 1)</f>
        <v>0</v>
      </c>
      <c r="I384" s="128">
        <f ca="1">IF(OFFSET('IWP18'!UnitsOfServicePeriod1, 4, 5, 1, 1) = "", 0, OFFSET('IWP18'!UnitsOfServicePeriod1, 4, 5, 1, 1))</f>
        <v>0</v>
      </c>
      <c r="J384" s="128">
        <f ca="1">OFFSET('IWP18'!UnitsOfServicePeriod1, 4, 6, 1, 1)</f>
        <v>0</v>
      </c>
      <c r="K384" s="128">
        <f ca="1">IF(OFFSET('IWP18'!UnitsOfServicePeriod1, 4, 7, 1, 1) = "", 0, OFFSET('IWP18'!UnitsOfServicePeriod1, 4, 7, 1, 1))</f>
        <v>0</v>
      </c>
      <c r="L384" s="128">
        <f ca="1">OFFSET('IWP18'!UnitsOfServicePeriod1, 4, 8, 1, 1)</f>
        <v>0</v>
      </c>
      <c r="M384" s="128">
        <f ca="1">IF(OFFSET('IWP18'!UnitsOfServicePeriod1, 4, 9, 1, 1) = "", 0, OFFSET('IWP18'!UnitsOfServicePeriod1, 4, 9, 1, 1))</f>
        <v>0</v>
      </c>
      <c r="N384" s="128">
        <f ca="1">OFFSET('IWP18'!UnitsOfServicePeriod1, 4, 10, 1, 1)</f>
        <v>0</v>
      </c>
      <c r="O384" s="128">
        <f ca="1">IF(OFFSET('IWP18'!UnitsOfServicePeriod1, 4, 11, 1, 1) = "", 0, OFFSET('IWP18'!UnitsOfServicePeriod1, 4, 11, 1, 1))</f>
        <v>0</v>
      </c>
      <c r="P384" s="128">
        <f ca="1">OFFSET('IWP18'!UnitsOfServicePeriod1, 4, 12, 1, 1)</f>
        <v>0</v>
      </c>
      <c r="Q384" s="128">
        <f ca="1">IF(OFFSET('IWP18'!UnitsOfServicePeriod1, 4, 13, 1, 1) = "", 0, OFFSET('IWP18'!UnitsOfServicePeriod1, 4, 13, 1, 1))</f>
        <v>0</v>
      </c>
      <c r="R384" s="128">
        <f ca="1">OFFSET('IWP18'!UnitsOfServicePeriod1, 4, 14, 1, 1)</f>
        <v>0</v>
      </c>
      <c r="S384" s="128">
        <f ca="1">IF(OFFSET('IWP18'!UnitsOfServicePeriod1, 4, 15, 1, 1) = "", 0, OFFSET('IWP18'!UnitsOfServicePeriod1, 4, 15, 1, 1))</f>
        <v>0</v>
      </c>
      <c r="T384" s="128">
        <f ca="1">IF(OFFSET('IWP18'!UnitsOfServicePeriod1, 4, 16, 1, 1) = "", 0, OFFSET('IWP18'!UnitsOfServicePeriod1, 4, 16, 1, 1))</f>
        <v>0</v>
      </c>
      <c r="U384" s="128">
        <f ca="1">OFFSET('IWP18'!UnitsOfServicePeriod1, 4, 17, 1, 1)</f>
        <v>0</v>
      </c>
      <c r="V384" s="128">
        <f ca="1">IF(OFFSET('IWP18'!UnitsOfServicePeriod1, 4, 19, 1, 1) = "", 0, OFFSET('IWP18'!UnitsOfServicePeriod1, 4, 19, 1, 1))</f>
        <v>0</v>
      </c>
      <c r="W384" s="128">
        <f ca="1">OFFSET('IWP18'!UnitsOfServicePeriod1, 4, 20, 1, 1)</f>
        <v>0</v>
      </c>
      <c r="X384" s="128">
        <f ca="1">IF(OFFSET('IWP18'!UnitsOfServicePeriod1, 4, 21, 1, 1) = "", 0, OFFSET('IWP18'!UnitsOfServicePeriod1, 4, 21, 1, 1))</f>
        <v>0</v>
      </c>
      <c r="Y384" s="137">
        <f ca="1">OFFSET('IWP18'!UnitsOfServicePeriod1, 4, 22, 1, 1)</f>
        <v>0</v>
      </c>
    </row>
    <row r="385" spans="1:25">
      <c r="A385" s="125" t="s">
        <v>491</v>
      </c>
      <c r="B385" s="128">
        <v>1</v>
      </c>
      <c r="C385" s="128">
        <v>6</v>
      </c>
      <c r="D385" s="107">
        <f ca="1">IF(OFFSET('IWP18'!UnitsOfServicePeriod1, 5, 0, 1, 1)=DATE(1900,1,0), DATE(1900,1,1),OFFSET('IWP18'!UnitsOfServicePeriod1, 5, 0, 1, 1))</f>
        <v>1</v>
      </c>
      <c r="E385" s="107">
        <f ca="1">IF(OFFSET('IWP18'!UnitsOfServicePeriod1, 5, 1, 1, 1)=DATE(1900,1,0), DATE(1900,1,1),OFFSET('IWP18'!UnitsOfServicePeriod1, 5, 1, 1, 1))</f>
        <v>1</v>
      </c>
      <c r="F385" s="128">
        <f ca="1">OFFSET('IWP18'!UnitsOfServicePeriod1, 5, 2, 1, 1)</f>
        <v>0</v>
      </c>
      <c r="G385" s="128">
        <f ca="1">IF(OFFSET('IWP18'!UnitsOfServicePeriod1, 5, 3, 1, 1) = "", 0, OFFSET('IWP18'!UnitsOfServicePeriod1, 5, 3, 1, 1))</f>
        <v>0</v>
      </c>
      <c r="H385" s="128">
        <f ca="1">OFFSET('IWP18'!UnitsOfServicePeriod1, 5, 4, 1, 1)</f>
        <v>0</v>
      </c>
      <c r="I385" s="128">
        <f ca="1">IF(OFFSET('IWP18'!UnitsOfServicePeriod1, 5, 5, 1, 1) = "", 0, OFFSET('IWP18'!UnitsOfServicePeriod1, 5, 5, 1, 1))</f>
        <v>0</v>
      </c>
      <c r="J385" s="128">
        <f ca="1">OFFSET('IWP18'!UnitsOfServicePeriod1, 5, 6, 1, 1)</f>
        <v>0</v>
      </c>
      <c r="K385" s="128">
        <f ca="1">IF(OFFSET('IWP18'!UnitsOfServicePeriod1, 5, 7, 1, 1) = "", 0, OFFSET('IWP18'!UnitsOfServicePeriod1, 5, 7, 1, 1))</f>
        <v>0</v>
      </c>
      <c r="L385" s="128">
        <f ca="1">OFFSET('IWP18'!UnitsOfServicePeriod1, 5, 8, 1, 1)</f>
        <v>0</v>
      </c>
      <c r="M385" s="128">
        <f ca="1">IF(OFFSET('IWP18'!UnitsOfServicePeriod1, 5, 9, 1, 1) = "", 0, OFFSET('IWP18'!UnitsOfServicePeriod1, 5, 9, 1, 1))</f>
        <v>0</v>
      </c>
      <c r="N385" s="128">
        <f ca="1">OFFSET('IWP18'!UnitsOfServicePeriod1, 5, 10, 1, 1)</f>
        <v>0</v>
      </c>
      <c r="O385" s="128">
        <f ca="1">IF(OFFSET('IWP18'!UnitsOfServicePeriod1, 5, 11, 1, 1) = "", 0, OFFSET('IWP18'!UnitsOfServicePeriod1, 5, 11, 1, 1))</f>
        <v>0</v>
      </c>
      <c r="P385" s="128">
        <f ca="1">OFFSET('IWP18'!UnitsOfServicePeriod1, 5, 12, 1, 1)</f>
        <v>0</v>
      </c>
      <c r="Q385" s="128">
        <f ca="1">IF(OFFSET('IWP18'!UnitsOfServicePeriod1, 5, 13, 1, 1) = "", 0, OFFSET('IWP18'!UnitsOfServicePeriod1, 5, 13, 1, 1))</f>
        <v>0</v>
      </c>
      <c r="R385" s="128">
        <f ca="1">OFFSET('IWP18'!UnitsOfServicePeriod1, 5, 14, 1, 1)</f>
        <v>0</v>
      </c>
      <c r="S385" s="128">
        <f ca="1">IF(OFFSET('IWP18'!UnitsOfServicePeriod1, 5, 15, 1, 1) = "", 0, OFFSET('IWP18'!UnitsOfServicePeriod1, 5, 15, 1, 1))</f>
        <v>0</v>
      </c>
      <c r="T385" s="128">
        <f ca="1">IF(OFFSET('IWP18'!UnitsOfServicePeriod1, 5, 16, 1, 1) = "", 0, OFFSET('IWP18'!UnitsOfServicePeriod1, 5, 16, 1, 1))</f>
        <v>0</v>
      </c>
      <c r="U385" s="128">
        <f ca="1">OFFSET('IWP18'!UnitsOfServicePeriod1, 5, 17, 1, 1)</f>
        <v>0</v>
      </c>
      <c r="V385" s="128">
        <f ca="1">IF(OFFSET('IWP18'!UnitsOfServicePeriod1, 5, 19, 1, 1) = "", 0, OFFSET('IWP18'!UnitsOfServicePeriod1, 5, 19, 1, 1))</f>
        <v>0</v>
      </c>
      <c r="W385" s="128">
        <f ca="1">OFFSET('IWP18'!UnitsOfServicePeriod1, 5, 20, 1, 1)</f>
        <v>0</v>
      </c>
      <c r="X385" s="128">
        <f ca="1">IF(OFFSET('IWP18'!UnitsOfServicePeriod1, 5, 21, 1, 1) = "", 0, OFFSET('IWP18'!UnitsOfServicePeriod1, 5, 21, 1, 1))</f>
        <v>0</v>
      </c>
      <c r="Y385" s="137">
        <f ca="1">OFFSET('IWP18'!UnitsOfServicePeriod1, 5, 22, 1, 1)</f>
        <v>0</v>
      </c>
    </row>
    <row r="386" spans="1:25">
      <c r="A386" s="125" t="s">
        <v>491</v>
      </c>
      <c r="B386" s="128">
        <v>2</v>
      </c>
      <c r="C386" s="128">
        <v>1</v>
      </c>
      <c r="D386" s="107">
        <f ca="1">IF(OFFSET('IWP18'!UnitsOfServicePeriod2, 0, 0, 1, 1)=DATE(1900,1,0), DATE(1900,1,1),OFFSET('IWP18'!UnitsOfServicePeriod2, 0, 0, 1, 1))</f>
        <v>1</v>
      </c>
      <c r="E386" s="107">
        <f ca="1">IF(OFFSET('IWP18'!UnitsOfServicePeriod2, 0, 1, 1, 1)=DATE(1900,1,0), DATE(1900,1,1),OFFSET('IWP18'!UnitsOfServicePeriod2, 0, 1, 1, 1))</f>
        <v>1</v>
      </c>
      <c r="F386" s="128">
        <f ca="1">OFFSET('IWP18'!UnitsOfServicePeriod2, 0, 2, 1, 1)</f>
        <v>0</v>
      </c>
      <c r="G386" s="128">
        <f ca="1">IF(OFFSET('IWP18'!UnitsOfServicePeriod2, 0, 3, 1, 1) = "", 0, OFFSET('IWP18'!UnitsOfServicePeriod2, 0, 3, 1, 1))</f>
        <v>0</v>
      </c>
      <c r="H386" s="128">
        <f ca="1">OFFSET('IWP18'!UnitsOfServicePeriod2, 0, 4, 1, 1)</f>
        <v>0</v>
      </c>
      <c r="I386" s="128">
        <f ca="1">IF(OFFSET('IWP18'!UnitsOfServicePeriod2, 0, 5, 1, 1) = "", 0, OFFSET('IWP18'!UnitsOfServicePeriod2, 0, 5, 1, 1))</f>
        <v>0</v>
      </c>
      <c r="J386" s="128">
        <f ca="1">OFFSET('IWP18'!UnitsOfServicePeriod2, 0, 6, 1, 1)</f>
        <v>0</v>
      </c>
      <c r="K386" s="128">
        <f ca="1">IF(OFFSET('IWP18'!UnitsOfServicePeriod2, 0, 7, 1, 1) = "", 0, OFFSET('IWP18'!UnitsOfServicePeriod2, 0, 7, 1, 1))</f>
        <v>0</v>
      </c>
      <c r="L386" s="128">
        <f ca="1">OFFSET('IWP18'!UnitsOfServicePeriod2, 0, 8, 1, 1)</f>
        <v>0</v>
      </c>
      <c r="M386" s="128">
        <f ca="1">IF(OFFSET('IWP18'!UnitsOfServicePeriod2, 0, 9, 1, 1) = "", 0, OFFSET('IWP18'!UnitsOfServicePeriod2, 0, 9, 1, 1))</f>
        <v>0</v>
      </c>
      <c r="N386" s="128">
        <f ca="1">OFFSET('IWP18'!UnitsOfServicePeriod2, 0, 10, 1, 1)</f>
        <v>0</v>
      </c>
      <c r="O386" s="128">
        <f ca="1">IF(OFFSET('IWP18'!UnitsOfServicePeriod2, 0, 11, 1, 1) = "", 0, OFFSET('IWP18'!UnitsOfServicePeriod2, 0, 11, 1, 1))</f>
        <v>0</v>
      </c>
      <c r="P386" s="128">
        <f ca="1">OFFSET('IWP18'!UnitsOfServicePeriod2, 0, 12, 1, 1)</f>
        <v>0</v>
      </c>
      <c r="Q386" s="128">
        <f ca="1">IF(OFFSET('IWP18'!UnitsOfServicePeriod2, 0, 13, 1, 1) = "", 0, OFFSET('IWP18'!UnitsOfServicePeriod2, 0, 13, 1, 1))</f>
        <v>0</v>
      </c>
      <c r="R386" s="128">
        <f ca="1">OFFSET('IWP18'!UnitsOfServicePeriod2, 0, 14, 1, 1)</f>
        <v>0</v>
      </c>
      <c r="S386" s="128">
        <f ca="1">IF(OFFSET('IWP18'!UnitsOfServicePeriod2, 0, 15, 1, 1) = "", 0, OFFSET('IWP18'!UnitsOfServicePeriod2, 0, 15, 1, 1))</f>
        <v>0</v>
      </c>
      <c r="T386" s="128">
        <f ca="1">IF(OFFSET('IWP18'!UnitsOfServicePeriod2, 0, 16, 1, 1) = "", 0, OFFSET('IWP18'!UnitsOfServicePeriod2, 0, 16, 1, 1))</f>
        <v>0</v>
      </c>
      <c r="U386" s="128">
        <f ca="1">OFFSET('IWP18'!UnitsOfServicePeriod2, 0, 17, 1, 1)</f>
        <v>0</v>
      </c>
      <c r="V386" s="128">
        <f ca="1">IF(OFFSET('IWP18'!UnitsOfServicePeriod2, 0, 19, 1, 1) = "", 0, OFFSET('IWP18'!UnitsOfServicePeriod2, 0, 19, 1, 1))</f>
        <v>0</v>
      </c>
      <c r="W386" s="128">
        <f ca="1">OFFSET('IWP18'!UnitsOfServicePeriod2, 0, 20, 1, 1)</f>
        <v>0</v>
      </c>
      <c r="X386" s="128">
        <f ca="1">IF(OFFSET('IWP18'!UnitsOfServicePeriod2, 0, 21, 1, 1) = "", 0, OFFSET('IWP18'!UnitsOfServicePeriod2, 0, 21, 1, 1))</f>
        <v>0</v>
      </c>
      <c r="Y386" s="137">
        <f ca="1">OFFSET('IWP18'!UnitsOfServicePeriod2, 0, 22, 1, 1)</f>
        <v>0</v>
      </c>
    </row>
    <row r="387" spans="1:25">
      <c r="A387" s="125" t="s">
        <v>491</v>
      </c>
      <c r="B387" s="128">
        <v>2</v>
      </c>
      <c r="C387" s="128">
        <v>2</v>
      </c>
      <c r="D387" s="107">
        <f ca="1">IF(OFFSET('IWP18'!UnitsOfServicePeriod2, 1, 0, 1, 1)=DATE(1900,1,0), DATE(1900,1,1),OFFSET('IWP18'!UnitsOfServicePeriod2, 1, 0, 1, 1))</f>
        <v>1</v>
      </c>
      <c r="E387" s="107">
        <f ca="1">IF(OFFSET('IWP18'!UnitsOfServicePeriod2, 1, 1, 1, 1)=DATE(1900,1,0), DATE(1900,1,1),OFFSET('IWP18'!UnitsOfServicePeriod2, 1, 1, 1, 1))</f>
        <v>1</v>
      </c>
      <c r="F387" s="128">
        <f ca="1">OFFSET('IWP18'!UnitsOfServicePeriod2, 1, 2, 1, 1)</f>
        <v>0</v>
      </c>
      <c r="G387" s="128">
        <f ca="1">IF(OFFSET('IWP18'!UnitsOfServicePeriod2, 1, 3, 1, 1) = "", 0, OFFSET('IWP18'!UnitsOfServicePeriod2, 1, 3, 1, 1))</f>
        <v>0</v>
      </c>
      <c r="H387" s="128">
        <f ca="1">OFFSET('IWP18'!UnitsOfServicePeriod2, 1, 4, 1, 1)</f>
        <v>0</v>
      </c>
      <c r="I387" s="128">
        <f ca="1">IF(OFFSET('IWP18'!UnitsOfServicePeriod2, 1, 5, 1, 1) = "", 0, OFFSET('IWP18'!UnitsOfServicePeriod2, 1, 5, 1, 1))</f>
        <v>0</v>
      </c>
      <c r="J387" s="128">
        <f ca="1">OFFSET('IWP18'!UnitsOfServicePeriod2, 1, 6, 1, 1)</f>
        <v>0</v>
      </c>
      <c r="K387" s="128">
        <f ca="1">IF(OFFSET('IWP18'!UnitsOfServicePeriod2, 1, 7, 1, 1) = "", 0, OFFSET('IWP18'!UnitsOfServicePeriod2, 1, 7, 1, 1))</f>
        <v>0</v>
      </c>
      <c r="L387" s="128">
        <f ca="1">OFFSET('IWP18'!UnitsOfServicePeriod2, 1, 8, 1, 1)</f>
        <v>0</v>
      </c>
      <c r="M387" s="128">
        <f ca="1">IF(OFFSET('IWP18'!UnitsOfServicePeriod2, 1, 9, 1, 1) = "", 0, OFFSET('IWP18'!UnitsOfServicePeriod2, 1, 9, 1, 1))</f>
        <v>0</v>
      </c>
      <c r="N387" s="128">
        <f ca="1">OFFSET('IWP18'!UnitsOfServicePeriod2, 1, 10, 1, 1)</f>
        <v>0</v>
      </c>
      <c r="O387" s="128">
        <f ca="1">IF(OFFSET('IWP18'!UnitsOfServicePeriod2, 1, 11, 1, 1) = "", 0, OFFSET('IWP18'!UnitsOfServicePeriod2, 1, 11, 1, 1))</f>
        <v>0</v>
      </c>
      <c r="P387" s="128">
        <f ca="1">OFFSET('IWP18'!UnitsOfServicePeriod2, 1, 12, 1, 1)</f>
        <v>0</v>
      </c>
      <c r="Q387" s="128">
        <f ca="1">IF(OFFSET('IWP18'!UnitsOfServicePeriod2, 1, 13, 1, 1) = "", 0, OFFSET('IWP18'!UnitsOfServicePeriod2, 1, 13, 1, 1))</f>
        <v>0</v>
      </c>
      <c r="R387" s="128">
        <f ca="1">OFFSET('IWP18'!UnitsOfServicePeriod2, 1, 14, 1, 1)</f>
        <v>0</v>
      </c>
      <c r="S387" s="128">
        <f ca="1">IF(OFFSET('IWP18'!UnitsOfServicePeriod2, 1, 15, 1, 1) = "", 0, OFFSET('IWP18'!UnitsOfServicePeriod2, 1, 15, 1, 1))</f>
        <v>0</v>
      </c>
      <c r="T387" s="128">
        <f ca="1">IF(OFFSET('IWP18'!UnitsOfServicePeriod2, 1, 16, 1, 1) = "", 0, OFFSET('IWP18'!UnitsOfServicePeriod2, 1, 16, 1, 1))</f>
        <v>0</v>
      </c>
      <c r="U387" s="128">
        <f ca="1">OFFSET('IWP18'!UnitsOfServicePeriod2, 1, 17, 1, 1)</f>
        <v>0</v>
      </c>
      <c r="V387" s="128">
        <f ca="1">IF(OFFSET('IWP18'!UnitsOfServicePeriod2, 1, 19, 1, 1) = "", 0, OFFSET('IWP18'!UnitsOfServicePeriod2, 1, 19, 1, 1))</f>
        <v>0</v>
      </c>
      <c r="W387" s="128">
        <f ca="1">OFFSET('IWP18'!UnitsOfServicePeriod2, 1, 20, 1, 1)</f>
        <v>0</v>
      </c>
      <c r="X387" s="128">
        <f ca="1">IF(OFFSET('IWP18'!UnitsOfServicePeriod2, 1, 21, 1, 1) = "", 0, OFFSET('IWP18'!UnitsOfServicePeriod2, 1, 21, 1, 1))</f>
        <v>0</v>
      </c>
      <c r="Y387" s="137">
        <f ca="1">OFFSET('IWP18'!UnitsOfServicePeriod2, 1, 22, 1, 1)</f>
        <v>0</v>
      </c>
    </row>
    <row r="388" spans="1:25">
      <c r="A388" s="125" t="s">
        <v>491</v>
      </c>
      <c r="B388" s="128">
        <v>2</v>
      </c>
      <c r="C388" s="128">
        <v>3</v>
      </c>
      <c r="D388" s="107">
        <f ca="1">IF(OFFSET('IWP18'!UnitsOfServicePeriod2, 2, 0, 1, 1)=DATE(1900,1,0), DATE(1900,1,1),OFFSET('IWP18'!UnitsOfServicePeriod2, 2, 0, 1, 1))</f>
        <v>1</v>
      </c>
      <c r="E388" s="107">
        <f ca="1">IF(OFFSET('IWP18'!UnitsOfServicePeriod2, 2, 1, 1, 1)=DATE(1900,1,0), DATE(1900,1,1),OFFSET('IWP18'!UnitsOfServicePeriod2, 2, 1, 1, 1))</f>
        <v>1</v>
      </c>
      <c r="F388" s="128">
        <f ca="1">OFFSET('IWP18'!UnitsOfServicePeriod2, 2, 2, 1, 1)</f>
        <v>0</v>
      </c>
      <c r="G388" s="128">
        <f ca="1">IF(OFFSET('IWP18'!UnitsOfServicePeriod2, 2, 3, 1, 1) = "", 0, OFFSET('IWP18'!UnitsOfServicePeriod2, 2, 3, 1, 1))</f>
        <v>0</v>
      </c>
      <c r="H388" s="128">
        <f ca="1">OFFSET('IWP18'!UnitsOfServicePeriod2, 2, 4, 1, 1)</f>
        <v>0</v>
      </c>
      <c r="I388" s="128">
        <f ca="1">IF(OFFSET('IWP18'!UnitsOfServicePeriod2, 2, 5, 1, 1) = "", 0, OFFSET('IWP18'!UnitsOfServicePeriod2, 2, 5, 1, 1))</f>
        <v>0</v>
      </c>
      <c r="J388" s="128">
        <f ca="1">OFFSET('IWP18'!UnitsOfServicePeriod2, 2, 6, 1, 1)</f>
        <v>0</v>
      </c>
      <c r="K388" s="128">
        <f ca="1">IF(OFFSET('IWP18'!UnitsOfServicePeriod2, 2, 7, 1, 1) = "", 0, OFFSET('IWP18'!UnitsOfServicePeriod2, 2, 7, 1, 1))</f>
        <v>0</v>
      </c>
      <c r="L388" s="128">
        <f ca="1">OFFSET('IWP18'!UnitsOfServicePeriod2, 2, 8, 1, 1)</f>
        <v>0</v>
      </c>
      <c r="M388" s="128">
        <f ca="1">IF(OFFSET('IWP18'!UnitsOfServicePeriod2, 2, 9, 1, 1) = "", 0, OFFSET('IWP18'!UnitsOfServicePeriod2, 2, 9, 1, 1))</f>
        <v>0</v>
      </c>
      <c r="N388" s="128">
        <f ca="1">OFFSET('IWP18'!UnitsOfServicePeriod2, 2, 10, 1, 1)</f>
        <v>0</v>
      </c>
      <c r="O388" s="128">
        <f ca="1">IF(OFFSET('IWP18'!UnitsOfServicePeriod2, 2, 11, 1, 1) = "", 0, OFFSET('IWP18'!UnitsOfServicePeriod2, 2, 11, 1, 1))</f>
        <v>0</v>
      </c>
      <c r="P388" s="128">
        <f ca="1">OFFSET('IWP18'!UnitsOfServicePeriod2, 2, 12, 1, 1)</f>
        <v>0</v>
      </c>
      <c r="Q388" s="128">
        <f ca="1">IF(OFFSET('IWP18'!UnitsOfServicePeriod2, 2, 13, 1, 1) = "", 0, OFFSET('IWP18'!UnitsOfServicePeriod2, 2, 13, 1, 1))</f>
        <v>0</v>
      </c>
      <c r="R388" s="128">
        <f ca="1">OFFSET('IWP18'!UnitsOfServicePeriod2, 2, 14, 1, 1)</f>
        <v>0</v>
      </c>
      <c r="S388" s="128">
        <f ca="1">IF(OFFSET('IWP18'!UnitsOfServicePeriod2, 2, 15, 1, 1) = "", 0, OFFSET('IWP18'!UnitsOfServicePeriod2, 2, 15, 1, 1))</f>
        <v>0</v>
      </c>
      <c r="T388" s="128">
        <f ca="1">IF(OFFSET('IWP18'!UnitsOfServicePeriod2, 2, 16, 1, 1) = "", 0, OFFSET('IWP18'!UnitsOfServicePeriod2, 2, 16, 1, 1))</f>
        <v>0</v>
      </c>
      <c r="U388" s="128">
        <f ca="1">OFFSET('IWP18'!UnitsOfServicePeriod2, 2, 17, 1, 1)</f>
        <v>0</v>
      </c>
      <c r="V388" s="128">
        <f ca="1">IF(OFFSET('IWP18'!UnitsOfServicePeriod2, 2, 19, 1, 1) = "", 0, OFFSET('IWP18'!UnitsOfServicePeriod2, 2, 19, 1, 1))</f>
        <v>0</v>
      </c>
      <c r="W388" s="128">
        <f ca="1">OFFSET('IWP18'!UnitsOfServicePeriod2, 2, 20, 1, 1)</f>
        <v>0</v>
      </c>
      <c r="X388" s="128">
        <f ca="1">IF(OFFSET('IWP18'!UnitsOfServicePeriod2, 2, 21, 1, 1) = "", 0, OFFSET('IWP18'!UnitsOfServicePeriod2, 2, 21, 1, 1))</f>
        <v>0</v>
      </c>
      <c r="Y388" s="137">
        <f ca="1">OFFSET('IWP18'!UnitsOfServicePeriod2, 2, 22, 1, 1)</f>
        <v>0</v>
      </c>
    </row>
    <row r="389" spans="1:25">
      <c r="A389" s="125" t="s">
        <v>491</v>
      </c>
      <c r="B389" s="128">
        <v>2</v>
      </c>
      <c r="C389" s="128">
        <v>4</v>
      </c>
      <c r="D389" s="107">
        <f ca="1">IF(OFFSET('IWP18'!UnitsOfServicePeriod2, 3, 0, 1, 1)=DATE(1900,1,0), DATE(1900,1,1),OFFSET('IWP18'!UnitsOfServicePeriod2, 3, 0, 1, 1))</f>
        <v>1</v>
      </c>
      <c r="E389" s="107">
        <f ca="1">IF(OFFSET('IWP18'!UnitsOfServicePeriod2, 3, 1, 1, 1)=DATE(1900,1,0), DATE(1900,1,1),OFFSET('IWP18'!UnitsOfServicePeriod2, 3, 1, 1, 1))</f>
        <v>1</v>
      </c>
      <c r="F389" s="128">
        <f ca="1">OFFSET('IWP18'!UnitsOfServicePeriod2, 3, 2, 1, 1)</f>
        <v>0</v>
      </c>
      <c r="G389" s="128">
        <f ca="1">IF(OFFSET('IWP18'!UnitsOfServicePeriod2, 3, 3, 1, 1) = "", 0, OFFSET('IWP18'!UnitsOfServicePeriod2, 3, 3, 1, 1))</f>
        <v>0</v>
      </c>
      <c r="H389" s="128">
        <f ca="1">OFFSET('IWP18'!UnitsOfServicePeriod2, 3, 4, 1, 1)</f>
        <v>0</v>
      </c>
      <c r="I389" s="128">
        <f ca="1">IF(OFFSET('IWP18'!UnitsOfServicePeriod2, 3, 5, 1, 1) = "", 0, OFFSET('IWP18'!UnitsOfServicePeriod2, 3, 5, 1, 1))</f>
        <v>0</v>
      </c>
      <c r="J389" s="128">
        <f ca="1">OFFSET('IWP18'!UnitsOfServicePeriod2, 3, 6, 1, 1)</f>
        <v>0</v>
      </c>
      <c r="K389" s="128">
        <f ca="1">IF(OFFSET('IWP18'!UnitsOfServicePeriod2, 3, 7, 1, 1) = "", 0, OFFSET('IWP18'!UnitsOfServicePeriod2, 3, 7, 1, 1))</f>
        <v>0</v>
      </c>
      <c r="L389" s="128">
        <f ca="1">OFFSET('IWP18'!UnitsOfServicePeriod2, 3, 8, 1, 1)</f>
        <v>0</v>
      </c>
      <c r="M389" s="128">
        <f ca="1">IF(OFFSET('IWP18'!UnitsOfServicePeriod2, 3, 9, 1, 1) = "", 0, OFFSET('IWP18'!UnitsOfServicePeriod2, 3, 9, 1, 1))</f>
        <v>0</v>
      </c>
      <c r="N389" s="128">
        <f ca="1">OFFSET('IWP18'!UnitsOfServicePeriod2, 3, 10, 1, 1)</f>
        <v>0</v>
      </c>
      <c r="O389" s="128">
        <f ca="1">IF(OFFSET('IWP18'!UnitsOfServicePeriod2, 3, 11, 1, 1) = "", 0, OFFSET('IWP18'!UnitsOfServicePeriod2, 3, 11, 1, 1))</f>
        <v>0</v>
      </c>
      <c r="P389" s="128">
        <f ca="1">OFFSET('IWP18'!UnitsOfServicePeriod2, 3, 12, 1, 1)</f>
        <v>0</v>
      </c>
      <c r="Q389" s="128">
        <f ca="1">IF(OFFSET('IWP18'!UnitsOfServicePeriod2, 3, 13, 1, 1) = "", 0, OFFSET('IWP18'!UnitsOfServicePeriod2, 3, 13, 1, 1))</f>
        <v>0</v>
      </c>
      <c r="R389" s="128">
        <f ca="1">OFFSET('IWP18'!UnitsOfServicePeriod2, 3, 14, 1, 1)</f>
        <v>0</v>
      </c>
      <c r="S389" s="128">
        <f ca="1">IF(OFFSET('IWP18'!UnitsOfServicePeriod2, 3, 15, 1, 1) = "", 0, OFFSET('IWP18'!UnitsOfServicePeriod2, 3, 15, 1, 1))</f>
        <v>0</v>
      </c>
      <c r="T389" s="128">
        <f ca="1">IF(OFFSET('IWP18'!UnitsOfServicePeriod2, 3, 16, 1, 1) = "", 0, OFFSET('IWP18'!UnitsOfServicePeriod2, 3, 16, 1, 1))</f>
        <v>0</v>
      </c>
      <c r="U389" s="128">
        <f ca="1">OFFSET('IWP18'!UnitsOfServicePeriod2, 3, 17, 1, 1)</f>
        <v>0</v>
      </c>
      <c r="V389" s="128">
        <f ca="1">IF(OFFSET('IWP18'!UnitsOfServicePeriod2, 3, 19, 1, 1) = "", 0, OFFSET('IWP18'!UnitsOfServicePeriod2, 3, 19, 1, 1))</f>
        <v>0</v>
      </c>
      <c r="W389" s="128">
        <f ca="1">OFFSET('IWP18'!UnitsOfServicePeriod2, 3, 20, 1, 1)</f>
        <v>0</v>
      </c>
      <c r="X389" s="128">
        <f ca="1">IF(OFFSET('IWP18'!UnitsOfServicePeriod2, 3, 21, 1, 1) = "", 0, OFFSET('IWP18'!UnitsOfServicePeriod2, 3, 21, 1, 1))</f>
        <v>0</v>
      </c>
      <c r="Y389" s="137">
        <f ca="1">OFFSET('IWP18'!UnitsOfServicePeriod2, 3, 22, 1, 1)</f>
        <v>0</v>
      </c>
    </row>
    <row r="390" spans="1:25">
      <c r="A390" s="125" t="s">
        <v>491</v>
      </c>
      <c r="B390" s="128">
        <v>2</v>
      </c>
      <c r="C390" s="128">
        <v>5</v>
      </c>
      <c r="D390" s="107">
        <f ca="1">IF(OFFSET('IWP18'!UnitsOfServicePeriod2, 4, 0, 1, 1)=DATE(1900,1,0), DATE(1900,1,1),OFFSET('IWP18'!UnitsOfServicePeriod2, 4, 0, 1, 1))</f>
        <v>1</v>
      </c>
      <c r="E390" s="107">
        <f ca="1">IF(OFFSET('IWP18'!UnitsOfServicePeriod2, 4, 1, 1, 1)=DATE(1900,1,0), DATE(1900,1,1),OFFSET('IWP18'!UnitsOfServicePeriod2, 4, 1, 1, 1))</f>
        <v>1</v>
      </c>
      <c r="F390" s="128">
        <f ca="1">OFFSET('IWP18'!UnitsOfServicePeriod2, 4, 2, 1, 1)</f>
        <v>0</v>
      </c>
      <c r="G390" s="128">
        <f ca="1">IF(OFFSET('IWP18'!UnitsOfServicePeriod2, 4, 3, 1, 1) = "", 0, OFFSET('IWP18'!UnitsOfServicePeriod2, 4, 3, 1, 1))</f>
        <v>0</v>
      </c>
      <c r="H390" s="128">
        <f ca="1">OFFSET('IWP18'!UnitsOfServicePeriod2, 4, 4, 1, 1)</f>
        <v>0</v>
      </c>
      <c r="I390" s="128">
        <f ca="1">IF(OFFSET('IWP18'!UnitsOfServicePeriod2, 4, 5, 1, 1) = "", 0, OFFSET('IWP18'!UnitsOfServicePeriod2, 4, 5, 1, 1))</f>
        <v>0</v>
      </c>
      <c r="J390" s="128">
        <f ca="1">OFFSET('IWP18'!UnitsOfServicePeriod2, 4, 6, 1, 1)</f>
        <v>0</v>
      </c>
      <c r="K390" s="128">
        <f ca="1">IF(OFFSET('IWP18'!UnitsOfServicePeriod2, 4, 7, 1, 1) = "", 0, OFFSET('IWP18'!UnitsOfServicePeriod2, 4, 7, 1, 1))</f>
        <v>0</v>
      </c>
      <c r="L390" s="128">
        <f ca="1">OFFSET('IWP18'!UnitsOfServicePeriod2, 4, 8, 1, 1)</f>
        <v>0</v>
      </c>
      <c r="M390" s="128">
        <f ca="1">IF(OFFSET('IWP18'!UnitsOfServicePeriod2, 4, 9, 1, 1) = "", 0, OFFSET('IWP18'!UnitsOfServicePeriod2, 4, 9, 1, 1))</f>
        <v>0</v>
      </c>
      <c r="N390" s="128">
        <f ca="1">OFFSET('IWP18'!UnitsOfServicePeriod2, 4, 10, 1, 1)</f>
        <v>0</v>
      </c>
      <c r="O390" s="128">
        <f ca="1">IF(OFFSET('IWP18'!UnitsOfServicePeriod2, 4, 11, 1, 1) = "", 0, OFFSET('IWP18'!UnitsOfServicePeriod2, 4, 11, 1, 1))</f>
        <v>0</v>
      </c>
      <c r="P390" s="128">
        <f ca="1">OFFSET('IWP18'!UnitsOfServicePeriod2, 4, 12, 1, 1)</f>
        <v>0</v>
      </c>
      <c r="Q390" s="128">
        <f ca="1">IF(OFFSET('IWP18'!UnitsOfServicePeriod2, 4, 13, 1, 1) = "", 0, OFFSET('IWP18'!UnitsOfServicePeriod2, 4, 13, 1, 1))</f>
        <v>0</v>
      </c>
      <c r="R390" s="128">
        <f ca="1">OFFSET('IWP18'!UnitsOfServicePeriod2, 4, 14, 1, 1)</f>
        <v>0</v>
      </c>
      <c r="S390" s="128">
        <f ca="1">IF(OFFSET('IWP18'!UnitsOfServicePeriod2, 4, 15, 1, 1) = "", 0, OFFSET('IWP18'!UnitsOfServicePeriod2, 4, 15, 1, 1))</f>
        <v>0</v>
      </c>
      <c r="T390" s="128">
        <f ca="1">IF(OFFSET('IWP18'!UnitsOfServicePeriod2, 4, 16, 1, 1) = "", 0, OFFSET('IWP18'!UnitsOfServicePeriod2, 4, 16, 1, 1))</f>
        <v>0</v>
      </c>
      <c r="U390" s="128">
        <f ca="1">OFFSET('IWP18'!UnitsOfServicePeriod2, 4, 17, 1, 1)</f>
        <v>0</v>
      </c>
      <c r="V390" s="128">
        <f ca="1">IF(OFFSET('IWP18'!UnitsOfServicePeriod2, 4, 19, 1, 1) = "", 0, OFFSET('IWP18'!UnitsOfServicePeriod2, 4, 19, 1, 1))</f>
        <v>0</v>
      </c>
      <c r="W390" s="128">
        <f ca="1">OFFSET('IWP18'!UnitsOfServicePeriod2, 4, 20, 1, 1)</f>
        <v>0</v>
      </c>
      <c r="X390" s="128">
        <f ca="1">IF(OFFSET('IWP18'!UnitsOfServicePeriod2, 4, 21, 1, 1) = "", 0, OFFSET('IWP18'!UnitsOfServicePeriod2, 4, 21, 1, 1))</f>
        <v>0</v>
      </c>
      <c r="Y390" s="137">
        <f ca="1">OFFSET('IWP18'!UnitsOfServicePeriod2, 4, 22, 1, 1)</f>
        <v>0</v>
      </c>
    </row>
    <row r="391" spans="1:25">
      <c r="A391" s="125" t="s">
        <v>491</v>
      </c>
      <c r="B391" s="128">
        <v>2</v>
      </c>
      <c r="C391" s="128">
        <v>6</v>
      </c>
      <c r="D391" s="107">
        <f ca="1">IF(OFFSET('IWP18'!UnitsOfServicePeriod2, 5, 0, 1, 1)=DATE(1900,1,0), DATE(1900,1,1),OFFSET('IWP18'!UnitsOfServicePeriod2, 5, 0, 1, 1))</f>
        <v>1</v>
      </c>
      <c r="E391" s="107">
        <f ca="1">IF(OFFSET('IWP18'!UnitsOfServicePeriod2, 5, 1, 1, 1)=DATE(1900,1,0), DATE(1900,1,1),OFFSET('IWP18'!UnitsOfServicePeriod2, 5, 1, 1, 1))</f>
        <v>1</v>
      </c>
      <c r="F391" s="128">
        <f ca="1">OFFSET('IWP18'!UnitsOfServicePeriod2, 5, 2, 1, 1)</f>
        <v>0</v>
      </c>
      <c r="G391" s="128">
        <f ca="1">IF(OFFSET('IWP18'!UnitsOfServicePeriod2, 5, 3, 1, 1) = "", 0, OFFSET('IWP18'!UnitsOfServicePeriod2, 5, 3, 1, 1))</f>
        <v>0</v>
      </c>
      <c r="H391" s="128">
        <f ca="1">OFFSET('IWP18'!UnitsOfServicePeriod2, 5, 4, 1, 1)</f>
        <v>0</v>
      </c>
      <c r="I391" s="128">
        <f ca="1">IF(OFFSET('IWP18'!UnitsOfServicePeriod2, 5, 5, 1, 1) = "", 0, OFFSET('IWP18'!UnitsOfServicePeriod2, 5, 5, 1, 1))</f>
        <v>0</v>
      </c>
      <c r="J391" s="128">
        <f ca="1">OFFSET('IWP18'!UnitsOfServicePeriod2, 5, 6, 1, 1)</f>
        <v>0</v>
      </c>
      <c r="K391" s="128">
        <f ca="1">IF(OFFSET('IWP18'!UnitsOfServicePeriod2, 5, 7, 1, 1) = "", 0, OFFSET('IWP18'!UnitsOfServicePeriod2, 5, 7, 1, 1))</f>
        <v>0</v>
      </c>
      <c r="L391" s="128">
        <f ca="1">OFFSET('IWP18'!UnitsOfServicePeriod2, 5, 8, 1, 1)</f>
        <v>0</v>
      </c>
      <c r="M391" s="128">
        <f ca="1">IF(OFFSET('IWP18'!UnitsOfServicePeriod2, 5, 9, 1, 1) = "", 0, OFFSET('IWP18'!UnitsOfServicePeriod2, 5, 9, 1, 1))</f>
        <v>0</v>
      </c>
      <c r="N391" s="128">
        <f ca="1">OFFSET('IWP18'!UnitsOfServicePeriod2, 5, 10, 1, 1)</f>
        <v>0</v>
      </c>
      <c r="O391" s="128">
        <f ca="1">IF(OFFSET('IWP18'!UnitsOfServicePeriod2, 5, 11, 1, 1) = "", 0, OFFSET('IWP18'!UnitsOfServicePeriod2, 5, 11, 1, 1))</f>
        <v>0</v>
      </c>
      <c r="P391" s="128">
        <f ca="1">OFFSET('IWP18'!UnitsOfServicePeriod2, 5, 12, 1, 1)</f>
        <v>0</v>
      </c>
      <c r="Q391" s="128">
        <f ca="1">IF(OFFSET('IWP18'!UnitsOfServicePeriod2, 5, 13, 1, 1) = "", 0, OFFSET('IWP18'!UnitsOfServicePeriod2, 5, 13, 1, 1))</f>
        <v>0</v>
      </c>
      <c r="R391" s="128">
        <f ca="1">OFFSET('IWP18'!UnitsOfServicePeriod2, 5, 14, 1, 1)</f>
        <v>0</v>
      </c>
      <c r="S391" s="128">
        <f ca="1">IF(OFFSET('IWP18'!UnitsOfServicePeriod2, 5, 15, 1, 1) = "", 0, OFFSET('IWP18'!UnitsOfServicePeriod2, 5, 15, 1, 1))</f>
        <v>0</v>
      </c>
      <c r="T391" s="128">
        <f ca="1">IF(OFFSET('IWP18'!UnitsOfServicePeriod2, 5, 16, 1, 1) = "", 0, OFFSET('IWP18'!UnitsOfServicePeriod2, 5, 16, 1, 1))</f>
        <v>0</v>
      </c>
      <c r="U391" s="128">
        <f ca="1">OFFSET('IWP18'!UnitsOfServicePeriod2, 5, 17, 1, 1)</f>
        <v>0</v>
      </c>
      <c r="V391" s="128">
        <f ca="1">IF(OFFSET('IWP18'!UnitsOfServicePeriod2, 5, 19, 1, 1) = "", 0, OFFSET('IWP18'!UnitsOfServicePeriod2, 5, 19, 1, 1))</f>
        <v>0</v>
      </c>
      <c r="W391" s="128">
        <f ca="1">OFFSET('IWP18'!UnitsOfServicePeriod2, 5, 20, 1, 1)</f>
        <v>0</v>
      </c>
      <c r="X391" s="128">
        <f ca="1">IF(OFFSET('IWP18'!UnitsOfServicePeriod2, 5, 21, 1, 1) = "", 0, OFFSET('IWP18'!UnitsOfServicePeriod2, 5, 21, 1, 1))</f>
        <v>0</v>
      </c>
      <c r="Y391" s="137">
        <f ca="1">OFFSET('IWP18'!UnitsOfServicePeriod2, 5, 22, 1, 1)</f>
        <v>0</v>
      </c>
    </row>
    <row r="392" spans="1:25">
      <c r="A392" s="125" t="s">
        <v>492</v>
      </c>
      <c r="B392" s="128">
        <v>1</v>
      </c>
      <c r="C392" s="128">
        <v>1</v>
      </c>
      <c r="D392" s="107">
        <f ca="1">IF(OFFSET('IWP19'!UnitsOfServicePeriod1, 0, 0, 1, 1)=DATE(1900,1,0), DATE(1900,1,1),OFFSET('IWP19'!UnitsOfServicePeriod1, 0, 0, 1, 1))</f>
        <v>1</v>
      </c>
      <c r="E392" s="107">
        <f ca="1">IF(OFFSET('IWP19'!UnitsOfServicePeriod1, 0, 1, 1, 1)=DATE(1900,1,0), DATE(1900,1,1),OFFSET('IWP19'!UnitsOfServicePeriod1, 0, 1, 1, 1))</f>
        <v>1</v>
      </c>
      <c r="F392" s="128">
        <f ca="1">OFFSET('IWP19'!UnitsOfServicePeriod1, 0, 2, 1, 1)</f>
        <v>0</v>
      </c>
      <c r="G392" s="128">
        <f ca="1">IF(OFFSET('IWP19'!UnitsOfServicePeriod1, 0, 3, 1, 1) = "", 0, OFFSET('IWP19'!UnitsOfServicePeriod1, 0, 3, 1, 1))</f>
        <v>0</v>
      </c>
      <c r="H392" s="128">
        <f ca="1">OFFSET('IWP19'!UnitsOfServicePeriod1, 0, 4, 1, 1)</f>
        <v>0</v>
      </c>
      <c r="I392" s="128">
        <f ca="1">IF(OFFSET('IWP19'!UnitsOfServicePeriod1, 0, 5, 1, 1) = "", 0, OFFSET('IWP19'!UnitsOfServicePeriod1, 0, 5, 1, 1))</f>
        <v>0</v>
      </c>
      <c r="J392" s="128">
        <f ca="1">OFFSET('IWP19'!UnitsOfServicePeriod1, 0, 6, 1, 1)</f>
        <v>0</v>
      </c>
      <c r="K392" s="128">
        <f ca="1">IF(OFFSET('IWP19'!UnitsOfServicePeriod1, 0, 7, 1, 1) = "", 0, OFFSET('IWP19'!UnitsOfServicePeriod1, 0, 7, 1, 1))</f>
        <v>0</v>
      </c>
      <c r="L392" s="128">
        <f ca="1">OFFSET('IWP19'!UnitsOfServicePeriod1, 0, 8, 1, 1)</f>
        <v>0</v>
      </c>
      <c r="M392" s="128">
        <f ca="1">IF(OFFSET('IWP19'!UnitsOfServicePeriod1, 0, 9, 1, 1) = "", 0, OFFSET('IWP19'!UnitsOfServicePeriod1, 0, 9, 1, 1))</f>
        <v>0</v>
      </c>
      <c r="N392" s="128">
        <f ca="1">OFFSET('IWP19'!UnitsOfServicePeriod1, 0, 10, 1, 1)</f>
        <v>0</v>
      </c>
      <c r="O392" s="128">
        <f ca="1">IF(OFFSET('IWP19'!UnitsOfServicePeriod1, 0, 11, 1, 1) = "", 0, OFFSET('IWP19'!UnitsOfServicePeriod1, 0, 11, 1, 1))</f>
        <v>0</v>
      </c>
      <c r="P392" s="128">
        <f ca="1">OFFSET('IWP19'!UnitsOfServicePeriod1, 0, 12, 1, 1)</f>
        <v>0</v>
      </c>
      <c r="Q392" s="128">
        <f ca="1">IF(OFFSET('IWP19'!UnitsOfServicePeriod1, 0, 13, 1, 1) = "", 0, OFFSET('IWP19'!UnitsOfServicePeriod1, 0, 13, 1, 1))</f>
        <v>0</v>
      </c>
      <c r="R392" s="128">
        <f ca="1">OFFSET('IWP19'!UnitsOfServicePeriod1, 0, 14, 1, 1)</f>
        <v>0</v>
      </c>
      <c r="S392" s="128">
        <f ca="1">IF(OFFSET('IWP19'!UnitsOfServicePeriod1, 0, 15, 1, 1) = "", 0, OFFSET('IWP19'!UnitsOfServicePeriod1, 0, 15, 1, 1))</f>
        <v>0</v>
      </c>
      <c r="T392" s="128">
        <f ca="1">IF(OFFSET('IWP19'!UnitsOfServicePeriod1, 0, 16, 1, 1) = "", 0, OFFSET('IWP19'!UnitsOfServicePeriod1, 0, 16, 1, 1))</f>
        <v>0</v>
      </c>
      <c r="U392" s="128">
        <f ca="1">OFFSET('IWP19'!UnitsOfServicePeriod1, 0, 17, 1, 1)</f>
        <v>0</v>
      </c>
      <c r="V392" s="128">
        <f ca="1">IF(OFFSET('IWP19'!UnitsOfServicePeriod1, 0, 19, 1, 1) = "", 0, OFFSET('IWP19'!UnitsOfServicePeriod1, 0, 19, 1, 1))</f>
        <v>0</v>
      </c>
      <c r="W392" s="128">
        <f ca="1">OFFSET('IWP19'!UnitsOfServicePeriod1, 0, 20, 1, 1)</f>
        <v>0</v>
      </c>
      <c r="X392" s="128">
        <f ca="1">IF(OFFSET('IWP19'!UnitsOfServicePeriod1, 0, 21, 1, 1) = "", 0, OFFSET('IWP19'!UnitsOfServicePeriod1, 0, 21, 1, 1))</f>
        <v>0</v>
      </c>
      <c r="Y392" s="137">
        <f ca="1">OFFSET('IWP19'!UnitsOfServicePeriod1, 0, 22, 1, 1)</f>
        <v>0</v>
      </c>
    </row>
    <row r="393" spans="1:25">
      <c r="A393" s="125" t="s">
        <v>492</v>
      </c>
      <c r="B393" s="128">
        <v>1</v>
      </c>
      <c r="C393" s="128">
        <v>2</v>
      </c>
      <c r="D393" s="107">
        <f ca="1">IF(OFFSET('IWP19'!UnitsOfServicePeriod1, 1, 0, 1, 1)=DATE(1900,1,0), DATE(1900,1,1),OFFSET('IWP19'!UnitsOfServicePeriod1, 1, 0, 1, 1))</f>
        <v>1</v>
      </c>
      <c r="E393" s="107">
        <f ca="1">IF(OFFSET('IWP19'!UnitsOfServicePeriod1, 1, 1, 1, 1)=DATE(1900,1,0), DATE(1900,1,1),OFFSET('IWP19'!UnitsOfServicePeriod1, 1, 1, 1, 1))</f>
        <v>1</v>
      </c>
      <c r="F393" s="128">
        <f ca="1">OFFSET('IWP19'!UnitsOfServicePeriod1, 1, 2, 1, 1)</f>
        <v>0</v>
      </c>
      <c r="G393" s="128">
        <f ca="1">IF(OFFSET('IWP19'!UnitsOfServicePeriod1, 1, 3, 1, 1) = "", 0, OFFSET('IWP19'!UnitsOfServicePeriod1, 1, 3, 1, 1))</f>
        <v>0</v>
      </c>
      <c r="H393" s="128">
        <f ca="1">OFFSET('IWP19'!UnitsOfServicePeriod1, 1, 4, 1, 1)</f>
        <v>0</v>
      </c>
      <c r="I393" s="128">
        <f ca="1">IF(OFFSET('IWP19'!UnitsOfServicePeriod1, 1, 5, 1, 1) = "", 0, OFFSET('IWP19'!UnitsOfServicePeriod1, 1, 5, 1, 1))</f>
        <v>0</v>
      </c>
      <c r="J393" s="128">
        <f ca="1">OFFSET('IWP19'!UnitsOfServicePeriod1, 1, 6, 1, 1)</f>
        <v>0</v>
      </c>
      <c r="K393" s="128">
        <f ca="1">IF(OFFSET('IWP19'!UnitsOfServicePeriod1, 1, 7, 1, 1) = "", 0, OFFSET('IWP19'!UnitsOfServicePeriod1, 1, 7, 1, 1))</f>
        <v>0</v>
      </c>
      <c r="L393" s="128">
        <f ca="1">OFFSET('IWP19'!UnitsOfServicePeriod1, 1, 8, 1, 1)</f>
        <v>0</v>
      </c>
      <c r="M393" s="128">
        <f ca="1">IF(OFFSET('IWP19'!UnitsOfServicePeriod1, 1, 9, 1, 1) = "", 0, OFFSET('IWP19'!UnitsOfServicePeriod1, 1, 9, 1, 1))</f>
        <v>0</v>
      </c>
      <c r="N393" s="128">
        <f ca="1">OFFSET('IWP19'!UnitsOfServicePeriod1, 1, 10, 1, 1)</f>
        <v>0</v>
      </c>
      <c r="O393" s="128">
        <f ca="1">IF(OFFSET('IWP19'!UnitsOfServicePeriod1, 1, 11, 1, 1) = "", 0, OFFSET('IWP19'!UnitsOfServicePeriod1, 1, 11, 1, 1))</f>
        <v>0</v>
      </c>
      <c r="P393" s="128">
        <f ca="1">OFFSET('IWP19'!UnitsOfServicePeriod1, 1, 12, 1, 1)</f>
        <v>0</v>
      </c>
      <c r="Q393" s="128">
        <f ca="1">IF(OFFSET('IWP19'!UnitsOfServicePeriod1, 1, 13, 1, 1) = "", 0, OFFSET('IWP19'!UnitsOfServicePeriod1, 1, 13, 1, 1))</f>
        <v>0</v>
      </c>
      <c r="R393" s="128">
        <f ca="1">OFFSET('IWP19'!UnitsOfServicePeriod1, 1, 14, 1, 1)</f>
        <v>0</v>
      </c>
      <c r="S393" s="128">
        <f ca="1">IF(OFFSET('IWP19'!UnitsOfServicePeriod1, 1, 15, 1, 1) = "", 0, OFFSET('IWP19'!UnitsOfServicePeriod1, 1, 15, 1, 1))</f>
        <v>0</v>
      </c>
      <c r="T393" s="128">
        <f ca="1">IF(OFFSET('IWP19'!UnitsOfServicePeriod1, 1, 16, 1, 1) = "", 0, OFFSET('IWP19'!UnitsOfServicePeriod1, 1, 16, 1, 1))</f>
        <v>0</v>
      </c>
      <c r="U393" s="128">
        <f ca="1">OFFSET('IWP19'!UnitsOfServicePeriod1, 1, 17, 1, 1)</f>
        <v>0</v>
      </c>
      <c r="V393" s="128">
        <f ca="1">IF(OFFSET('IWP19'!UnitsOfServicePeriod1, 1, 19, 1, 1) = "", 0, OFFSET('IWP19'!UnitsOfServicePeriod1, 1, 19, 1, 1))</f>
        <v>0</v>
      </c>
      <c r="W393" s="128">
        <f ca="1">OFFSET('IWP19'!UnitsOfServicePeriod1, 1, 20, 1, 1)</f>
        <v>0</v>
      </c>
      <c r="X393" s="128">
        <f ca="1">IF(OFFSET('IWP19'!UnitsOfServicePeriod1, 1, 21, 1, 1) = "", 0, OFFSET('IWP19'!UnitsOfServicePeriod1, 1, 21, 1, 1))</f>
        <v>0</v>
      </c>
      <c r="Y393" s="137">
        <f ca="1">OFFSET('IWP19'!UnitsOfServicePeriod1, 1, 22, 1, 1)</f>
        <v>0</v>
      </c>
    </row>
    <row r="394" spans="1:25">
      <c r="A394" s="125" t="s">
        <v>492</v>
      </c>
      <c r="B394" s="128">
        <v>1</v>
      </c>
      <c r="C394" s="128">
        <v>3</v>
      </c>
      <c r="D394" s="107">
        <f ca="1">IF(OFFSET('IWP19'!UnitsOfServicePeriod1, 2, 0, 1, 1)=DATE(1900,1,0), DATE(1900,1,1),OFFSET('IWP19'!UnitsOfServicePeriod1, 2, 0, 1, 1))</f>
        <v>1</v>
      </c>
      <c r="E394" s="107">
        <f ca="1">IF(OFFSET('IWP19'!UnitsOfServicePeriod1, 2, 1, 1, 1)=DATE(1900,1,0), DATE(1900,1,1),OFFSET('IWP19'!UnitsOfServicePeriod1, 2, 1, 1, 1))</f>
        <v>1</v>
      </c>
      <c r="F394" s="128">
        <f ca="1">OFFSET('IWP19'!UnitsOfServicePeriod1, 2, 2, 1, 1)</f>
        <v>0</v>
      </c>
      <c r="G394" s="128">
        <f ca="1">IF(OFFSET('IWP19'!UnitsOfServicePeriod1, 2, 3, 1, 1) = "", 0, OFFSET('IWP19'!UnitsOfServicePeriod1, 2, 3, 1, 1))</f>
        <v>0</v>
      </c>
      <c r="H394" s="128">
        <f ca="1">OFFSET('IWP19'!UnitsOfServicePeriod1, 2, 4, 1, 1)</f>
        <v>0</v>
      </c>
      <c r="I394" s="128">
        <f ca="1">IF(OFFSET('IWP19'!UnitsOfServicePeriod1, 2, 5, 1, 1) = "", 0, OFFSET('IWP19'!UnitsOfServicePeriod1, 2, 5, 1, 1))</f>
        <v>0</v>
      </c>
      <c r="J394" s="128">
        <f ca="1">OFFSET('IWP19'!UnitsOfServicePeriod1, 2, 6, 1, 1)</f>
        <v>0</v>
      </c>
      <c r="K394" s="128">
        <f ca="1">IF(OFFSET('IWP19'!UnitsOfServicePeriod1, 2, 7, 1, 1) = "", 0, OFFSET('IWP19'!UnitsOfServicePeriod1, 2, 7, 1, 1))</f>
        <v>0</v>
      </c>
      <c r="L394" s="128">
        <f ca="1">OFFSET('IWP19'!UnitsOfServicePeriod1, 2, 8, 1, 1)</f>
        <v>0</v>
      </c>
      <c r="M394" s="128">
        <f ca="1">IF(OFFSET('IWP19'!UnitsOfServicePeriod1, 2, 9, 1, 1) = "", 0, OFFSET('IWP19'!UnitsOfServicePeriod1, 2, 9, 1, 1))</f>
        <v>0</v>
      </c>
      <c r="N394" s="128">
        <f ca="1">OFFSET('IWP19'!UnitsOfServicePeriod1, 2, 10, 1, 1)</f>
        <v>0</v>
      </c>
      <c r="O394" s="128">
        <f ca="1">IF(OFFSET('IWP19'!UnitsOfServicePeriod1, 2, 11, 1, 1) = "", 0, OFFSET('IWP19'!UnitsOfServicePeriod1, 2, 11, 1, 1))</f>
        <v>0</v>
      </c>
      <c r="P394" s="128">
        <f ca="1">OFFSET('IWP19'!UnitsOfServicePeriod1, 2, 12, 1, 1)</f>
        <v>0</v>
      </c>
      <c r="Q394" s="128">
        <f ca="1">IF(OFFSET('IWP19'!UnitsOfServicePeriod1, 2, 13, 1, 1) = "", 0, OFFSET('IWP19'!UnitsOfServicePeriod1, 2, 13, 1, 1))</f>
        <v>0</v>
      </c>
      <c r="R394" s="128">
        <f ca="1">OFFSET('IWP19'!UnitsOfServicePeriod1, 2, 14, 1, 1)</f>
        <v>0</v>
      </c>
      <c r="S394" s="128">
        <f ca="1">IF(OFFSET('IWP19'!UnitsOfServicePeriod1, 2, 15, 1, 1) = "", 0, OFFSET('IWP19'!UnitsOfServicePeriod1, 2, 15, 1, 1))</f>
        <v>0</v>
      </c>
      <c r="T394" s="128">
        <f ca="1">IF(OFFSET('IWP19'!UnitsOfServicePeriod1, 2, 16, 1, 1) = "", 0, OFFSET('IWP19'!UnitsOfServicePeriod1, 2, 16, 1, 1))</f>
        <v>0</v>
      </c>
      <c r="U394" s="128">
        <f ca="1">OFFSET('IWP19'!UnitsOfServicePeriod1, 2, 17, 1, 1)</f>
        <v>0</v>
      </c>
      <c r="V394" s="128">
        <f ca="1">IF(OFFSET('IWP19'!UnitsOfServicePeriod1, 2, 19, 1, 1) = "", 0, OFFSET('IWP19'!UnitsOfServicePeriod1, 2, 19, 1, 1))</f>
        <v>0</v>
      </c>
      <c r="W394" s="128">
        <f ca="1">OFFSET('IWP19'!UnitsOfServicePeriod1, 2, 20, 1, 1)</f>
        <v>0</v>
      </c>
      <c r="X394" s="128">
        <f ca="1">IF(OFFSET('IWP19'!UnitsOfServicePeriod1, 2, 21, 1, 1) = "", 0, OFFSET('IWP19'!UnitsOfServicePeriod1, 2, 21, 1, 1))</f>
        <v>0</v>
      </c>
      <c r="Y394" s="137">
        <f ca="1">OFFSET('IWP19'!UnitsOfServicePeriod1, 2, 22, 1, 1)</f>
        <v>0</v>
      </c>
    </row>
    <row r="395" spans="1:25">
      <c r="A395" s="125" t="s">
        <v>492</v>
      </c>
      <c r="B395" s="128">
        <v>1</v>
      </c>
      <c r="C395" s="128">
        <v>4</v>
      </c>
      <c r="D395" s="107">
        <f ca="1">IF(OFFSET('IWP19'!UnitsOfServicePeriod1, 3, 0, 1, 1)=DATE(1900,1,0), DATE(1900,1,1),OFFSET('IWP19'!UnitsOfServicePeriod1, 3, 0, 1, 1))</f>
        <v>1</v>
      </c>
      <c r="E395" s="107">
        <f ca="1">IF(OFFSET('IWP19'!UnitsOfServicePeriod1, 3, 1, 1, 1)=DATE(1900,1,0), DATE(1900,1,1),OFFSET('IWP19'!UnitsOfServicePeriod1, 3, 1, 1, 1))</f>
        <v>1</v>
      </c>
      <c r="F395" s="128">
        <f ca="1">OFFSET('IWP19'!UnitsOfServicePeriod1, 3, 2, 1, 1)</f>
        <v>0</v>
      </c>
      <c r="G395" s="128">
        <f ca="1">IF(OFFSET('IWP19'!UnitsOfServicePeriod1, 3, 3, 1, 1) = "", 0, OFFSET('IWP19'!UnitsOfServicePeriod1, 3, 3, 1, 1))</f>
        <v>0</v>
      </c>
      <c r="H395" s="128">
        <f ca="1">OFFSET('IWP19'!UnitsOfServicePeriod1, 3, 4, 1, 1)</f>
        <v>0</v>
      </c>
      <c r="I395" s="128">
        <f ca="1">IF(OFFSET('IWP19'!UnitsOfServicePeriod1, 3, 5, 1, 1) = "", 0, OFFSET('IWP19'!UnitsOfServicePeriod1, 3, 5, 1, 1))</f>
        <v>0</v>
      </c>
      <c r="J395" s="128">
        <f ca="1">OFFSET('IWP19'!UnitsOfServicePeriod1, 3, 6, 1, 1)</f>
        <v>0</v>
      </c>
      <c r="K395" s="128">
        <f ca="1">IF(OFFSET('IWP19'!UnitsOfServicePeriod1, 3, 7, 1, 1) = "", 0, OFFSET('IWP19'!UnitsOfServicePeriod1, 3, 7, 1, 1))</f>
        <v>0</v>
      </c>
      <c r="L395" s="128">
        <f ca="1">OFFSET('IWP19'!UnitsOfServicePeriod1, 3, 8, 1, 1)</f>
        <v>0</v>
      </c>
      <c r="M395" s="128">
        <f ca="1">IF(OFFSET('IWP19'!UnitsOfServicePeriod1, 3, 9, 1, 1) = "", 0, OFFSET('IWP19'!UnitsOfServicePeriod1, 3, 9, 1, 1))</f>
        <v>0</v>
      </c>
      <c r="N395" s="128">
        <f ca="1">OFFSET('IWP19'!UnitsOfServicePeriod1, 3, 10, 1, 1)</f>
        <v>0</v>
      </c>
      <c r="O395" s="128">
        <f ca="1">IF(OFFSET('IWP19'!UnitsOfServicePeriod1, 3, 11, 1, 1) = "", 0, OFFSET('IWP19'!UnitsOfServicePeriod1, 3, 11, 1, 1))</f>
        <v>0</v>
      </c>
      <c r="P395" s="128">
        <f ca="1">OFFSET('IWP19'!UnitsOfServicePeriod1, 3, 12, 1, 1)</f>
        <v>0</v>
      </c>
      <c r="Q395" s="128">
        <f ca="1">IF(OFFSET('IWP19'!UnitsOfServicePeriod1, 3, 13, 1, 1) = "", 0, OFFSET('IWP19'!UnitsOfServicePeriod1, 3, 13, 1, 1))</f>
        <v>0</v>
      </c>
      <c r="R395" s="128">
        <f ca="1">OFFSET('IWP19'!UnitsOfServicePeriod1, 3, 14, 1, 1)</f>
        <v>0</v>
      </c>
      <c r="S395" s="128">
        <f ca="1">IF(OFFSET('IWP19'!UnitsOfServicePeriod1, 3, 15, 1, 1) = "", 0, OFFSET('IWP19'!UnitsOfServicePeriod1, 3, 15, 1, 1))</f>
        <v>0</v>
      </c>
      <c r="T395" s="128">
        <f ca="1">IF(OFFSET('IWP19'!UnitsOfServicePeriod1, 3, 16, 1, 1) = "", 0, OFFSET('IWP19'!UnitsOfServicePeriod1, 3, 16, 1, 1))</f>
        <v>0</v>
      </c>
      <c r="U395" s="128">
        <f ca="1">OFFSET('IWP19'!UnitsOfServicePeriod1, 3, 17, 1, 1)</f>
        <v>0</v>
      </c>
      <c r="V395" s="128">
        <f ca="1">IF(OFFSET('IWP19'!UnitsOfServicePeriod1, 3, 19, 1, 1) = "", 0, OFFSET('IWP19'!UnitsOfServicePeriod1, 3, 19, 1, 1))</f>
        <v>0</v>
      </c>
      <c r="W395" s="128">
        <f ca="1">OFFSET('IWP19'!UnitsOfServicePeriod1, 3, 20, 1, 1)</f>
        <v>0</v>
      </c>
      <c r="X395" s="128">
        <f ca="1">IF(OFFSET('IWP19'!UnitsOfServicePeriod1, 3, 21, 1, 1) = "", 0, OFFSET('IWP19'!UnitsOfServicePeriod1, 3, 21, 1, 1))</f>
        <v>0</v>
      </c>
      <c r="Y395" s="137">
        <f ca="1">OFFSET('IWP19'!UnitsOfServicePeriod1, 3, 22, 1, 1)</f>
        <v>0</v>
      </c>
    </row>
    <row r="396" spans="1:25">
      <c r="A396" s="125" t="s">
        <v>492</v>
      </c>
      <c r="B396" s="128">
        <v>1</v>
      </c>
      <c r="C396" s="128">
        <v>5</v>
      </c>
      <c r="D396" s="107">
        <f ca="1">IF(OFFSET('IWP19'!UnitsOfServicePeriod1, 4, 0, 1, 1)=DATE(1900,1,0), DATE(1900,1,1),OFFSET('IWP19'!UnitsOfServicePeriod1, 4, 0, 1, 1))</f>
        <v>1</v>
      </c>
      <c r="E396" s="107">
        <f ca="1">IF(OFFSET('IWP19'!UnitsOfServicePeriod1, 4, 1, 1, 1)=DATE(1900,1,0), DATE(1900,1,1),OFFSET('IWP19'!UnitsOfServicePeriod1, 4, 1, 1, 1))</f>
        <v>1</v>
      </c>
      <c r="F396" s="128">
        <f ca="1">OFFSET('IWP19'!UnitsOfServicePeriod1, 4, 2, 1, 1)</f>
        <v>0</v>
      </c>
      <c r="G396" s="128">
        <f ca="1">IF(OFFSET('IWP19'!UnitsOfServicePeriod1, 4, 3, 1, 1) = "", 0, OFFSET('IWP19'!UnitsOfServicePeriod1, 4, 3, 1, 1))</f>
        <v>0</v>
      </c>
      <c r="H396" s="128">
        <f ca="1">OFFSET('IWP19'!UnitsOfServicePeriod1, 4, 4, 1, 1)</f>
        <v>0</v>
      </c>
      <c r="I396" s="128">
        <f ca="1">IF(OFFSET('IWP19'!UnitsOfServicePeriod1, 4, 5, 1, 1) = "", 0, OFFSET('IWP19'!UnitsOfServicePeriod1, 4, 5, 1, 1))</f>
        <v>0</v>
      </c>
      <c r="J396" s="128">
        <f ca="1">OFFSET('IWP19'!UnitsOfServicePeriod1, 4, 6, 1, 1)</f>
        <v>0</v>
      </c>
      <c r="K396" s="128">
        <f ca="1">IF(OFFSET('IWP19'!UnitsOfServicePeriod1, 4, 7, 1, 1) = "", 0, OFFSET('IWP19'!UnitsOfServicePeriod1, 4, 7, 1, 1))</f>
        <v>0</v>
      </c>
      <c r="L396" s="128">
        <f ca="1">OFFSET('IWP19'!UnitsOfServicePeriod1, 4, 8, 1, 1)</f>
        <v>0</v>
      </c>
      <c r="M396" s="128">
        <f ca="1">IF(OFFSET('IWP19'!UnitsOfServicePeriod1, 4, 9, 1, 1) = "", 0, OFFSET('IWP19'!UnitsOfServicePeriod1, 4, 9, 1, 1))</f>
        <v>0</v>
      </c>
      <c r="N396" s="128">
        <f ca="1">OFFSET('IWP19'!UnitsOfServicePeriod1, 4, 10, 1, 1)</f>
        <v>0</v>
      </c>
      <c r="O396" s="128">
        <f ca="1">IF(OFFSET('IWP19'!UnitsOfServicePeriod1, 4, 11, 1, 1) = "", 0, OFFSET('IWP19'!UnitsOfServicePeriod1, 4, 11, 1, 1))</f>
        <v>0</v>
      </c>
      <c r="P396" s="128">
        <f ca="1">OFFSET('IWP19'!UnitsOfServicePeriod1, 4, 12, 1, 1)</f>
        <v>0</v>
      </c>
      <c r="Q396" s="128">
        <f ca="1">IF(OFFSET('IWP19'!UnitsOfServicePeriod1, 4, 13, 1, 1) = "", 0, OFFSET('IWP19'!UnitsOfServicePeriod1, 4, 13, 1, 1))</f>
        <v>0</v>
      </c>
      <c r="R396" s="128">
        <f ca="1">OFFSET('IWP19'!UnitsOfServicePeriod1, 4, 14, 1, 1)</f>
        <v>0</v>
      </c>
      <c r="S396" s="128">
        <f ca="1">IF(OFFSET('IWP19'!UnitsOfServicePeriod1, 4, 15, 1, 1) = "", 0, OFFSET('IWP19'!UnitsOfServicePeriod1, 4, 15, 1, 1))</f>
        <v>0</v>
      </c>
      <c r="T396" s="128">
        <f ca="1">IF(OFFSET('IWP19'!UnitsOfServicePeriod1, 4, 16, 1, 1) = "", 0, OFFSET('IWP19'!UnitsOfServicePeriod1, 4, 16, 1, 1))</f>
        <v>0</v>
      </c>
      <c r="U396" s="128">
        <f ca="1">OFFSET('IWP19'!UnitsOfServicePeriod1, 4, 17, 1, 1)</f>
        <v>0</v>
      </c>
      <c r="V396" s="128">
        <f ca="1">IF(OFFSET('IWP19'!UnitsOfServicePeriod1, 4, 19, 1, 1) = "", 0, OFFSET('IWP19'!UnitsOfServicePeriod1, 4, 19, 1, 1))</f>
        <v>0</v>
      </c>
      <c r="W396" s="128">
        <f ca="1">OFFSET('IWP19'!UnitsOfServicePeriod1, 4, 20, 1, 1)</f>
        <v>0</v>
      </c>
      <c r="X396" s="128">
        <f ca="1">IF(OFFSET('IWP19'!UnitsOfServicePeriod1, 4, 21, 1, 1) = "", 0, OFFSET('IWP19'!UnitsOfServicePeriod1, 4, 21, 1, 1))</f>
        <v>0</v>
      </c>
      <c r="Y396" s="137">
        <f ca="1">OFFSET('IWP19'!UnitsOfServicePeriod1, 4, 22, 1, 1)</f>
        <v>0</v>
      </c>
    </row>
    <row r="397" spans="1:25">
      <c r="A397" s="125" t="s">
        <v>492</v>
      </c>
      <c r="B397" s="128">
        <v>1</v>
      </c>
      <c r="C397" s="128">
        <v>6</v>
      </c>
      <c r="D397" s="107">
        <f ca="1">IF(OFFSET('IWP19'!UnitsOfServicePeriod1, 5, 0, 1, 1)=DATE(1900,1,0), DATE(1900,1,1),OFFSET('IWP19'!UnitsOfServicePeriod1, 5, 0, 1, 1))</f>
        <v>1</v>
      </c>
      <c r="E397" s="107">
        <f ca="1">IF(OFFSET('IWP19'!UnitsOfServicePeriod1, 5, 1, 1, 1)=DATE(1900,1,0), DATE(1900,1,1),OFFSET('IWP19'!UnitsOfServicePeriod1, 5, 1, 1, 1))</f>
        <v>1</v>
      </c>
      <c r="F397" s="128">
        <f ca="1">OFFSET('IWP19'!UnitsOfServicePeriod1, 5, 2, 1, 1)</f>
        <v>0</v>
      </c>
      <c r="G397" s="128">
        <f ca="1">IF(OFFSET('IWP19'!UnitsOfServicePeriod1, 5, 3, 1, 1) = "", 0, OFFSET('IWP19'!UnitsOfServicePeriod1, 5, 3, 1, 1))</f>
        <v>0</v>
      </c>
      <c r="H397" s="128">
        <f ca="1">OFFSET('IWP19'!UnitsOfServicePeriod1, 5, 4, 1, 1)</f>
        <v>0</v>
      </c>
      <c r="I397" s="128">
        <f ca="1">IF(OFFSET('IWP19'!UnitsOfServicePeriod1, 5, 5, 1, 1) = "", 0, OFFSET('IWP19'!UnitsOfServicePeriod1, 5, 5, 1, 1))</f>
        <v>0</v>
      </c>
      <c r="J397" s="128">
        <f ca="1">OFFSET('IWP19'!UnitsOfServicePeriod1, 5, 6, 1, 1)</f>
        <v>0</v>
      </c>
      <c r="K397" s="128">
        <f ca="1">IF(OFFSET('IWP19'!UnitsOfServicePeriod1, 5, 7, 1, 1) = "", 0, OFFSET('IWP19'!UnitsOfServicePeriod1, 5, 7, 1, 1))</f>
        <v>0</v>
      </c>
      <c r="L397" s="128">
        <f ca="1">OFFSET('IWP19'!UnitsOfServicePeriod1, 5, 8, 1, 1)</f>
        <v>0</v>
      </c>
      <c r="M397" s="128">
        <f ca="1">IF(OFFSET('IWP19'!UnitsOfServicePeriod1, 5, 9, 1, 1) = "", 0, OFFSET('IWP19'!UnitsOfServicePeriod1, 5, 9, 1, 1))</f>
        <v>0</v>
      </c>
      <c r="N397" s="128">
        <f ca="1">OFFSET('IWP19'!UnitsOfServicePeriod1, 5, 10, 1, 1)</f>
        <v>0</v>
      </c>
      <c r="O397" s="128">
        <f ca="1">IF(OFFSET('IWP19'!UnitsOfServicePeriod1, 5, 11, 1, 1) = "", 0, OFFSET('IWP19'!UnitsOfServicePeriod1, 5, 11, 1, 1))</f>
        <v>0</v>
      </c>
      <c r="P397" s="128">
        <f ca="1">OFFSET('IWP19'!UnitsOfServicePeriod1, 5, 12, 1, 1)</f>
        <v>0</v>
      </c>
      <c r="Q397" s="128">
        <f ca="1">IF(OFFSET('IWP19'!UnitsOfServicePeriod1, 5, 13, 1, 1) = "", 0, OFFSET('IWP19'!UnitsOfServicePeriod1, 5, 13, 1, 1))</f>
        <v>0</v>
      </c>
      <c r="R397" s="128">
        <f ca="1">OFFSET('IWP19'!UnitsOfServicePeriod1, 5, 14, 1, 1)</f>
        <v>0</v>
      </c>
      <c r="S397" s="128">
        <f ca="1">IF(OFFSET('IWP19'!UnitsOfServicePeriod1, 5, 15, 1, 1) = "", 0, OFFSET('IWP19'!UnitsOfServicePeriod1, 5, 15, 1, 1))</f>
        <v>0</v>
      </c>
      <c r="T397" s="128">
        <f ca="1">IF(OFFSET('IWP19'!UnitsOfServicePeriod1, 5, 16, 1, 1) = "", 0, OFFSET('IWP19'!UnitsOfServicePeriod1, 5, 16, 1, 1))</f>
        <v>0</v>
      </c>
      <c r="U397" s="128">
        <f ca="1">OFFSET('IWP19'!UnitsOfServicePeriod1, 5, 17, 1, 1)</f>
        <v>0</v>
      </c>
      <c r="V397" s="128">
        <f ca="1">IF(OFFSET('IWP19'!UnitsOfServicePeriod1, 5, 19, 1, 1) = "", 0, OFFSET('IWP19'!UnitsOfServicePeriod1, 5, 19, 1, 1))</f>
        <v>0</v>
      </c>
      <c r="W397" s="128">
        <f ca="1">OFFSET('IWP19'!UnitsOfServicePeriod1, 5, 20, 1, 1)</f>
        <v>0</v>
      </c>
      <c r="X397" s="128">
        <f ca="1">IF(OFFSET('IWP19'!UnitsOfServicePeriod1, 5, 21, 1, 1) = "", 0, OFFSET('IWP19'!UnitsOfServicePeriod1, 5, 21, 1, 1))</f>
        <v>0</v>
      </c>
      <c r="Y397" s="137">
        <f ca="1">OFFSET('IWP19'!UnitsOfServicePeriod1, 5, 22, 1, 1)</f>
        <v>0</v>
      </c>
    </row>
    <row r="398" spans="1:25">
      <c r="A398" s="125" t="s">
        <v>492</v>
      </c>
      <c r="B398" s="128">
        <v>2</v>
      </c>
      <c r="C398" s="128">
        <v>1</v>
      </c>
      <c r="D398" s="107">
        <f ca="1">IF(OFFSET('IWP19'!UnitsOfServicePeriod2, 0, 0, 1, 1)=DATE(1900,1,0), DATE(1900,1,1),OFFSET('IWP19'!UnitsOfServicePeriod2, 0, 0, 1, 1))</f>
        <v>1</v>
      </c>
      <c r="E398" s="107">
        <f ca="1">IF(OFFSET('IWP19'!UnitsOfServicePeriod2, 0, 1, 1, 1)=DATE(1900,1,0), DATE(1900,1,1),OFFSET('IWP19'!UnitsOfServicePeriod2, 0, 1, 1, 1))</f>
        <v>1</v>
      </c>
      <c r="F398" s="128">
        <f ca="1">OFFSET('IWP19'!UnitsOfServicePeriod2, 0, 2, 1, 1)</f>
        <v>0</v>
      </c>
      <c r="G398" s="128">
        <f ca="1">IF(OFFSET('IWP19'!UnitsOfServicePeriod2, 0, 3, 1, 1) = "", 0, OFFSET('IWP19'!UnitsOfServicePeriod2, 0, 3, 1, 1))</f>
        <v>0</v>
      </c>
      <c r="H398" s="128">
        <f ca="1">OFFSET('IWP19'!UnitsOfServicePeriod2, 0, 4, 1, 1)</f>
        <v>0</v>
      </c>
      <c r="I398" s="128">
        <f ca="1">IF(OFFSET('IWP19'!UnitsOfServicePeriod2, 0, 5, 1, 1) = "", 0, OFFSET('IWP19'!UnitsOfServicePeriod2, 0, 5, 1, 1))</f>
        <v>0</v>
      </c>
      <c r="J398" s="128">
        <f ca="1">OFFSET('IWP19'!UnitsOfServicePeriod2, 0, 6, 1, 1)</f>
        <v>0</v>
      </c>
      <c r="K398" s="128">
        <f ca="1">IF(OFFSET('IWP19'!UnitsOfServicePeriod2, 0, 7, 1, 1) = "", 0, OFFSET('IWP19'!UnitsOfServicePeriod2, 0, 7, 1, 1))</f>
        <v>0</v>
      </c>
      <c r="L398" s="128">
        <f ca="1">OFFSET('IWP19'!UnitsOfServicePeriod2, 0, 8, 1, 1)</f>
        <v>0</v>
      </c>
      <c r="M398" s="128">
        <f ca="1">IF(OFFSET('IWP19'!UnitsOfServicePeriod2, 0, 9, 1, 1) = "", 0, OFFSET('IWP19'!UnitsOfServicePeriod2, 0, 9, 1, 1))</f>
        <v>0</v>
      </c>
      <c r="N398" s="128">
        <f ca="1">OFFSET('IWP19'!UnitsOfServicePeriod2, 0, 10, 1, 1)</f>
        <v>0</v>
      </c>
      <c r="O398" s="128">
        <f ca="1">IF(OFFSET('IWP19'!UnitsOfServicePeriod2, 0, 11, 1, 1) = "", 0, OFFSET('IWP19'!UnitsOfServicePeriod2, 0, 11, 1, 1))</f>
        <v>0</v>
      </c>
      <c r="P398" s="128">
        <f ca="1">OFFSET('IWP19'!UnitsOfServicePeriod2, 0, 12, 1, 1)</f>
        <v>0</v>
      </c>
      <c r="Q398" s="128">
        <f ca="1">IF(OFFSET('IWP19'!UnitsOfServicePeriod2, 0, 13, 1, 1) = "", 0, OFFSET('IWP19'!UnitsOfServicePeriod2, 0, 13, 1, 1))</f>
        <v>0</v>
      </c>
      <c r="R398" s="128">
        <f ca="1">OFFSET('IWP19'!UnitsOfServicePeriod2, 0, 14, 1, 1)</f>
        <v>0</v>
      </c>
      <c r="S398" s="128">
        <f ca="1">IF(OFFSET('IWP19'!UnitsOfServicePeriod2, 0, 15, 1, 1) = "", 0, OFFSET('IWP19'!UnitsOfServicePeriod2, 0, 15, 1, 1))</f>
        <v>0</v>
      </c>
      <c r="T398" s="128">
        <f ca="1">IF(OFFSET('IWP19'!UnitsOfServicePeriod2, 0, 16, 1, 1) = "", 0, OFFSET('IWP19'!UnitsOfServicePeriod2, 0, 16, 1, 1))</f>
        <v>0</v>
      </c>
      <c r="U398" s="128">
        <f ca="1">OFFSET('IWP19'!UnitsOfServicePeriod2, 0, 17, 1, 1)</f>
        <v>0</v>
      </c>
      <c r="V398" s="128">
        <f ca="1">IF(OFFSET('IWP19'!UnitsOfServicePeriod2, 0, 19, 1, 1) = "", 0, OFFSET('IWP19'!UnitsOfServicePeriod2, 0, 19, 1, 1))</f>
        <v>0</v>
      </c>
      <c r="W398" s="128">
        <f ca="1">OFFSET('IWP19'!UnitsOfServicePeriod2, 0, 20, 1, 1)</f>
        <v>0</v>
      </c>
      <c r="X398" s="128">
        <f ca="1">IF(OFFSET('IWP19'!UnitsOfServicePeriod2, 0, 21, 1, 1) = "", 0, OFFSET('IWP19'!UnitsOfServicePeriod2, 0, 21, 1, 1))</f>
        <v>0</v>
      </c>
      <c r="Y398" s="137">
        <f ca="1">OFFSET('IWP19'!UnitsOfServicePeriod2, 0, 22, 1, 1)</f>
        <v>0</v>
      </c>
    </row>
    <row r="399" spans="1:25">
      <c r="A399" s="125" t="s">
        <v>492</v>
      </c>
      <c r="B399" s="128">
        <v>2</v>
      </c>
      <c r="C399" s="128">
        <v>2</v>
      </c>
      <c r="D399" s="107">
        <f ca="1">IF(OFFSET('IWP19'!UnitsOfServicePeriod2, 1, 0, 1, 1)=DATE(1900,1,0), DATE(1900,1,1),OFFSET('IWP19'!UnitsOfServicePeriod2, 1, 0, 1, 1))</f>
        <v>1</v>
      </c>
      <c r="E399" s="107">
        <f ca="1">IF(OFFSET('IWP19'!UnitsOfServicePeriod2, 1, 1, 1, 1)=DATE(1900,1,0), DATE(1900,1,1),OFFSET('IWP19'!UnitsOfServicePeriod2, 1, 1, 1, 1))</f>
        <v>1</v>
      </c>
      <c r="F399" s="128">
        <f ca="1">OFFSET('IWP19'!UnitsOfServicePeriod2, 1, 2, 1, 1)</f>
        <v>0</v>
      </c>
      <c r="G399" s="128">
        <f ca="1">IF(OFFSET('IWP19'!UnitsOfServicePeriod2, 1, 3, 1, 1) = "", 0, OFFSET('IWP19'!UnitsOfServicePeriod2, 1, 3, 1, 1))</f>
        <v>0</v>
      </c>
      <c r="H399" s="128">
        <f ca="1">OFFSET('IWP19'!UnitsOfServicePeriod2, 1, 4, 1, 1)</f>
        <v>0</v>
      </c>
      <c r="I399" s="128">
        <f ca="1">IF(OFFSET('IWP19'!UnitsOfServicePeriod2, 1, 5, 1, 1) = "", 0, OFFSET('IWP19'!UnitsOfServicePeriod2, 1, 5, 1, 1))</f>
        <v>0</v>
      </c>
      <c r="J399" s="128">
        <f ca="1">OFFSET('IWP19'!UnitsOfServicePeriod2, 1, 6, 1, 1)</f>
        <v>0</v>
      </c>
      <c r="K399" s="128">
        <f ca="1">IF(OFFSET('IWP19'!UnitsOfServicePeriod2, 1, 7, 1, 1) = "", 0, OFFSET('IWP19'!UnitsOfServicePeriod2, 1, 7, 1, 1))</f>
        <v>0</v>
      </c>
      <c r="L399" s="128">
        <f ca="1">OFFSET('IWP19'!UnitsOfServicePeriod2, 1, 8, 1, 1)</f>
        <v>0</v>
      </c>
      <c r="M399" s="128">
        <f ca="1">IF(OFFSET('IWP19'!UnitsOfServicePeriod2, 1, 9, 1, 1) = "", 0, OFFSET('IWP19'!UnitsOfServicePeriod2, 1, 9, 1, 1))</f>
        <v>0</v>
      </c>
      <c r="N399" s="128">
        <f ca="1">OFFSET('IWP19'!UnitsOfServicePeriod2, 1, 10, 1, 1)</f>
        <v>0</v>
      </c>
      <c r="O399" s="128">
        <f ca="1">IF(OFFSET('IWP19'!UnitsOfServicePeriod2, 1, 11, 1, 1) = "", 0, OFFSET('IWP19'!UnitsOfServicePeriod2, 1, 11, 1, 1))</f>
        <v>0</v>
      </c>
      <c r="P399" s="128">
        <f ca="1">OFFSET('IWP19'!UnitsOfServicePeriod2, 1, 12, 1, 1)</f>
        <v>0</v>
      </c>
      <c r="Q399" s="128">
        <f ca="1">IF(OFFSET('IWP19'!UnitsOfServicePeriod2, 1, 13, 1, 1) = "", 0, OFFSET('IWP19'!UnitsOfServicePeriod2, 1, 13, 1, 1))</f>
        <v>0</v>
      </c>
      <c r="R399" s="128">
        <f ca="1">OFFSET('IWP19'!UnitsOfServicePeriod2, 1, 14, 1, 1)</f>
        <v>0</v>
      </c>
      <c r="S399" s="128">
        <f ca="1">IF(OFFSET('IWP19'!UnitsOfServicePeriod2, 1, 15, 1, 1) = "", 0, OFFSET('IWP19'!UnitsOfServicePeriod2, 1, 15, 1, 1))</f>
        <v>0</v>
      </c>
      <c r="T399" s="128">
        <f ca="1">IF(OFFSET('IWP19'!UnitsOfServicePeriod2, 1, 16, 1, 1) = "", 0, OFFSET('IWP19'!UnitsOfServicePeriod2, 1, 16, 1, 1))</f>
        <v>0</v>
      </c>
      <c r="U399" s="128">
        <f ca="1">OFFSET('IWP19'!UnitsOfServicePeriod2, 1, 17, 1, 1)</f>
        <v>0</v>
      </c>
      <c r="V399" s="128">
        <f ca="1">IF(OFFSET('IWP19'!UnitsOfServicePeriod2, 1, 19, 1, 1) = "", 0, OFFSET('IWP19'!UnitsOfServicePeriod2, 1, 19, 1, 1))</f>
        <v>0</v>
      </c>
      <c r="W399" s="128">
        <f ca="1">OFFSET('IWP19'!UnitsOfServicePeriod2, 1, 20, 1, 1)</f>
        <v>0</v>
      </c>
      <c r="X399" s="128">
        <f ca="1">IF(OFFSET('IWP19'!UnitsOfServicePeriod2, 1, 21, 1, 1) = "", 0, OFFSET('IWP19'!UnitsOfServicePeriod2, 1, 21, 1, 1))</f>
        <v>0</v>
      </c>
      <c r="Y399" s="137">
        <f ca="1">OFFSET('IWP19'!UnitsOfServicePeriod2, 1, 22, 1, 1)</f>
        <v>0</v>
      </c>
    </row>
    <row r="400" spans="1:25">
      <c r="A400" s="125" t="s">
        <v>492</v>
      </c>
      <c r="B400" s="128">
        <v>2</v>
      </c>
      <c r="C400" s="128">
        <v>3</v>
      </c>
      <c r="D400" s="107">
        <f ca="1">IF(OFFSET('IWP19'!UnitsOfServicePeriod2, 2, 0, 1, 1)=DATE(1900,1,0), DATE(1900,1,1),OFFSET('IWP19'!UnitsOfServicePeriod2, 2, 0, 1, 1))</f>
        <v>1</v>
      </c>
      <c r="E400" s="107">
        <f ca="1">IF(OFFSET('IWP19'!UnitsOfServicePeriod2, 2, 1, 1, 1)=DATE(1900,1,0), DATE(1900,1,1),OFFSET('IWP19'!UnitsOfServicePeriod2, 2, 1, 1, 1))</f>
        <v>1</v>
      </c>
      <c r="F400" s="128">
        <f ca="1">OFFSET('IWP19'!UnitsOfServicePeriod2, 2, 2, 1, 1)</f>
        <v>0</v>
      </c>
      <c r="G400" s="128">
        <f ca="1">IF(OFFSET('IWP19'!UnitsOfServicePeriod2, 2, 3, 1, 1) = "", 0, OFFSET('IWP19'!UnitsOfServicePeriod2, 2, 3, 1, 1))</f>
        <v>0</v>
      </c>
      <c r="H400" s="128">
        <f ca="1">OFFSET('IWP19'!UnitsOfServicePeriod2, 2, 4, 1, 1)</f>
        <v>0</v>
      </c>
      <c r="I400" s="128">
        <f ca="1">IF(OFFSET('IWP19'!UnitsOfServicePeriod2, 2, 5, 1, 1) = "", 0, OFFSET('IWP19'!UnitsOfServicePeriod2, 2, 5, 1, 1))</f>
        <v>0</v>
      </c>
      <c r="J400" s="128">
        <f ca="1">OFFSET('IWP19'!UnitsOfServicePeriod2, 2, 6, 1, 1)</f>
        <v>0</v>
      </c>
      <c r="K400" s="128">
        <f ca="1">IF(OFFSET('IWP19'!UnitsOfServicePeriod2, 2, 7, 1, 1) = "", 0, OFFSET('IWP19'!UnitsOfServicePeriod2, 2, 7, 1, 1))</f>
        <v>0</v>
      </c>
      <c r="L400" s="128">
        <f ca="1">OFFSET('IWP19'!UnitsOfServicePeriod2, 2, 8, 1, 1)</f>
        <v>0</v>
      </c>
      <c r="M400" s="128">
        <f ca="1">IF(OFFSET('IWP19'!UnitsOfServicePeriod2, 2, 9, 1, 1) = "", 0, OFFSET('IWP19'!UnitsOfServicePeriod2, 2, 9, 1, 1))</f>
        <v>0</v>
      </c>
      <c r="N400" s="128">
        <f ca="1">OFFSET('IWP19'!UnitsOfServicePeriod2, 2, 10, 1, 1)</f>
        <v>0</v>
      </c>
      <c r="O400" s="128">
        <f ca="1">IF(OFFSET('IWP19'!UnitsOfServicePeriod2, 2, 11, 1, 1) = "", 0, OFFSET('IWP19'!UnitsOfServicePeriod2, 2, 11, 1, 1))</f>
        <v>0</v>
      </c>
      <c r="P400" s="128">
        <f ca="1">OFFSET('IWP19'!UnitsOfServicePeriod2, 2, 12, 1, 1)</f>
        <v>0</v>
      </c>
      <c r="Q400" s="128">
        <f ca="1">IF(OFFSET('IWP19'!UnitsOfServicePeriod2, 2, 13, 1, 1) = "", 0, OFFSET('IWP19'!UnitsOfServicePeriod2, 2, 13, 1, 1))</f>
        <v>0</v>
      </c>
      <c r="R400" s="128">
        <f ca="1">OFFSET('IWP19'!UnitsOfServicePeriod2, 2, 14, 1, 1)</f>
        <v>0</v>
      </c>
      <c r="S400" s="128">
        <f ca="1">IF(OFFSET('IWP19'!UnitsOfServicePeriod2, 2, 15, 1, 1) = "", 0, OFFSET('IWP19'!UnitsOfServicePeriod2, 2, 15, 1, 1))</f>
        <v>0</v>
      </c>
      <c r="T400" s="128">
        <f ca="1">IF(OFFSET('IWP19'!UnitsOfServicePeriod2, 2, 16, 1, 1) = "", 0, OFFSET('IWP19'!UnitsOfServicePeriod2, 2, 16, 1, 1))</f>
        <v>0</v>
      </c>
      <c r="U400" s="128">
        <f ca="1">OFFSET('IWP19'!UnitsOfServicePeriod2, 2, 17, 1, 1)</f>
        <v>0</v>
      </c>
      <c r="V400" s="128">
        <f ca="1">IF(OFFSET('IWP19'!UnitsOfServicePeriod2, 2, 19, 1, 1) = "", 0, OFFSET('IWP19'!UnitsOfServicePeriod2, 2, 19, 1, 1))</f>
        <v>0</v>
      </c>
      <c r="W400" s="128">
        <f ca="1">OFFSET('IWP19'!UnitsOfServicePeriod2, 2, 20, 1, 1)</f>
        <v>0</v>
      </c>
      <c r="X400" s="128">
        <f ca="1">IF(OFFSET('IWP19'!UnitsOfServicePeriod2, 2, 21, 1, 1) = "", 0, OFFSET('IWP19'!UnitsOfServicePeriod2, 2, 21, 1, 1))</f>
        <v>0</v>
      </c>
      <c r="Y400" s="137">
        <f ca="1">OFFSET('IWP19'!UnitsOfServicePeriod2, 2, 22, 1, 1)</f>
        <v>0</v>
      </c>
    </row>
    <row r="401" spans="1:25">
      <c r="A401" s="125" t="s">
        <v>492</v>
      </c>
      <c r="B401" s="128">
        <v>2</v>
      </c>
      <c r="C401" s="128">
        <v>4</v>
      </c>
      <c r="D401" s="107">
        <f ca="1">IF(OFFSET('IWP19'!UnitsOfServicePeriod2, 3, 0, 1, 1)=DATE(1900,1,0), DATE(1900,1,1),OFFSET('IWP19'!UnitsOfServicePeriod2, 3, 0, 1, 1))</f>
        <v>1</v>
      </c>
      <c r="E401" s="107">
        <f ca="1">IF(OFFSET('IWP19'!UnitsOfServicePeriod2, 3, 1, 1, 1)=DATE(1900,1,0), DATE(1900,1,1),OFFSET('IWP19'!UnitsOfServicePeriod2, 3, 1, 1, 1))</f>
        <v>1</v>
      </c>
      <c r="F401" s="128">
        <f ca="1">OFFSET('IWP19'!UnitsOfServicePeriod2, 3, 2, 1, 1)</f>
        <v>0</v>
      </c>
      <c r="G401" s="128">
        <f ca="1">IF(OFFSET('IWP19'!UnitsOfServicePeriod2, 3, 3, 1, 1) = "", 0, OFFSET('IWP19'!UnitsOfServicePeriod2, 3, 3, 1, 1))</f>
        <v>0</v>
      </c>
      <c r="H401" s="128">
        <f ca="1">OFFSET('IWP19'!UnitsOfServicePeriod2, 3, 4, 1, 1)</f>
        <v>0</v>
      </c>
      <c r="I401" s="128">
        <f ca="1">IF(OFFSET('IWP19'!UnitsOfServicePeriod2, 3, 5, 1, 1) = "", 0, OFFSET('IWP19'!UnitsOfServicePeriod2, 3, 5, 1, 1))</f>
        <v>0</v>
      </c>
      <c r="J401" s="128">
        <f ca="1">OFFSET('IWP19'!UnitsOfServicePeriod2, 3, 6, 1, 1)</f>
        <v>0</v>
      </c>
      <c r="K401" s="128">
        <f ca="1">IF(OFFSET('IWP19'!UnitsOfServicePeriod2, 3, 7, 1, 1) = "", 0, OFFSET('IWP19'!UnitsOfServicePeriod2, 3, 7, 1, 1))</f>
        <v>0</v>
      </c>
      <c r="L401" s="128">
        <f ca="1">OFFSET('IWP19'!UnitsOfServicePeriod2, 3, 8, 1, 1)</f>
        <v>0</v>
      </c>
      <c r="M401" s="128">
        <f ca="1">IF(OFFSET('IWP19'!UnitsOfServicePeriod2, 3, 9, 1, 1) = "", 0, OFFSET('IWP19'!UnitsOfServicePeriod2, 3, 9, 1, 1))</f>
        <v>0</v>
      </c>
      <c r="N401" s="128">
        <f ca="1">OFFSET('IWP19'!UnitsOfServicePeriod2, 3, 10, 1, 1)</f>
        <v>0</v>
      </c>
      <c r="O401" s="128">
        <f ca="1">IF(OFFSET('IWP19'!UnitsOfServicePeriod2, 3, 11, 1, 1) = "", 0, OFFSET('IWP19'!UnitsOfServicePeriod2, 3, 11, 1, 1))</f>
        <v>0</v>
      </c>
      <c r="P401" s="128">
        <f ca="1">OFFSET('IWP19'!UnitsOfServicePeriod2, 3, 12, 1, 1)</f>
        <v>0</v>
      </c>
      <c r="Q401" s="128">
        <f ca="1">IF(OFFSET('IWP19'!UnitsOfServicePeriod2, 3, 13, 1, 1) = "", 0, OFFSET('IWP19'!UnitsOfServicePeriod2, 3, 13, 1, 1))</f>
        <v>0</v>
      </c>
      <c r="R401" s="128">
        <f ca="1">OFFSET('IWP19'!UnitsOfServicePeriod2, 3, 14, 1, 1)</f>
        <v>0</v>
      </c>
      <c r="S401" s="128">
        <f ca="1">IF(OFFSET('IWP19'!UnitsOfServicePeriod2, 3, 15, 1, 1) = "", 0, OFFSET('IWP19'!UnitsOfServicePeriod2, 3, 15, 1, 1))</f>
        <v>0</v>
      </c>
      <c r="T401" s="128">
        <f ca="1">IF(OFFSET('IWP19'!UnitsOfServicePeriod2, 3, 16, 1, 1) = "", 0, OFFSET('IWP19'!UnitsOfServicePeriod2, 3, 16, 1, 1))</f>
        <v>0</v>
      </c>
      <c r="U401" s="128">
        <f ca="1">OFFSET('IWP19'!UnitsOfServicePeriod2, 3, 17, 1, 1)</f>
        <v>0</v>
      </c>
      <c r="V401" s="128">
        <f ca="1">IF(OFFSET('IWP19'!UnitsOfServicePeriod2, 3, 19, 1, 1) = "", 0, OFFSET('IWP19'!UnitsOfServicePeriod2, 3, 19, 1, 1))</f>
        <v>0</v>
      </c>
      <c r="W401" s="128">
        <f ca="1">OFFSET('IWP19'!UnitsOfServicePeriod2, 3, 20, 1, 1)</f>
        <v>0</v>
      </c>
      <c r="X401" s="128">
        <f ca="1">IF(OFFSET('IWP19'!UnitsOfServicePeriod2, 3, 21, 1, 1) = "", 0, OFFSET('IWP19'!UnitsOfServicePeriod2, 3, 21, 1, 1))</f>
        <v>0</v>
      </c>
      <c r="Y401" s="137">
        <f ca="1">OFFSET('IWP19'!UnitsOfServicePeriod2, 3, 22, 1, 1)</f>
        <v>0</v>
      </c>
    </row>
    <row r="402" spans="1:25">
      <c r="A402" s="125" t="s">
        <v>492</v>
      </c>
      <c r="B402" s="128">
        <v>2</v>
      </c>
      <c r="C402" s="128">
        <v>5</v>
      </c>
      <c r="D402" s="107">
        <f ca="1">IF(OFFSET('IWP19'!UnitsOfServicePeriod2, 4, 0, 1, 1)=DATE(1900,1,0), DATE(1900,1,1),OFFSET('IWP19'!UnitsOfServicePeriod2, 4, 0, 1, 1))</f>
        <v>1</v>
      </c>
      <c r="E402" s="107">
        <f ca="1">IF(OFFSET('IWP19'!UnitsOfServicePeriod2, 4, 1, 1, 1)=DATE(1900,1,0), DATE(1900,1,1),OFFSET('IWP19'!UnitsOfServicePeriod2, 4, 1, 1, 1))</f>
        <v>1</v>
      </c>
      <c r="F402" s="128">
        <f ca="1">OFFSET('IWP19'!UnitsOfServicePeriod2, 4, 2, 1, 1)</f>
        <v>0</v>
      </c>
      <c r="G402" s="128">
        <f ca="1">IF(OFFSET('IWP19'!UnitsOfServicePeriod2, 4, 3, 1, 1) = "", 0, OFFSET('IWP19'!UnitsOfServicePeriod2, 4, 3, 1, 1))</f>
        <v>0</v>
      </c>
      <c r="H402" s="128">
        <f ca="1">OFFSET('IWP19'!UnitsOfServicePeriod2, 4, 4, 1, 1)</f>
        <v>0</v>
      </c>
      <c r="I402" s="128">
        <f ca="1">IF(OFFSET('IWP19'!UnitsOfServicePeriod2, 4, 5, 1, 1) = "", 0, OFFSET('IWP19'!UnitsOfServicePeriod2, 4, 5, 1, 1))</f>
        <v>0</v>
      </c>
      <c r="J402" s="128">
        <f ca="1">OFFSET('IWP19'!UnitsOfServicePeriod2, 4, 6, 1, 1)</f>
        <v>0</v>
      </c>
      <c r="K402" s="128">
        <f ca="1">IF(OFFSET('IWP19'!UnitsOfServicePeriod2, 4, 7, 1, 1) = "", 0, OFFSET('IWP19'!UnitsOfServicePeriod2, 4, 7, 1, 1))</f>
        <v>0</v>
      </c>
      <c r="L402" s="128">
        <f ca="1">OFFSET('IWP19'!UnitsOfServicePeriod2, 4, 8, 1, 1)</f>
        <v>0</v>
      </c>
      <c r="M402" s="128">
        <f ca="1">IF(OFFSET('IWP19'!UnitsOfServicePeriod2, 4, 9, 1, 1) = "", 0, OFFSET('IWP19'!UnitsOfServicePeriod2, 4, 9, 1, 1))</f>
        <v>0</v>
      </c>
      <c r="N402" s="128">
        <f ca="1">OFFSET('IWP19'!UnitsOfServicePeriod2, 4, 10, 1, 1)</f>
        <v>0</v>
      </c>
      <c r="O402" s="128">
        <f ca="1">IF(OFFSET('IWP19'!UnitsOfServicePeriod2, 4, 11, 1, 1) = "", 0, OFFSET('IWP19'!UnitsOfServicePeriod2, 4, 11, 1, 1))</f>
        <v>0</v>
      </c>
      <c r="P402" s="128">
        <f ca="1">OFFSET('IWP19'!UnitsOfServicePeriod2, 4, 12, 1, 1)</f>
        <v>0</v>
      </c>
      <c r="Q402" s="128">
        <f ca="1">IF(OFFSET('IWP19'!UnitsOfServicePeriod2, 4, 13, 1, 1) = "", 0, OFFSET('IWP19'!UnitsOfServicePeriod2, 4, 13, 1, 1))</f>
        <v>0</v>
      </c>
      <c r="R402" s="128">
        <f ca="1">OFFSET('IWP19'!UnitsOfServicePeriod2, 4, 14, 1, 1)</f>
        <v>0</v>
      </c>
      <c r="S402" s="128">
        <f ca="1">IF(OFFSET('IWP19'!UnitsOfServicePeriod2, 4, 15, 1, 1) = "", 0, OFFSET('IWP19'!UnitsOfServicePeriod2, 4, 15, 1, 1))</f>
        <v>0</v>
      </c>
      <c r="T402" s="128">
        <f ca="1">IF(OFFSET('IWP19'!UnitsOfServicePeriod2, 4, 16, 1, 1) = "", 0, OFFSET('IWP19'!UnitsOfServicePeriod2, 4, 16, 1, 1))</f>
        <v>0</v>
      </c>
      <c r="U402" s="128">
        <f ca="1">OFFSET('IWP19'!UnitsOfServicePeriod2, 4, 17, 1, 1)</f>
        <v>0</v>
      </c>
      <c r="V402" s="128">
        <f ca="1">IF(OFFSET('IWP19'!UnitsOfServicePeriod2, 4, 19, 1, 1) = "", 0, OFFSET('IWP19'!UnitsOfServicePeriod2, 4, 19, 1, 1))</f>
        <v>0</v>
      </c>
      <c r="W402" s="128">
        <f ca="1">OFFSET('IWP19'!UnitsOfServicePeriod2, 4, 20, 1, 1)</f>
        <v>0</v>
      </c>
      <c r="X402" s="128">
        <f ca="1">IF(OFFSET('IWP19'!UnitsOfServicePeriod2, 4, 21, 1, 1) = "", 0, OFFSET('IWP19'!UnitsOfServicePeriod2, 4, 21, 1, 1))</f>
        <v>0</v>
      </c>
      <c r="Y402" s="137">
        <f ca="1">OFFSET('IWP19'!UnitsOfServicePeriod2, 4, 22, 1, 1)</f>
        <v>0</v>
      </c>
    </row>
    <row r="403" spans="1:25">
      <c r="A403" s="125" t="s">
        <v>492</v>
      </c>
      <c r="B403" s="128">
        <v>2</v>
      </c>
      <c r="C403" s="128">
        <v>6</v>
      </c>
      <c r="D403" s="107">
        <f ca="1">IF(OFFSET('IWP19'!UnitsOfServicePeriod2, 5, 0, 1, 1)=DATE(1900,1,0), DATE(1900,1,1),OFFSET('IWP19'!UnitsOfServicePeriod2, 5, 0, 1, 1))</f>
        <v>1</v>
      </c>
      <c r="E403" s="107">
        <f ca="1">IF(OFFSET('IWP19'!UnitsOfServicePeriod2, 5, 1, 1, 1)=DATE(1900,1,0), DATE(1900,1,1),OFFSET('IWP19'!UnitsOfServicePeriod2, 5, 1, 1, 1))</f>
        <v>1</v>
      </c>
      <c r="F403" s="128">
        <f ca="1">OFFSET('IWP19'!UnitsOfServicePeriod2, 5, 2, 1, 1)</f>
        <v>0</v>
      </c>
      <c r="G403" s="128">
        <f ca="1">IF(OFFSET('IWP19'!UnitsOfServicePeriod2, 5, 3, 1, 1) = "", 0, OFFSET('IWP19'!UnitsOfServicePeriod2, 5, 3, 1, 1))</f>
        <v>0</v>
      </c>
      <c r="H403" s="128">
        <f ca="1">OFFSET('IWP19'!UnitsOfServicePeriod2, 5, 4, 1, 1)</f>
        <v>0</v>
      </c>
      <c r="I403" s="128">
        <f ca="1">IF(OFFSET('IWP19'!UnitsOfServicePeriod2, 5, 5, 1, 1) = "", 0, OFFSET('IWP19'!UnitsOfServicePeriod2, 5, 5, 1, 1))</f>
        <v>0</v>
      </c>
      <c r="J403" s="128">
        <f ca="1">OFFSET('IWP19'!UnitsOfServicePeriod2, 5, 6, 1, 1)</f>
        <v>0</v>
      </c>
      <c r="K403" s="128">
        <f ca="1">IF(OFFSET('IWP19'!UnitsOfServicePeriod2, 5, 7, 1, 1) = "", 0, OFFSET('IWP19'!UnitsOfServicePeriod2, 5, 7, 1, 1))</f>
        <v>0</v>
      </c>
      <c r="L403" s="128">
        <f ca="1">OFFSET('IWP19'!UnitsOfServicePeriod2, 5, 8, 1, 1)</f>
        <v>0</v>
      </c>
      <c r="M403" s="128">
        <f ca="1">IF(OFFSET('IWP19'!UnitsOfServicePeriod2, 5, 9, 1, 1) = "", 0, OFFSET('IWP19'!UnitsOfServicePeriod2, 5, 9, 1, 1))</f>
        <v>0</v>
      </c>
      <c r="N403" s="128">
        <f ca="1">OFFSET('IWP19'!UnitsOfServicePeriod2, 5, 10, 1, 1)</f>
        <v>0</v>
      </c>
      <c r="O403" s="128">
        <f ca="1">IF(OFFSET('IWP19'!UnitsOfServicePeriod2, 5, 11, 1, 1) = "", 0, OFFSET('IWP19'!UnitsOfServicePeriod2, 5, 11, 1, 1))</f>
        <v>0</v>
      </c>
      <c r="P403" s="128">
        <f ca="1">OFFSET('IWP19'!UnitsOfServicePeriod2, 5, 12, 1, 1)</f>
        <v>0</v>
      </c>
      <c r="Q403" s="128">
        <f ca="1">IF(OFFSET('IWP19'!UnitsOfServicePeriod2, 5, 13, 1, 1) = "", 0, OFFSET('IWP19'!UnitsOfServicePeriod2, 5, 13, 1, 1))</f>
        <v>0</v>
      </c>
      <c r="R403" s="128">
        <f ca="1">OFFSET('IWP19'!UnitsOfServicePeriod2, 5, 14, 1, 1)</f>
        <v>0</v>
      </c>
      <c r="S403" s="128">
        <f ca="1">IF(OFFSET('IWP19'!UnitsOfServicePeriod2, 5, 15, 1, 1) = "", 0, OFFSET('IWP19'!UnitsOfServicePeriod2, 5, 15, 1, 1))</f>
        <v>0</v>
      </c>
      <c r="T403" s="128">
        <f ca="1">IF(OFFSET('IWP19'!UnitsOfServicePeriod2, 5, 16, 1, 1) = "", 0, OFFSET('IWP19'!UnitsOfServicePeriod2, 5, 16, 1, 1))</f>
        <v>0</v>
      </c>
      <c r="U403" s="128">
        <f ca="1">OFFSET('IWP19'!UnitsOfServicePeriod2, 5, 17, 1, 1)</f>
        <v>0</v>
      </c>
      <c r="V403" s="128">
        <f ca="1">IF(OFFSET('IWP19'!UnitsOfServicePeriod2, 5, 19, 1, 1) = "", 0, OFFSET('IWP19'!UnitsOfServicePeriod2, 5, 19, 1, 1))</f>
        <v>0</v>
      </c>
      <c r="W403" s="128">
        <f ca="1">OFFSET('IWP19'!UnitsOfServicePeriod2, 5, 20, 1, 1)</f>
        <v>0</v>
      </c>
      <c r="X403" s="128">
        <f ca="1">IF(OFFSET('IWP19'!UnitsOfServicePeriod2, 5, 21, 1, 1) = "", 0, OFFSET('IWP19'!UnitsOfServicePeriod2, 5, 21, 1, 1))</f>
        <v>0</v>
      </c>
      <c r="Y403" s="137">
        <f ca="1">OFFSET('IWP19'!UnitsOfServicePeriod2, 5, 22, 1, 1)</f>
        <v>0</v>
      </c>
    </row>
    <row r="404" spans="1:25">
      <c r="A404" s="125" t="s">
        <v>493</v>
      </c>
      <c r="B404" s="128">
        <v>1</v>
      </c>
      <c r="C404" s="128">
        <v>1</v>
      </c>
      <c r="D404" s="107">
        <f ca="1">IF(OFFSET('IWP20'!UnitsOfServicePeriod1, 0, 0, 1, 1)=DATE(1900,1,0), DATE(1900,1,1),OFFSET('IWP20'!UnitsOfServicePeriod1, 0, 0, 1, 1))</f>
        <v>1</v>
      </c>
      <c r="E404" s="107">
        <f ca="1">IF(OFFSET('IWP20'!UnitsOfServicePeriod1, 0, 1, 1, 1)=DATE(1900,1,0), DATE(1900,1,1),OFFSET('IWP20'!UnitsOfServicePeriod1, 0, 1, 1, 1))</f>
        <v>1</v>
      </c>
      <c r="F404" s="128">
        <f ca="1">OFFSET('IWP20'!UnitsOfServicePeriod1, 0, 2, 1, 1)</f>
        <v>0</v>
      </c>
      <c r="G404" s="128">
        <f ca="1">IF(OFFSET('IWP20'!UnitsOfServicePeriod1, 0, 3, 1, 1) = "", 0, OFFSET('IWP20'!UnitsOfServicePeriod1, 0, 3, 1, 1))</f>
        <v>0</v>
      </c>
      <c r="H404" s="128">
        <f ca="1">OFFSET('IWP20'!UnitsOfServicePeriod1, 0, 4, 1, 1)</f>
        <v>0</v>
      </c>
      <c r="I404" s="128">
        <f ca="1">IF(OFFSET('IWP20'!UnitsOfServicePeriod1, 0, 5, 1, 1) = "", 0, OFFSET('IWP20'!UnitsOfServicePeriod1, 0, 5, 1, 1))</f>
        <v>0</v>
      </c>
      <c r="J404" s="128">
        <f ca="1">OFFSET('IWP20'!UnitsOfServicePeriod1, 0, 6, 1, 1)</f>
        <v>0</v>
      </c>
      <c r="K404" s="128">
        <f ca="1">IF(OFFSET('IWP20'!UnitsOfServicePeriod1, 0, 7, 1, 1) = "", 0, OFFSET('IWP20'!UnitsOfServicePeriod1, 0, 7, 1, 1))</f>
        <v>0</v>
      </c>
      <c r="L404" s="128">
        <f ca="1">OFFSET('IWP20'!UnitsOfServicePeriod1, 0, 8, 1, 1)</f>
        <v>0</v>
      </c>
      <c r="M404" s="128">
        <f ca="1">IF(OFFSET('IWP20'!UnitsOfServicePeriod1, 0, 9, 1, 1) = "", 0, OFFSET('IWP20'!UnitsOfServicePeriod1, 0, 9, 1, 1))</f>
        <v>0</v>
      </c>
      <c r="N404" s="128">
        <f ca="1">OFFSET('IWP20'!UnitsOfServicePeriod1, 0, 10, 1, 1)</f>
        <v>0</v>
      </c>
      <c r="O404" s="128">
        <f ca="1">IF(OFFSET('IWP20'!UnitsOfServicePeriod1, 0, 11, 1, 1) = "", 0, OFFSET('IWP20'!UnitsOfServicePeriod1, 0, 11, 1, 1))</f>
        <v>0</v>
      </c>
      <c r="P404" s="128">
        <f ca="1">OFFSET('IWP20'!UnitsOfServicePeriod1, 0, 12, 1, 1)</f>
        <v>0</v>
      </c>
      <c r="Q404" s="128">
        <f ca="1">IF(OFFSET('IWP20'!UnitsOfServicePeriod1, 0, 13, 1, 1) = "", 0, OFFSET('IWP20'!UnitsOfServicePeriod1, 0, 13, 1, 1))</f>
        <v>0</v>
      </c>
      <c r="R404" s="128">
        <f ca="1">OFFSET('IWP20'!UnitsOfServicePeriod1, 0, 14, 1, 1)</f>
        <v>0</v>
      </c>
      <c r="S404" s="128">
        <f ca="1">IF(OFFSET('IWP20'!UnitsOfServicePeriod1, 0, 15, 1, 1) = "", 0, OFFSET('IWP20'!UnitsOfServicePeriod1, 0, 15, 1, 1))</f>
        <v>0</v>
      </c>
      <c r="T404" s="128">
        <f ca="1">IF(OFFSET('IWP20'!UnitsOfServicePeriod1, 0, 16, 1, 1) = "", 0, OFFSET('IWP20'!UnitsOfServicePeriod1, 0, 16, 1, 1))</f>
        <v>0</v>
      </c>
      <c r="U404" s="128">
        <f ca="1">OFFSET('IWP20'!UnitsOfServicePeriod1, 0, 17, 1, 1)</f>
        <v>0</v>
      </c>
      <c r="V404" s="128">
        <f ca="1">IF(OFFSET('IWP20'!UnitsOfServicePeriod1, 0, 19, 1, 1) = "", 0, OFFSET('IWP20'!UnitsOfServicePeriod1, 0, 19, 1, 1))</f>
        <v>0</v>
      </c>
      <c r="W404" s="128">
        <f ca="1">OFFSET('IWP20'!UnitsOfServicePeriod1, 0, 20, 1, 1)</f>
        <v>0</v>
      </c>
      <c r="X404" s="128">
        <f ca="1">IF(OFFSET('IWP20'!UnitsOfServicePeriod1, 0, 21, 1, 1) = "", 0, OFFSET('IWP20'!UnitsOfServicePeriod1, 0, 21, 1, 1))</f>
        <v>0</v>
      </c>
      <c r="Y404" s="137">
        <f ca="1">OFFSET('IWP20'!UnitsOfServicePeriod1, 0, 22, 1, 1)</f>
        <v>0</v>
      </c>
    </row>
    <row r="405" spans="1:25">
      <c r="A405" s="125" t="s">
        <v>493</v>
      </c>
      <c r="B405" s="128">
        <v>1</v>
      </c>
      <c r="C405" s="128">
        <v>2</v>
      </c>
      <c r="D405" s="107">
        <f ca="1">IF(OFFSET('IWP20'!UnitsOfServicePeriod1, 1, 0, 1, 1)=DATE(1900,1,0), DATE(1900,1,1),OFFSET('IWP20'!UnitsOfServicePeriod1, 1, 0, 1, 1))</f>
        <v>1</v>
      </c>
      <c r="E405" s="107">
        <f ca="1">IF(OFFSET('IWP20'!UnitsOfServicePeriod1, 1, 1, 1, 1)=DATE(1900,1,0), DATE(1900,1,1),OFFSET('IWP20'!UnitsOfServicePeriod1, 1, 1, 1, 1))</f>
        <v>1</v>
      </c>
      <c r="F405" s="128">
        <f ca="1">OFFSET('IWP20'!UnitsOfServicePeriod1, 1, 2, 1, 1)</f>
        <v>0</v>
      </c>
      <c r="G405" s="128">
        <f ca="1">IF(OFFSET('IWP20'!UnitsOfServicePeriod1, 1, 3, 1, 1) = "", 0, OFFSET('IWP20'!UnitsOfServicePeriod1, 1, 3, 1, 1))</f>
        <v>0</v>
      </c>
      <c r="H405" s="128">
        <f ca="1">OFFSET('IWP20'!UnitsOfServicePeriod1, 1, 4, 1, 1)</f>
        <v>0</v>
      </c>
      <c r="I405" s="128">
        <f ca="1">IF(OFFSET('IWP20'!UnitsOfServicePeriod1, 1, 5, 1, 1) = "", 0, OFFSET('IWP20'!UnitsOfServicePeriod1, 1, 5, 1, 1))</f>
        <v>0</v>
      </c>
      <c r="J405" s="128">
        <f ca="1">OFFSET('IWP20'!UnitsOfServicePeriod1, 1, 6, 1, 1)</f>
        <v>0</v>
      </c>
      <c r="K405" s="128">
        <f ca="1">IF(OFFSET('IWP20'!UnitsOfServicePeriod1, 1, 7, 1, 1) = "", 0, OFFSET('IWP20'!UnitsOfServicePeriod1, 1, 7, 1, 1))</f>
        <v>0</v>
      </c>
      <c r="L405" s="128">
        <f ca="1">OFFSET('IWP20'!UnitsOfServicePeriod1, 1, 8, 1, 1)</f>
        <v>0</v>
      </c>
      <c r="M405" s="128">
        <f ca="1">IF(OFFSET('IWP20'!UnitsOfServicePeriod1, 1, 9, 1, 1) = "", 0, OFFSET('IWP20'!UnitsOfServicePeriod1, 1, 9, 1, 1))</f>
        <v>0</v>
      </c>
      <c r="N405" s="128">
        <f ca="1">OFFSET('IWP20'!UnitsOfServicePeriod1, 1, 10, 1, 1)</f>
        <v>0</v>
      </c>
      <c r="O405" s="128">
        <f ca="1">IF(OFFSET('IWP20'!UnitsOfServicePeriod1, 1, 11, 1, 1) = "", 0, OFFSET('IWP20'!UnitsOfServicePeriod1, 1, 11, 1, 1))</f>
        <v>0</v>
      </c>
      <c r="P405" s="128">
        <f ca="1">OFFSET('IWP20'!UnitsOfServicePeriod1, 1, 12, 1, 1)</f>
        <v>0</v>
      </c>
      <c r="Q405" s="128">
        <f ca="1">IF(OFFSET('IWP20'!UnitsOfServicePeriod1, 1, 13, 1, 1) = "", 0, OFFSET('IWP20'!UnitsOfServicePeriod1, 1, 13, 1, 1))</f>
        <v>0</v>
      </c>
      <c r="R405" s="128">
        <f ca="1">OFFSET('IWP20'!UnitsOfServicePeriod1, 1, 14, 1, 1)</f>
        <v>0</v>
      </c>
      <c r="S405" s="128">
        <f ca="1">IF(OFFSET('IWP20'!UnitsOfServicePeriod1, 1, 15, 1, 1) = "", 0, OFFSET('IWP20'!UnitsOfServicePeriod1, 1, 15, 1, 1))</f>
        <v>0</v>
      </c>
      <c r="T405" s="128">
        <f ca="1">IF(OFFSET('IWP20'!UnitsOfServicePeriod1, 1, 16, 1, 1) = "", 0, OFFSET('IWP20'!UnitsOfServicePeriod1, 1, 16, 1, 1))</f>
        <v>0</v>
      </c>
      <c r="U405" s="128">
        <f ca="1">OFFSET('IWP20'!UnitsOfServicePeriod1, 1, 17, 1, 1)</f>
        <v>0</v>
      </c>
      <c r="V405" s="128">
        <f ca="1">IF(OFFSET('IWP20'!UnitsOfServicePeriod1, 1, 19, 1, 1) = "", 0, OFFSET('IWP20'!UnitsOfServicePeriod1, 1, 19, 1, 1))</f>
        <v>0</v>
      </c>
      <c r="W405" s="128">
        <f ca="1">OFFSET('IWP20'!UnitsOfServicePeriod1, 1, 20, 1, 1)</f>
        <v>0</v>
      </c>
      <c r="X405" s="128">
        <f ca="1">IF(OFFSET('IWP20'!UnitsOfServicePeriod1, 1, 21, 1, 1) = "", 0, OFFSET('IWP20'!UnitsOfServicePeriod1, 1, 21, 1, 1))</f>
        <v>0</v>
      </c>
      <c r="Y405" s="137">
        <f ca="1">OFFSET('IWP20'!UnitsOfServicePeriod1, 1, 22, 1, 1)</f>
        <v>0</v>
      </c>
    </row>
    <row r="406" spans="1:25">
      <c r="A406" s="125" t="s">
        <v>493</v>
      </c>
      <c r="B406" s="128">
        <v>1</v>
      </c>
      <c r="C406" s="128">
        <v>3</v>
      </c>
      <c r="D406" s="107">
        <f ca="1">IF(OFFSET('IWP20'!UnitsOfServicePeriod1, 2, 0, 1, 1)=DATE(1900,1,0), DATE(1900,1,1),OFFSET('IWP20'!UnitsOfServicePeriod1, 2, 0, 1, 1))</f>
        <v>1</v>
      </c>
      <c r="E406" s="107">
        <f ca="1">IF(OFFSET('IWP20'!UnitsOfServicePeriod1, 2, 1, 1, 1)=DATE(1900,1,0), DATE(1900,1,1),OFFSET('IWP20'!UnitsOfServicePeriod1, 2, 1, 1, 1))</f>
        <v>1</v>
      </c>
      <c r="F406" s="128">
        <f ca="1">OFFSET('IWP20'!UnitsOfServicePeriod1, 2, 2, 1, 1)</f>
        <v>0</v>
      </c>
      <c r="G406" s="128">
        <f ca="1">IF(OFFSET('IWP20'!UnitsOfServicePeriod1, 2, 3, 1, 1) = "", 0, OFFSET('IWP20'!UnitsOfServicePeriod1, 2, 3, 1, 1))</f>
        <v>0</v>
      </c>
      <c r="H406" s="128">
        <f ca="1">OFFSET('IWP20'!UnitsOfServicePeriod1, 2, 4, 1, 1)</f>
        <v>0</v>
      </c>
      <c r="I406" s="128">
        <f ca="1">IF(OFFSET('IWP20'!UnitsOfServicePeriod1, 2, 5, 1, 1) = "", 0, OFFSET('IWP20'!UnitsOfServicePeriod1, 2, 5, 1, 1))</f>
        <v>0</v>
      </c>
      <c r="J406" s="128">
        <f ca="1">OFFSET('IWP20'!UnitsOfServicePeriod1, 2, 6, 1, 1)</f>
        <v>0</v>
      </c>
      <c r="K406" s="128">
        <f ca="1">IF(OFFSET('IWP20'!UnitsOfServicePeriod1, 2, 7, 1, 1) = "", 0, OFFSET('IWP20'!UnitsOfServicePeriod1, 2, 7, 1, 1))</f>
        <v>0</v>
      </c>
      <c r="L406" s="128">
        <f ca="1">OFFSET('IWP20'!UnitsOfServicePeriod1, 2, 8, 1, 1)</f>
        <v>0</v>
      </c>
      <c r="M406" s="128">
        <f ca="1">IF(OFFSET('IWP20'!UnitsOfServicePeriod1, 2, 9, 1, 1) = "", 0, OFFSET('IWP20'!UnitsOfServicePeriod1, 2, 9, 1, 1))</f>
        <v>0</v>
      </c>
      <c r="N406" s="128">
        <f ca="1">OFFSET('IWP20'!UnitsOfServicePeriod1, 2, 10, 1, 1)</f>
        <v>0</v>
      </c>
      <c r="O406" s="128">
        <f ca="1">IF(OFFSET('IWP20'!UnitsOfServicePeriod1, 2, 11, 1, 1) = "", 0, OFFSET('IWP20'!UnitsOfServicePeriod1, 2, 11, 1, 1))</f>
        <v>0</v>
      </c>
      <c r="P406" s="128">
        <f ca="1">OFFSET('IWP20'!UnitsOfServicePeriod1, 2, 12, 1, 1)</f>
        <v>0</v>
      </c>
      <c r="Q406" s="128">
        <f ca="1">IF(OFFSET('IWP20'!UnitsOfServicePeriod1, 2, 13, 1, 1) = "", 0, OFFSET('IWP20'!UnitsOfServicePeriod1, 2, 13, 1, 1))</f>
        <v>0</v>
      </c>
      <c r="R406" s="128">
        <f ca="1">OFFSET('IWP20'!UnitsOfServicePeriod1, 2, 14, 1, 1)</f>
        <v>0</v>
      </c>
      <c r="S406" s="128">
        <f ca="1">IF(OFFSET('IWP20'!UnitsOfServicePeriod1, 2, 15, 1, 1) = "", 0, OFFSET('IWP20'!UnitsOfServicePeriod1, 2, 15, 1, 1))</f>
        <v>0</v>
      </c>
      <c r="T406" s="128">
        <f ca="1">IF(OFFSET('IWP20'!UnitsOfServicePeriod1, 2, 16, 1, 1) = "", 0, OFFSET('IWP20'!UnitsOfServicePeriod1, 2, 16, 1, 1))</f>
        <v>0</v>
      </c>
      <c r="U406" s="128">
        <f ca="1">OFFSET('IWP20'!UnitsOfServicePeriod1, 2, 17, 1, 1)</f>
        <v>0</v>
      </c>
      <c r="V406" s="128">
        <f ca="1">IF(OFFSET('IWP20'!UnitsOfServicePeriod1, 2, 19, 1, 1) = "", 0, OFFSET('IWP20'!UnitsOfServicePeriod1, 2, 19, 1, 1))</f>
        <v>0</v>
      </c>
      <c r="W406" s="128">
        <f ca="1">OFFSET('IWP20'!UnitsOfServicePeriod1, 2, 20, 1, 1)</f>
        <v>0</v>
      </c>
      <c r="X406" s="128">
        <f ca="1">IF(OFFSET('IWP20'!UnitsOfServicePeriod1, 2, 21, 1, 1) = "", 0, OFFSET('IWP20'!UnitsOfServicePeriod1, 2, 21, 1, 1))</f>
        <v>0</v>
      </c>
      <c r="Y406" s="137">
        <f ca="1">OFFSET('IWP20'!UnitsOfServicePeriod1, 2, 22, 1, 1)</f>
        <v>0</v>
      </c>
    </row>
    <row r="407" spans="1:25">
      <c r="A407" s="125" t="s">
        <v>493</v>
      </c>
      <c r="B407" s="128">
        <v>1</v>
      </c>
      <c r="C407" s="128">
        <v>4</v>
      </c>
      <c r="D407" s="107">
        <f ca="1">IF(OFFSET('IWP20'!UnitsOfServicePeriod1, 3, 0, 1, 1)=DATE(1900,1,0), DATE(1900,1,1),OFFSET('IWP20'!UnitsOfServicePeriod1, 3, 0, 1, 1))</f>
        <v>1</v>
      </c>
      <c r="E407" s="107">
        <f ca="1">IF(OFFSET('IWP20'!UnitsOfServicePeriod1, 3, 1, 1, 1)=DATE(1900,1,0), DATE(1900,1,1),OFFSET('IWP20'!UnitsOfServicePeriod1, 3, 1, 1, 1))</f>
        <v>1</v>
      </c>
      <c r="F407" s="128">
        <f ca="1">OFFSET('IWP20'!UnitsOfServicePeriod1, 3, 2, 1, 1)</f>
        <v>0</v>
      </c>
      <c r="G407" s="128">
        <f ca="1">IF(OFFSET('IWP20'!UnitsOfServicePeriod1, 3, 3, 1, 1) = "", 0, OFFSET('IWP20'!UnitsOfServicePeriod1, 3, 3, 1, 1))</f>
        <v>0</v>
      </c>
      <c r="H407" s="128">
        <f ca="1">OFFSET('IWP20'!UnitsOfServicePeriod1, 3, 4, 1, 1)</f>
        <v>0</v>
      </c>
      <c r="I407" s="128">
        <f ca="1">IF(OFFSET('IWP20'!UnitsOfServicePeriod1, 3, 5, 1, 1) = "", 0, OFFSET('IWP20'!UnitsOfServicePeriod1, 3, 5, 1, 1))</f>
        <v>0</v>
      </c>
      <c r="J407" s="128">
        <f ca="1">OFFSET('IWP20'!UnitsOfServicePeriod1, 3, 6, 1, 1)</f>
        <v>0</v>
      </c>
      <c r="K407" s="128">
        <f ca="1">IF(OFFSET('IWP20'!UnitsOfServicePeriod1, 3, 7, 1, 1) = "", 0, OFFSET('IWP20'!UnitsOfServicePeriod1, 3, 7, 1, 1))</f>
        <v>0</v>
      </c>
      <c r="L407" s="128">
        <f ca="1">OFFSET('IWP20'!UnitsOfServicePeriod1, 3, 8, 1, 1)</f>
        <v>0</v>
      </c>
      <c r="M407" s="128">
        <f ca="1">IF(OFFSET('IWP20'!UnitsOfServicePeriod1, 3, 9, 1, 1) = "", 0, OFFSET('IWP20'!UnitsOfServicePeriod1, 3, 9, 1, 1))</f>
        <v>0</v>
      </c>
      <c r="N407" s="128">
        <f ca="1">OFFSET('IWP20'!UnitsOfServicePeriod1, 3, 10, 1, 1)</f>
        <v>0</v>
      </c>
      <c r="O407" s="128">
        <f ca="1">IF(OFFSET('IWP20'!UnitsOfServicePeriod1, 3, 11, 1, 1) = "", 0, OFFSET('IWP20'!UnitsOfServicePeriod1, 3, 11, 1, 1))</f>
        <v>0</v>
      </c>
      <c r="P407" s="128">
        <f ca="1">OFFSET('IWP20'!UnitsOfServicePeriod1, 3, 12, 1, 1)</f>
        <v>0</v>
      </c>
      <c r="Q407" s="128">
        <f ca="1">IF(OFFSET('IWP20'!UnitsOfServicePeriod1, 3, 13, 1, 1) = "", 0, OFFSET('IWP20'!UnitsOfServicePeriod1, 3, 13, 1, 1))</f>
        <v>0</v>
      </c>
      <c r="R407" s="128">
        <f ca="1">OFFSET('IWP20'!UnitsOfServicePeriod1, 3, 14, 1, 1)</f>
        <v>0</v>
      </c>
      <c r="S407" s="128">
        <f ca="1">IF(OFFSET('IWP20'!UnitsOfServicePeriod1, 3, 15, 1, 1) = "", 0, OFFSET('IWP20'!UnitsOfServicePeriod1, 3, 15, 1, 1))</f>
        <v>0</v>
      </c>
      <c r="T407" s="128">
        <f ca="1">IF(OFFSET('IWP20'!UnitsOfServicePeriod1, 3, 16, 1, 1) = "", 0, OFFSET('IWP20'!UnitsOfServicePeriod1, 3, 16, 1, 1))</f>
        <v>0</v>
      </c>
      <c r="U407" s="128">
        <f ca="1">OFFSET('IWP20'!UnitsOfServicePeriod1, 3, 17, 1, 1)</f>
        <v>0</v>
      </c>
      <c r="V407" s="128">
        <f ca="1">IF(OFFSET('IWP20'!UnitsOfServicePeriod1, 3, 19, 1, 1) = "", 0, OFFSET('IWP20'!UnitsOfServicePeriod1, 3, 19, 1, 1))</f>
        <v>0</v>
      </c>
      <c r="W407" s="128">
        <f ca="1">OFFSET('IWP20'!UnitsOfServicePeriod1, 3, 20, 1, 1)</f>
        <v>0</v>
      </c>
      <c r="X407" s="128">
        <f ca="1">IF(OFFSET('IWP20'!UnitsOfServicePeriod1, 3, 21, 1, 1) = "", 0, OFFSET('IWP20'!UnitsOfServicePeriod1, 3, 21, 1, 1))</f>
        <v>0</v>
      </c>
      <c r="Y407" s="137">
        <f ca="1">OFFSET('IWP20'!UnitsOfServicePeriod1, 3, 22, 1, 1)</f>
        <v>0</v>
      </c>
    </row>
    <row r="408" spans="1:25">
      <c r="A408" s="125" t="s">
        <v>493</v>
      </c>
      <c r="B408" s="128">
        <v>1</v>
      </c>
      <c r="C408" s="128">
        <v>5</v>
      </c>
      <c r="D408" s="107">
        <f ca="1">IF(OFFSET('IWP20'!UnitsOfServicePeriod1, 4, 0, 1, 1)=DATE(1900,1,0), DATE(1900,1,1),OFFSET('IWP20'!UnitsOfServicePeriod1, 4, 0, 1, 1))</f>
        <v>1</v>
      </c>
      <c r="E408" s="107">
        <f ca="1">IF(OFFSET('IWP20'!UnitsOfServicePeriod1, 4, 1, 1, 1)=DATE(1900,1,0), DATE(1900,1,1),OFFSET('IWP20'!UnitsOfServicePeriod1, 4, 1, 1, 1))</f>
        <v>1</v>
      </c>
      <c r="F408" s="128">
        <f ca="1">OFFSET('IWP20'!UnitsOfServicePeriod1, 4, 2, 1, 1)</f>
        <v>0</v>
      </c>
      <c r="G408" s="128">
        <f ca="1">IF(OFFSET('IWP20'!UnitsOfServicePeriod1, 4, 3, 1, 1) = "", 0, OFFSET('IWP20'!UnitsOfServicePeriod1, 4, 3, 1, 1))</f>
        <v>0</v>
      </c>
      <c r="H408" s="128">
        <f ca="1">OFFSET('IWP20'!UnitsOfServicePeriod1, 4, 4, 1, 1)</f>
        <v>0</v>
      </c>
      <c r="I408" s="128">
        <f ca="1">IF(OFFSET('IWP20'!UnitsOfServicePeriod1, 4, 5, 1, 1) = "", 0, OFFSET('IWP20'!UnitsOfServicePeriod1, 4, 5, 1, 1))</f>
        <v>0</v>
      </c>
      <c r="J408" s="128">
        <f ca="1">OFFSET('IWP20'!UnitsOfServicePeriod1, 4, 6, 1, 1)</f>
        <v>0</v>
      </c>
      <c r="K408" s="128">
        <f ca="1">IF(OFFSET('IWP20'!UnitsOfServicePeriod1, 4, 7, 1, 1) = "", 0, OFFSET('IWP20'!UnitsOfServicePeriod1, 4, 7, 1, 1))</f>
        <v>0</v>
      </c>
      <c r="L408" s="128">
        <f ca="1">OFFSET('IWP20'!UnitsOfServicePeriod1, 4, 8, 1, 1)</f>
        <v>0</v>
      </c>
      <c r="M408" s="128">
        <f ca="1">IF(OFFSET('IWP20'!UnitsOfServicePeriod1, 4, 9, 1, 1) = "", 0, OFFSET('IWP20'!UnitsOfServicePeriod1, 4, 9, 1, 1))</f>
        <v>0</v>
      </c>
      <c r="N408" s="128">
        <f ca="1">OFFSET('IWP20'!UnitsOfServicePeriod1, 4, 10, 1, 1)</f>
        <v>0</v>
      </c>
      <c r="O408" s="128">
        <f ca="1">IF(OFFSET('IWP20'!UnitsOfServicePeriod1, 4, 11, 1, 1) = "", 0, OFFSET('IWP20'!UnitsOfServicePeriod1, 4, 11, 1, 1))</f>
        <v>0</v>
      </c>
      <c r="P408" s="128">
        <f ca="1">OFFSET('IWP20'!UnitsOfServicePeriod1, 4, 12, 1, 1)</f>
        <v>0</v>
      </c>
      <c r="Q408" s="128">
        <f ca="1">IF(OFFSET('IWP20'!UnitsOfServicePeriod1, 4, 13, 1, 1) = "", 0, OFFSET('IWP20'!UnitsOfServicePeriod1, 4, 13, 1, 1))</f>
        <v>0</v>
      </c>
      <c r="R408" s="128">
        <f ca="1">OFFSET('IWP20'!UnitsOfServicePeriod1, 4, 14, 1, 1)</f>
        <v>0</v>
      </c>
      <c r="S408" s="128">
        <f ca="1">IF(OFFSET('IWP20'!UnitsOfServicePeriod1, 4, 15, 1, 1) = "", 0, OFFSET('IWP20'!UnitsOfServicePeriod1, 4, 15, 1, 1))</f>
        <v>0</v>
      </c>
      <c r="T408" s="128">
        <f ca="1">IF(OFFSET('IWP20'!UnitsOfServicePeriod1, 4, 16, 1, 1) = "", 0, OFFSET('IWP20'!UnitsOfServicePeriod1, 4, 16, 1, 1))</f>
        <v>0</v>
      </c>
      <c r="U408" s="128">
        <f ca="1">OFFSET('IWP20'!UnitsOfServicePeriod1, 4, 17, 1, 1)</f>
        <v>0</v>
      </c>
      <c r="V408" s="128">
        <f ca="1">IF(OFFSET('IWP20'!UnitsOfServicePeriod1, 4, 19, 1, 1) = "", 0, OFFSET('IWP20'!UnitsOfServicePeriod1, 4, 19, 1, 1))</f>
        <v>0</v>
      </c>
      <c r="W408" s="128">
        <f ca="1">OFFSET('IWP20'!UnitsOfServicePeriod1, 4, 20, 1, 1)</f>
        <v>0</v>
      </c>
      <c r="X408" s="128">
        <f ca="1">IF(OFFSET('IWP20'!UnitsOfServicePeriod1, 4, 21, 1, 1) = "", 0, OFFSET('IWP20'!UnitsOfServicePeriod1, 4, 21, 1, 1))</f>
        <v>0</v>
      </c>
      <c r="Y408" s="137">
        <f ca="1">OFFSET('IWP20'!UnitsOfServicePeriod1, 4, 22, 1, 1)</f>
        <v>0</v>
      </c>
    </row>
    <row r="409" spans="1:25">
      <c r="A409" s="125" t="s">
        <v>493</v>
      </c>
      <c r="B409" s="128">
        <v>1</v>
      </c>
      <c r="C409" s="128">
        <v>6</v>
      </c>
      <c r="D409" s="107">
        <f ca="1">IF(OFFSET('IWP20'!UnitsOfServicePeriod1, 5, 0, 1, 1)=DATE(1900,1,0), DATE(1900,1,1),OFFSET('IWP20'!UnitsOfServicePeriod1, 5, 0, 1, 1))</f>
        <v>1</v>
      </c>
      <c r="E409" s="107">
        <f ca="1">IF(OFFSET('IWP20'!UnitsOfServicePeriod1, 5, 1, 1, 1)=DATE(1900,1,0), DATE(1900,1,1),OFFSET('IWP20'!UnitsOfServicePeriod1, 5, 1, 1, 1))</f>
        <v>1</v>
      </c>
      <c r="F409" s="128">
        <f ca="1">OFFSET('IWP20'!UnitsOfServicePeriod1, 5, 2, 1, 1)</f>
        <v>0</v>
      </c>
      <c r="G409" s="128">
        <f ca="1">IF(OFFSET('IWP20'!UnitsOfServicePeriod1, 5, 3, 1, 1) = "", 0, OFFSET('IWP20'!UnitsOfServicePeriod1, 5, 3, 1, 1))</f>
        <v>0</v>
      </c>
      <c r="H409" s="128">
        <f ca="1">OFFSET('IWP20'!UnitsOfServicePeriod1, 5, 4, 1, 1)</f>
        <v>0</v>
      </c>
      <c r="I409" s="128">
        <f ca="1">IF(OFFSET('IWP20'!UnitsOfServicePeriod1, 5, 5, 1, 1) = "", 0, OFFSET('IWP20'!UnitsOfServicePeriod1, 5, 5, 1, 1))</f>
        <v>0</v>
      </c>
      <c r="J409" s="128">
        <f ca="1">OFFSET('IWP20'!UnitsOfServicePeriod1, 5, 6, 1, 1)</f>
        <v>0</v>
      </c>
      <c r="K409" s="128">
        <f ca="1">IF(OFFSET('IWP20'!UnitsOfServicePeriod1, 5, 7, 1, 1) = "", 0, OFFSET('IWP20'!UnitsOfServicePeriod1, 5, 7, 1, 1))</f>
        <v>0</v>
      </c>
      <c r="L409" s="128">
        <f ca="1">OFFSET('IWP20'!UnitsOfServicePeriod1, 5, 8, 1, 1)</f>
        <v>0</v>
      </c>
      <c r="M409" s="128">
        <f ca="1">IF(OFFSET('IWP20'!UnitsOfServicePeriod1, 5, 9, 1, 1) = "", 0, OFFSET('IWP20'!UnitsOfServicePeriod1, 5, 9, 1, 1))</f>
        <v>0</v>
      </c>
      <c r="N409" s="128">
        <f ca="1">OFFSET('IWP20'!UnitsOfServicePeriod1, 5, 10, 1, 1)</f>
        <v>0</v>
      </c>
      <c r="O409" s="128">
        <f ca="1">IF(OFFSET('IWP20'!UnitsOfServicePeriod1, 5, 11, 1, 1) = "", 0, OFFSET('IWP20'!UnitsOfServicePeriod1, 5, 11, 1, 1))</f>
        <v>0</v>
      </c>
      <c r="P409" s="128">
        <f ca="1">OFFSET('IWP20'!UnitsOfServicePeriod1, 5, 12, 1, 1)</f>
        <v>0</v>
      </c>
      <c r="Q409" s="128">
        <f ca="1">IF(OFFSET('IWP20'!UnitsOfServicePeriod1, 5, 13, 1, 1) = "", 0, OFFSET('IWP20'!UnitsOfServicePeriod1, 5, 13, 1, 1))</f>
        <v>0</v>
      </c>
      <c r="R409" s="128">
        <f ca="1">OFFSET('IWP20'!UnitsOfServicePeriod1, 5, 14, 1, 1)</f>
        <v>0</v>
      </c>
      <c r="S409" s="128">
        <f ca="1">IF(OFFSET('IWP20'!UnitsOfServicePeriod1, 5, 15, 1, 1) = "", 0, OFFSET('IWP20'!UnitsOfServicePeriod1, 5, 15, 1, 1))</f>
        <v>0</v>
      </c>
      <c r="T409" s="128">
        <f ca="1">IF(OFFSET('IWP20'!UnitsOfServicePeriod1, 5, 16, 1, 1) = "", 0, OFFSET('IWP20'!UnitsOfServicePeriod1, 5, 16, 1, 1))</f>
        <v>0</v>
      </c>
      <c r="U409" s="128">
        <f ca="1">OFFSET('IWP20'!UnitsOfServicePeriod1, 5, 17, 1, 1)</f>
        <v>0</v>
      </c>
      <c r="V409" s="128">
        <f ca="1">IF(OFFSET('IWP20'!UnitsOfServicePeriod1, 5, 19, 1, 1) = "", 0, OFFSET('IWP20'!UnitsOfServicePeriod1, 5, 19, 1, 1))</f>
        <v>0</v>
      </c>
      <c r="W409" s="128">
        <f ca="1">OFFSET('IWP20'!UnitsOfServicePeriod1, 5, 20, 1, 1)</f>
        <v>0</v>
      </c>
      <c r="X409" s="128">
        <f ca="1">IF(OFFSET('IWP20'!UnitsOfServicePeriod1, 5, 21, 1, 1) = "", 0, OFFSET('IWP20'!UnitsOfServicePeriod1, 5, 21, 1, 1))</f>
        <v>0</v>
      </c>
      <c r="Y409" s="137">
        <f ca="1">OFFSET('IWP20'!UnitsOfServicePeriod1, 5, 22, 1, 1)</f>
        <v>0</v>
      </c>
    </row>
    <row r="410" spans="1:25">
      <c r="A410" s="125" t="s">
        <v>493</v>
      </c>
      <c r="B410" s="128">
        <v>2</v>
      </c>
      <c r="C410" s="128">
        <v>1</v>
      </c>
      <c r="D410" s="107">
        <f ca="1">IF(OFFSET('IWP20'!UnitsOfServicePeriod2, 0, 0, 1, 1)=DATE(1900,1,0), DATE(1900,1,1),OFFSET('IWP20'!UnitsOfServicePeriod2, 0, 0, 1, 1))</f>
        <v>1</v>
      </c>
      <c r="E410" s="107">
        <f ca="1">IF(OFFSET('IWP20'!UnitsOfServicePeriod2, 0, 1, 1, 1)=DATE(1900,1,0), DATE(1900,1,1),OFFSET('IWP20'!UnitsOfServicePeriod2, 0, 1, 1, 1))</f>
        <v>1</v>
      </c>
      <c r="F410" s="128">
        <f ca="1">OFFSET('IWP20'!UnitsOfServicePeriod2, 0, 2, 1, 1)</f>
        <v>0</v>
      </c>
      <c r="G410" s="128">
        <f ca="1">IF(OFFSET('IWP20'!UnitsOfServicePeriod2, 0, 3, 1, 1) = "", 0, OFFSET('IWP20'!UnitsOfServicePeriod2, 0, 3, 1, 1))</f>
        <v>0</v>
      </c>
      <c r="H410" s="128">
        <f ca="1">OFFSET('IWP20'!UnitsOfServicePeriod2, 0, 4, 1, 1)</f>
        <v>0</v>
      </c>
      <c r="I410" s="128">
        <f ca="1">IF(OFFSET('IWP20'!UnitsOfServicePeriod2, 0, 5, 1, 1) = "", 0, OFFSET('IWP20'!UnitsOfServicePeriod2, 0, 5, 1, 1))</f>
        <v>0</v>
      </c>
      <c r="J410" s="128">
        <f ca="1">OFFSET('IWP20'!UnitsOfServicePeriod2, 0, 6, 1, 1)</f>
        <v>0</v>
      </c>
      <c r="K410" s="128">
        <f ca="1">IF(OFFSET('IWP20'!UnitsOfServicePeriod2, 0, 7, 1, 1) = "", 0, OFFSET('IWP20'!UnitsOfServicePeriod2, 0, 7, 1, 1))</f>
        <v>0</v>
      </c>
      <c r="L410" s="128">
        <f ca="1">OFFSET('IWP20'!UnitsOfServicePeriod2, 0, 8, 1, 1)</f>
        <v>0</v>
      </c>
      <c r="M410" s="128">
        <f ca="1">IF(OFFSET('IWP20'!UnitsOfServicePeriod2, 0, 9, 1, 1) = "", 0, OFFSET('IWP20'!UnitsOfServicePeriod2, 0, 9, 1, 1))</f>
        <v>0</v>
      </c>
      <c r="N410" s="128">
        <f ca="1">OFFSET('IWP20'!UnitsOfServicePeriod2, 0, 10, 1, 1)</f>
        <v>0</v>
      </c>
      <c r="O410" s="128">
        <f ca="1">IF(OFFSET('IWP20'!UnitsOfServicePeriod2, 0, 11, 1, 1) = "", 0, OFFSET('IWP20'!UnitsOfServicePeriod2, 0, 11, 1, 1))</f>
        <v>0</v>
      </c>
      <c r="P410" s="128">
        <f ca="1">OFFSET('IWP20'!UnitsOfServicePeriod2, 0, 12, 1, 1)</f>
        <v>0</v>
      </c>
      <c r="Q410" s="128">
        <f ca="1">IF(OFFSET('IWP20'!UnitsOfServicePeriod2, 0, 13, 1, 1) = "", 0, OFFSET('IWP20'!UnitsOfServicePeriod2, 0, 13, 1, 1))</f>
        <v>0</v>
      </c>
      <c r="R410" s="128">
        <f ca="1">OFFSET('IWP20'!UnitsOfServicePeriod2, 0, 14, 1, 1)</f>
        <v>0</v>
      </c>
      <c r="S410" s="128">
        <f ca="1">IF(OFFSET('IWP20'!UnitsOfServicePeriod2, 0, 15, 1, 1) = "", 0, OFFSET('IWP20'!UnitsOfServicePeriod2, 0, 15, 1, 1))</f>
        <v>0</v>
      </c>
      <c r="T410" s="128">
        <f ca="1">IF(OFFSET('IWP20'!UnitsOfServicePeriod2, 0, 16, 1, 1) = "", 0, OFFSET('IWP20'!UnitsOfServicePeriod2, 0, 16, 1, 1))</f>
        <v>0</v>
      </c>
      <c r="U410" s="128">
        <f ca="1">OFFSET('IWP20'!UnitsOfServicePeriod2, 0, 17, 1, 1)</f>
        <v>0</v>
      </c>
      <c r="V410" s="128">
        <f ca="1">IF(OFFSET('IWP20'!UnitsOfServicePeriod2, 0, 19, 1, 1) = "", 0, OFFSET('IWP20'!UnitsOfServicePeriod2, 0, 19, 1, 1))</f>
        <v>0</v>
      </c>
      <c r="W410" s="128">
        <f ca="1">OFFSET('IWP20'!UnitsOfServicePeriod2, 0, 20, 1, 1)</f>
        <v>0</v>
      </c>
      <c r="X410" s="128">
        <f ca="1">IF(OFFSET('IWP20'!UnitsOfServicePeriod2, 0, 21, 1, 1) = "", 0, OFFSET('IWP20'!UnitsOfServicePeriod2, 0, 21, 1, 1))</f>
        <v>0</v>
      </c>
      <c r="Y410" s="137">
        <f ca="1">OFFSET('IWP20'!UnitsOfServicePeriod2, 0, 22, 1, 1)</f>
        <v>0</v>
      </c>
    </row>
    <row r="411" spans="1:25">
      <c r="A411" s="125" t="s">
        <v>493</v>
      </c>
      <c r="B411" s="128">
        <v>2</v>
      </c>
      <c r="C411" s="128">
        <v>2</v>
      </c>
      <c r="D411" s="107">
        <f ca="1">IF(OFFSET('IWP20'!UnitsOfServicePeriod2, 1, 0, 1, 1)=DATE(1900,1,0), DATE(1900,1,1),OFFSET('IWP20'!UnitsOfServicePeriod2, 1, 0, 1, 1))</f>
        <v>1</v>
      </c>
      <c r="E411" s="107">
        <f ca="1">IF(OFFSET('IWP20'!UnitsOfServicePeriod2, 1, 1, 1, 1)=DATE(1900,1,0), DATE(1900,1,1),OFFSET('IWP20'!UnitsOfServicePeriod2, 1, 1, 1, 1))</f>
        <v>1</v>
      </c>
      <c r="F411" s="128">
        <f ca="1">OFFSET('IWP20'!UnitsOfServicePeriod2, 1, 2, 1, 1)</f>
        <v>0</v>
      </c>
      <c r="G411" s="128">
        <f ca="1">IF(OFFSET('IWP20'!UnitsOfServicePeriod2, 1, 3, 1, 1) = "", 0, OFFSET('IWP20'!UnitsOfServicePeriod2, 1, 3, 1, 1))</f>
        <v>0</v>
      </c>
      <c r="H411" s="128">
        <f ca="1">OFFSET('IWP20'!UnitsOfServicePeriod2, 1, 4, 1, 1)</f>
        <v>0</v>
      </c>
      <c r="I411" s="128">
        <f ca="1">IF(OFFSET('IWP20'!UnitsOfServicePeriod2, 1, 5, 1, 1) = "", 0, OFFSET('IWP20'!UnitsOfServicePeriod2, 1, 5, 1, 1))</f>
        <v>0</v>
      </c>
      <c r="J411" s="128">
        <f ca="1">OFFSET('IWP20'!UnitsOfServicePeriod2, 1, 6, 1, 1)</f>
        <v>0</v>
      </c>
      <c r="K411" s="128">
        <f ca="1">IF(OFFSET('IWP20'!UnitsOfServicePeriod2, 1, 7, 1, 1) = "", 0, OFFSET('IWP20'!UnitsOfServicePeriod2, 1, 7, 1, 1))</f>
        <v>0</v>
      </c>
      <c r="L411" s="128">
        <f ca="1">OFFSET('IWP20'!UnitsOfServicePeriod2, 1, 8, 1, 1)</f>
        <v>0</v>
      </c>
      <c r="M411" s="128">
        <f ca="1">IF(OFFSET('IWP20'!UnitsOfServicePeriod2, 1, 9, 1, 1) = "", 0, OFFSET('IWP20'!UnitsOfServicePeriod2, 1, 9, 1, 1))</f>
        <v>0</v>
      </c>
      <c r="N411" s="128">
        <f ca="1">OFFSET('IWP20'!UnitsOfServicePeriod2, 1, 10, 1, 1)</f>
        <v>0</v>
      </c>
      <c r="O411" s="128">
        <f ca="1">IF(OFFSET('IWP20'!UnitsOfServicePeriod2, 1, 11, 1, 1) = "", 0, OFFSET('IWP20'!UnitsOfServicePeriod2, 1, 11, 1, 1))</f>
        <v>0</v>
      </c>
      <c r="P411" s="128">
        <f ca="1">OFFSET('IWP20'!UnitsOfServicePeriod2, 1, 12, 1, 1)</f>
        <v>0</v>
      </c>
      <c r="Q411" s="128">
        <f ca="1">IF(OFFSET('IWP20'!UnitsOfServicePeriod2, 1, 13, 1, 1) = "", 0, OFFSET('IWP20'!UnitsOfServicePeriod2, 1, 13, 1, 1))</f>
        <v>0</v>
      </c>
      <c r="R411" s="128">
        <f ca="1">OFFSET('IWP20'!UnitsOfServicePeriod2, 1, 14, 1, 1)</f>
        <v>0</v>
      </c>
      <c r="S411" s="128">
        <f ca="1">IF(OFFSET('IWP20'!UnitsOfServicePeriod2, 1, 15, 1, 1) = "", 0, OFFSET('IWP20'!UnitsOfServicePeriod2, 1, 15, 1, 1))</f>
        <v>0</v>
      </c>
      <c r="T411" s="128">
        <f ca="1">IF(OFFSET('IWP20'!UnitsOfServicePeriod2, 1, 16, 1, 1) = "", 0, OFFSET('IWP20'!UnitsOfServicePeriod2, 1, 16, 1, 1))</f>
        <v>0</v>
      </c>
      <c r="U411" s="128">
        <f ca="1">OFFSET('IWP20'!UnitsOfServicePeriod2, 1, 17, 1, 1)</f>
        <v>0</v>
      </c>
      <c r="V411" s="128">
        <f ca="1">IF(OFFSET('IWP20'!UnitsOfServicePeriod2, 1, 19, 1, 1) = "", 0, OFFSET('IWP20'!UnitsOfServicePeriod2, 1, 19, 1, 1))</f>
        <v>0</v>
      </c>
      <c r="W411" s="128">
        <f ca="1">OFFSET('IWP20'!UnitsOfServicePeriod2, 1, 20, 1, 1)</f>
        <v>0</v>
      </c>
      <c r="X411" s="128">
        <f ca="1">IF(OFFSET('IWP20'!UnitsOfServicePeriod2, 1, 21, 1, 1) = "", 0, OFFSET('IWP20'!UnitsOfServicePeriod2, 1, 21, 1, 1))</f>
        <v>0</v>
      </c>
      <c r="Y411" s="137">
        <f ca="1">OFFSET('IWP20'!UnitsOfServicePeriod2, 1, 22, 1, 1)</f>
        <v>0</v>
      </c>
    </row>
    <row r="412" spans="1:25">
      <c r="A412" s="125" t="s">
        <v>493</v>
      </c>
      <c r="B412" s="128">
        <v>2</v>
      </c>
      <c r="C412" s="128">
        <v>3</v>
      </c>
      <c r="D412" s="107">
        <f ca="1">IF(OFFSET('IWP20'!UnitsOfServicePeriod2, 2, 0, 1, 1)=DATE(1900,1,0), DATE(1900,1,1),OFFSET('IWP20'!UnitsOfServicePeriod2, 2, 0, 1, 1))</f>
        <v>1</v>
      </c>
      <c r="E412" s="107">
        <f ca="1">IF(OFFSET('IWP20'!UnitsOfServicePeriod2, 2, 1, 1, 1)=DATE(1900,1,0), DATE(1900,1,1),OFFSET('IWP20'!UnitsOfServicePeriod2, 2, 1, 1, 1))</f>
        <v>1</v>
      </c>
      <c r="F412" s="128">
        <f ca="1">OFFSET('IWP20'!UnitsOfServicePeriod2, 2, 2, 1, 1)</f>
        <v>0</v>
      </c>
      <c r="G412" s="128">
        <f ca="1">IF(OFFSET('IWP20'!UnitsOfServicePeriod2, 2, 3, 1, 1) = "", 0, OFFSET('IWP20'!UnitsOfServicePeriod2, 2, 3, 1, 1))</f>
        <v>0</v>
      </c>
      <c r="H412" s="128">
        <f ca="1">OFFSET('IWP20'!UnitsOfServicePeriod2, 2, 4, 1, 1)</f>
        <v>0</v>
      </c>
      <c r="I412" s="128">
        <f ca="1">IF(OFFSET('IWP20'!UnitsOfServicePeriod2, 2, 5, 1, 1) = "", 0, OFFSET('IWP20'!UnitsOfServicePeriod2, 2, 5, 1, 1))</f>
        <v>0</v>
      </c>
      <c r="J412" s="128">
        <f ca="1">OFFSET('IWP20'!UnitsOfServicePeriod2, 2, 6, 1, 1)</f>
        <v>0</v>
      </c>
      <c r="K412" s="128">
        <f ca="1">IF(OFFSET('IWP20'!UnitsOfServicePeriod2, 2, 7, 1, 1) = "", 0, OFFSET('IWP20'!UnitsOfServicePeriod2, 2, 7, 1, 1))</f>
        <v>0</v>
      </c>
      <c r="L412" s="128">
        <f ca="1">OFFSET('IWP20'!UnitsOfServicePeriod2, 2, 8, 1, 1)</f>
        <v>0</v>
      </c>
      <c r="M412" s="128">
        <f ca="1">IF(OFFSET('IWP20'!UnitsOfServicePeriod2, 2, 9, 1, 1) = "", 0, OFFSET('IWP20'!UnitsOfServicePeriod2, 2, 9, 1, 1))</f>
        <v>0</v>
      </c>
      <c r="N412" s="128">
        <f ca="1">OFFSET('IWP20'!UnitsOfServicePeriod2, 2, 10, 1, 1)</f>
        <v>0</v>
      </c>
      <c r="O412" s="128">
        <f ca="1">IF(OFFSET('IWP20'!UnitsOfServicePeriod2, 2, 11, 1, 1) = "", 0, OFFSET('IWP20'!UnitsOfServicePeriod2, 2, 11, 1, 1))</f>
        <v>0</v>
      </c>
      <c r="P412" s="128">
        <f ca="1">OFFSET('IWP20'!UnitsOfServicePeriod2, 2, 12, 1, 1)</f>
        <v>0</v>
      </c>
      <c r="Q412" s="128">
        <f ca="1">IF(OFFSET('IWP20'!UnitsOfServicePeriod2, 2, 13, 1, 1) = "", 0, OFFSET('IWP20'!UnitsOfServicePeriod2, 2, 13, 1, 1))</f>
        <v>0</v>
      </c>
      <c r="R412" s="128">
        <f ca="1">OFFSET('IWP20'!UnitsOfServicePeriod2, 2, 14, 1, 1)</f>
        <v>0</v>
      </c>
      <c r="S412" s="128">
        <f ca="1">IF(OFFSET('IWP20'!UnitsOfServicePeriod2, 2, 15, 1, 1) = "", 0, OFFSET('IWP20'!UnitsOfServicePeriod2, 2, 15, 1, 1))</f>
        <v>0</v>
      </c>
      <c r="T412" s="128">
        <f ca="1">IF(OFFSET('IWP20'!UnitsOfServicePeriod2, 2, 16, 1, 1) = "", 0, OFFSET('IWP20'!UnitsOfServicePeriod2, 2, 16, 1, 1))</f>
        <v>0</v>
      </c>
      <c r="U412" s="128">
        <f ca="1">OFFSET('IWP20'!UnitsOfServicePeriod2, 2, 17, 1, 1)</f>
        <v>0</v>
      </c>
      <c r="V412" s="128">
        <f ca="1">IF(OFFSET('IWP20'!UnitsOfServicePeriod2, 2, 19, 1, 1) = "", 0, OFFSET('IWP20'!UnitsOfServicePeriod2, 2, 19, 1, 1))</f>
        <v>0</v>
      </c>
      <c r="W412" s="128">
        <f ca="1">OFFSET('IWP20'!UnitsOfServicePeriod2, 2, 20, 1, 1)</f>
        <v>0</v>
      </c>
      <c r="X412" s="128">
        <f ca="1">IF(OFFSET('IWP20'!UnitsOfServicePeriod2, 2, 21, 1, 1) = "", 0, OFFSET('IWP20'!UnitsOfServicePeriod2, 2, 21, 1, 1))</f>
        <v>0</v>
      </c>
      <c r="Y412" s="137">
        <f ca="1">OFFSET('IWP20'!UnitsOfServicePeriod2, 2, 22, 1, 1)</f>
        <v>0</v>
      </c>
    </row>
    <row r="413" spans="1:25">
      <c r="A413" s="125" t="s">
        <v>493</v>
      </c>
      <c r="B413" s="128">
        <v>2</v>
      </c>
      <c r="C413" s="128">
        <v>4</v>
      </c>
      <c r="D413" s="107">
        <f ca="1">IF(OFFSET('IWP20'!UnitsOfServicePeriod2, 3, 0, 1, 1)=DATE(1900,1,0), DATE(1900,1,1),OFFSET('IWP20'!UnitsOfServicePeriod2, 3, 0, 1, 1))</f>
        <v>1</v>
      </c>
      <c r="E413" s="107">
        <f ca="1">IF(OFFSET('IWP20'!UnitsOfServicePeriod2, 3, 1, 1, 1)=DATE(1900,1,0), DATE(1900,1,1),OFFSET('IWP20'!UnitsOfServicePeriod2, 3, 1, 1, 1))</f>
        <v>1</v>
      </c>
      <c r="F413" s="128">
        <f ca="1">OFFSET('IWP20'!UnitsOfServicePeriod2, 3, 2, 1, 1)</f>
        <v>0</v>
      </c>
      <c r="G413" s="128">
        <f ca="1">IF(OFFSET('IWP20'!UnitsOfServicePeriod2, 3, 3, 1, 1) = "", 0, OFFSET('IWP20'!UnitsOfServicePeriod2, 3, 3, 1, 1))</f>
        <v>0</v>
      </c>
      <c r="H413" s="128">
        <f ca="1">OFFSET('IWP20'!UnitsOfServicePeriod2, 3, 4, 1, 1)</f>
        <v>0</v>
      </c>
      <c r="I413" s="128">
        <f ca="1">IF(OFFSET('IWP20'!UnitsOfServicePeriod2, 3, 5, 1, 1) = "", 0, OFFSET('IWP20'!UnitsOfServicePeriod2, 3, 5, 1, 1))</f>
        <v>0</v>
      </c>
      <c r="J413" s="128">
        <f ca="1">OFFSET('IWP20'!UnitsOfServicePeriod2, 3, 6, 1, 1)</f>
        <v>0</v>
      </c>
      <c r="K413" s="128">
        <f ca="1">IF(OFFSET('IWP20'!UnitsOfServicePeriod2, 3, 7, 1, 1) = "", 0, OFFSET('IWP20'!UnitsOfServicePeriod2, 3, 7, 1, 1))</f>
        <v>0</v>
      </c>
      <c r="L413" s="128">
        <f ca="1">OFFSET('IWP20'!UnitsOfServicePeriod2, 3, 8, 1, 1)</f>
        <v>0</v>
      </c>
      <c r="M413" s="128">
        <f ca="1">IF(OFFSET('IWP20'!UnitsOfServicePeriod2, 3, 9, 1, 1) = "", 0, OFFSET('IWP20'!UnitsOfServicePeriod2, 3, 9, 1, 1))</f>
        <v>0</v>
      </c>
      <c r="N413" s="128">
        <f ca="1">OFFSET('IWP20'!UnitsOfServicePeriod2, 3, 10, 1, 1)</f>
        <v>0</v>
      </c>
      <c r="O413" s="128">
        <f ca="1">IF(OFFSET('IWP20'!UnitsOfServicePeriod2, 3, 11, 1, 1) = "", 0, OFFSET('IWP20'!UnitsOfServicePeriod2, 3, 11, 1, 1))</f>
        <v>0</v>
      </c>
      <c r="P413" s="128">
        <f ca="1">OFFSET('IWP20'!UnitsOfServicePeriod2, 3, 12, 1, 1)</f>
        <v>0</v>
      </c>
      <c r="Q413" s="128">
        <f ca="1">IF(OFFSET('IWP20'!UnitsOfServicePeriod2, 3, 13, 1, 1) = "", 0, OFFSET('IWP20'!UnitsOfServicePeriod2, 3, 13, 1, 1))</f>
        <v>0</v>
      </c>
      <c r="R413" s="128">
        <f ca="1">OFFSET('IWP20'!UnitsOfServicePeriod2, 3, 14, 1, 1)</f>
        <v>0</v>
      </c>
      <c r="S413" s="128">
        <f ca="1">IF(OFFSET('IWP20'!UnitsOfServicePeriod2, 3, 15, 1, 1) = "", 0, OFFSET('IWP20'!UnitsOfServicePeriod2, 3, 15, 1, 1))</f>
        <v>0</v>
      </c>
      <c r="T413" s="128">
        <f ca="1">IF(OFFSET('IWP20'!UnitsOfServicePeriod2, 3, 16, 1, 1) = "", 0, OFFSET('IWP20'!UnitsOfServicePeriod2, 3, 16, 1, 1))</f>
        <v>0</v>
      </c>
      <c r="U413" s="128">
        <f ca="1">OFFSET('IWP20'!UnitsOfServicePeriod2, 3, 17, 1, 1)</f>
        <v>0</v>
      </c>
      <c r="V413" s="128">
        <f ca="1">IF(OFFSET('IWP20'!UnitsOfServicePeriod2, 3, 19, 1, 1) = "", 0, OFFSET('IWP20'!UnitsOfServicePeriod2, 3, 19, 1, 1))</f>
        <v>0</v>
      </c>
      <c r="W413" s="128">
        <f ca="1">OFFSET('IWP20'!UnitsOfServicePeriod2, 3, 20, 1, 1)</f>
        <v>0</v>
      </c>
      <c r="X413" s="128">
        <f ca="1">IF(OFFSET('IWP20'!UnitsOfServicePeriod2, 3, 21, 1, 1) = "", 0, OFFSET('IWP20'!UnitsOfServicePeriod2, 3, 21, 1, 1))</f>
        <v>0</v>
      </c>
      <c r="Y413" s="137">
        <f ca="1">OFFSET('IWP20'!UnitsOfServicePeriod2, 3, 22, 1, 1)</f>
        <v>0</v>
      </c>
    </row>
    <row r="414" spans="1:25">
      <c r="A414" s="125" t="s">
        <v>493</v>
      </c>
      <c r="B414" s="128">
        <v>2</v>
      </c>
      <c r="C414" s="128">
        <v>5</v>
      </c>
      <c r="D414" s="107">
        <f ca="1">IF(OFFSET('IWP20'!UnitsOfServicePeriod2, 4, 0, 1, 1)=DATE(1900,1,0), DATE(1900,1,1),OFFSET('IWP20'!UnitsOfServicePeriod2, 4, 0, 1, 1))</f>
        <v>1</v>
      </c>
      <c r="E414" s="107">
        <f ca="1">IF(OFFSET('IWP20'!UnitsOfServicePeriod2, 4, 1, 1, 1)=DATE(1900,1,0), DATE(1900,1,1),OFFSET('IWP20'!UnitsOfServicePeriod2, 4, 1, 1, 1))</f>
        <v>1</v>
      </c>
      <c r="F414" s="128">
        <f ca="1">OFFSET('IWP20'!UnitsOfServicePeriod2, 4, 2, 1, 1)</f>
        <v>0</v>
      </c>
      <c r="G414" s="128">
        <f ca="1">IF(OFFSET('IWP20'!UnitsOfServicePeriod2, 4, 3, 1, 1) = "", 0, OFFSET('IWP20'!UnitsOfServicePeriod2, 4, 3, 1, 1))</f>
        <v>0</v>
      </c>
      <c r="H414" s="128">
        <f ca="1">OFFSET('IWP20'!UnitsOfServicePeriod2, 4, 4, 1, 1)</f>
        <v>0</v>
      </c>
      <c r="I414" s="128">
        <f ca="1">IF(OFFSET('IWP20'!UnitsOfServicePeriod2, 4, 5, 1, 1) = "", 0, OFFSET('IWP20'!UnitsOfServicePeriod2, 4, 5, 1, 1))</f>
        <v>0</v>
      </c>
      <c r="J414" s="128">
        <f ca="1">OFFSET('IWP20'!UnitsOfServicePeriod2, 4, 6, 1, 1)</f>
        <v>0</v>
      </c>
      <c r="K414" s="128">
        <f ca="1">IF(OFFSET('IWP20'!UnitsOfServicePeriod2, 4, 7, 1, 1) = "", 0, OFFSET('IWP20'!UnitsOfServicePeriod2, 4, 7, 1, 1))</f>
        <v>0</v>
      </c>
      <c r="L414" s="128">
        <f ca="1">OFFSET('IWP20'!UnitsOfServicePeriod2, 4, 8, 1, 1)</f>
        <v>0</v>
      </c>
      <c r="M414" s="128">
        <f ca="1">IF(OFFSET('IWP20'!UnitsOfServicePeriod2, 4, 9, 1, 1) = "", 0, OFFSET('IWP20'!UnitsOfServicePeriod2, 4, 9, 1, 1))</f>
        <v>0</v>
      </c>
      <c r="N414" s="128">
        <f ca="1">OFFSET('IWP20'!UnitsOfServicePeriod2, 4, 10, 1, 1)</f>
        <v>0</v>
      </c>
      <c r="O414" s="128">
        <f ca="1">IF(OFFSET('IWP20'!UnitsOfServicePeriod2, 4, 11, 1, 1) = "", 0, OFFSET('IWP20'!UnitsOfServicePeriod2, 4, 11, 1, 1))</f>
        <v>0</v>
      </c>
      <c r="P414" s="128">
        <f ca="1">OFFSET('IWP20'!UnitsOfServicePeriod2, 4, 12, 1, 1)</f>
        <v>0</v>
      </c>
      <c r="Q414" s="128">
        <f ca="1">IF(OFFSET('IWP20'!UnitsOfServicePeriod2, 4, 13, 1, 1) = "", 0, OFFSET('IWP20'!UnitsOfServicePeriod2, 4, 13, 1, 1))</f>
        <v>0</v>
      </c>
      <c r="R414" s="128">
        <f ca="1">OFFSET('IWP20'!UnitsOfServicePeriod2, 4, 14, 1, 1)</f>
        <v>0</v>
      </c>
      <c r="S414" s="128">
        <f ca="1">IF(OFFSET('IWP20'!UnitsOfServicePeriod2, 4, 15, 1, 1) = "", 0, OFFSET('IWP20'!UnitsOfServicePeriod2, 4, 15, 1, 1))</f>
        <v>0</v>
      </c>
      <c r="T414" s="128">
        <f ca="1">IF(OFFSET('IWP20'!UnitsOfServicePeriod2, 4, 16, 1, 1) = "", 0, OFFSET('IWP20'!UnitsOfServicePeriod2, 4, 16, 1, 1))</f>
        <v>0</v>
      </c>
      <c r="U414" s="128">
        <f ca="1">OFFSET('IWP20'!UnitsOfServicePeriod2, 4, 17, 1, 1)</f>
        <v>0</v>
      </c>
      <c r="V414" s="128">
        <f ca="1">IF(OFFSET('IWP20'!UnitsOfServicePeriod2, 4, 19, 1, 1) = "", 0, OFFSET('IWP20'!UnitsOfServicePeriod2, 4, 19, 1, 1))</f>
        <v>0</v>
      </c>
      <c r="W414" s="128">
        <f ca="1">OFFSET('IWP20'!UnitsOfServicePeriod2, 4, 20, 1, 1)</f>
        <v>0</v>
      </c>
      <c r="X414" s="128">
        <f ca="1">IF(OFFSET('IWP20'!UnitsOfServicePeriod2, 4, 21, 1, 1) = "", 0, OFFSET('IWP20'!UnitsOfServicePeriod2, 4, 21, 1, 1))</f>
        <v>0</v>
      </c>
      <c r="Y414" s="137">
        <f ca="1">OFFSET('IWP20'!UnitsOfServicePeriod2, 4, 22, 1, 1)</f>
        <v>0</v>
      </c>
    </row>
    <row r="415" spans="1:25">
      <c r="A415" s="125" t="s">
        <v>493</v>
      </c>
      <c r="B415" s="128">
        <v>2</v>
      </c>
      <c r="C415" s="128">
        <v>6</v>
      </c>
      <c r="D415" s="107">
        <f ca="1">IF(OFFSET('IWP20'!UnitsOfServicePeriod2, 5, 0, 1, 1)=DATE(1900,1,0), DATE(1900,1,1),OFFSET('IWP20'!UnitsOfServicePeriod2, 5, 0, 1, 1))</f>
        <v>1</v>
      </c>
      <c r="E415" s="107">
        <f ca="1">IF(OFFSET('IWP20'!UnitsOfServicePeriod2, 5, 1, 1, 1)=DATE(1900,1,0), DATE(1900,1,1),OFFSET('IWP20'!UnitsOfServicePeriod2, 5, 1, 1, 1))</f>
        <v>1</v>
      </c>
      <c r="F415" s="128">
        <f ca="1">OFFSET('IWP20'!UnitsOfServicePeriod2, 5, 2, 1, 1)</f>
        <v>0</v>
      </c>
      <c r="G415" s="128">
        <f ca="1">IF(OFFSET('IWP20'!UnitsOfServicePeriod2, 5, 3, 1, 1) = "", 0, OFFSET('IWP20'!UnitsOfServicePeriod2, 5, 3, 1, 1))</f>
        <v>0</v>
      </c>
      <c r="H415" s="128">
        <f ca="1">OFFSET('IWP20'!UnitsOfServicePeriod2, 5, 4, 1, 1)</f>
        <v>0</v>
      </c>
      <c r="I415" s="128">
        <f ca="1">IF(OFFSET('IWP20'!UnitsOfServicePeriod2, 5, 5, 1, 1) = "", 0, OFFSET('IWP20'!UnitsOfServicePeriod2, 5, 5, 1, 1))</f>
        <v>0</v>
      </c>
      <c r="J415" s="128">
        <f ca="1">OFFSET('IWP20'!UnitsOfServicePeriod2, 5, 6, 1, 1)</f>
        <v>0</v>
      </c>
      <c r="K415" s="128">
        <f ca="1">IF(OFFSET('IWP20'!UnitsOfServicePeriod2, 5, 7, 1, 1) = "", 0, OFFSET('IWP20'!UnitsOfServicePeriod2, 5, 7, 1, 1))</f>
        <v>0</v>
      </c>
      <c r="L415" s="128">
        <f ca="1">OFFSET('IWP20'!UnitsOfServicePeriod2, 5, 8, 1, 1)</f>
        <v>0</v>
      </c>
      <c r="M415" s="128">
        <f ca="1">IF(OFFSET('IWP20'!UnitsOfServicePeriod2, 5, 9, 1, 1) = "", 0, OFFSET('IWP20'!UnitsOfServicePeriod2, 5, 9, 1, 1))</f>
        <v>0</v>
      </c>
      <c r="N415" s="128">
        <f ca="1">OFFSET('IWP20'!UnitsOfServicePeriod2, 5, 10, 1, 1)</f>
        <v>0</v>
      </c>
      <c r="O415" s="128">
        <f ca="1">IF(OFFSET('IWP20'!UnitsOfServicePeriod2, 5, 11, 1, 1) = "", 0, OFFSET('IWP20'!UnitsOfServicePeriod2, 5, 11, 1, 1))</f>
        <v>0</v>
      </c>
      <c r="P415" s="128">
        <f ca="1">OFFSET('IWP20'!UnitsOfServicePeriod2, 5, 12, 1, 1)</f>
        <v>0</v>
      </c>
      <c r="Q415" s="128">
        <f ca="1">IF(OFFSET('IWP20'!UnitsOfServicePeriod2, 5, 13, 1, 1) = "", 0, OFFSET('IWP20'!UnitsOfServicePeriod2, 5, 13, 1, 1))</f>
        <v>0</v>
      </c>
      <c r="R415" s="128">
        <f ca="1">OFFSET('IWP20'!UnitsOfServicePeriod2, 5, 14, 1, 1)</f>
        <v>0</v>
      </c>
      <c r="S415" s="128">
        <f ca="1">IF(OFFSET('IWP20'!UnitsOfServicePeriod2, 5, 15, 1, 1) = "", 0, OFFSET('IWP20'!UnitsOfServicePeriod2, 5, 15, 1, 1))</f>
        <v>0</v>
      </c>
      <c r="T415" s="128">
        <f ca="1">IF(OFFSET('IWP20'!UnitsOfServicePeriod2, 5, 16, 1, 1) = "", 0, OFFSET('IWP20'!UnitsOfServicePeriod2, 5, 16, 1, 1))</f>
        <v>0</v>
      </c>
      <c r="U415" s="128">
        <f ca="1">OFFSET('IWP20'!UnitsOfServicePeriod2, 5, 17, 1, 1)</f>
        <v>0</v>
      </c>
      <c r="V415" s="128">
        <f ca="1">IF(OFFSET('IWP20'!UnitsOfServicePeriod2, 5, 19, 1, 1) = "", 0, OFFSET('IWP20'!UnitsOfServicePeriod2, 5, 19, 1, 1))</f>
        <v>0</v>
      </c>
      <c r="W415" s="128">
        <f ca="1">OFFSET('IWP20'!UnitsOfServicePeriod2, 5, 20, 1, 1)</f>
        <v>0</v>
      </c>
      <c r="X415" s="128">
        <f ca="1">IF(OFFSET('IWP20'!UnitsOfServicePeriod2, 5, 21, 1, 1) = "", 0, OFFSET('IWP20'!UnitsOfServicePeriod2, 5, 21, 1, 1))</f>
        <v>0</v>
      </c>
      <c r="Y415" s="137">
        <f ca="1">OFFSET('IWP20'!UnitsOfServicePeriod2, 5, 22, 1, 1)</f>
        <v>0</v>
      </c>
    </row>
    <row r="416" spans="1:25">
      <c r="A416" s="125" t="s">
        <v>494</v>
      </c>
      <c r="B416" s="128">
        <v>1</v>
      </c>
      <c r="C416" s="128">
        <v>1</v>
      </c>
      <c r="D416" s="107">
        <f ca="1">IF(OFFSET('IWP21'!UnitsOfServicePeriod1, 0, 0, 1, 1)=DATE(1900,1,0), DATE(1900,1,1),OFFSET('IWP21'!UnitsOfServicePeriod1, 0, 0, 1, 1))</f>
        <v>1</v>
      </c>
      <c r="E416" s="107">
        <f ca="1">IF(OFFSET('IWP21'!UnitsOfServicePeriod1, 0, 1, 1, 1)=DATE(1900,1,0), DATE(1900,1,1),OFFSET('IWP21'!UnitsOfServicePeriod1, 0, 1, 1, 1))</f>
        <v>1</v>
      </c>
      <c r="F416" s="128">
        <f ca="1">OFFSET('IWP21'!UnitsOfServicePeriod1, 0, 2, 1, 1)</f>
        <v>0</v>
      </c>
      <c r="G416" s="128">
        <f ca="1">IF(OFFSET('IWP21'!UnitsOfServicePeriod1, 0, 3, 1, 1) = "", 0, OFFSET('IWP21'!UnitsOfServicePeriod1, 0, 3, 1, 1))</f>
        <v>0</v>
      </c>
      <c r="H416" s="128">
        <f ca="1">OFFSET('IWP21'!UnitsOfServicePeriod1, 0, 4, 1, 1)</f>
        <v>0</v>
      </c>
      <c r="I416" s="128">
        <f ca="1">IF(OFFSET('IWP21'!UnitsOfServicePeriod1, 0, 5, 1, 1) = "", 0, OFFSET('IWP21'!UnitsOfServicePeriod1, 0, 5, 1, 1))</f>
        <v>0</v>
      </c>
      <c r="J416" s="128">
        <f ca="1">OFFSET('IWP21'!UnitsOfServicePeriod1, 0, 6, 1, 1)</f>
        <v>0</v>
      </c>
      <c r="K416" s="128">
        <f ca="1">IF(OFFSET('IWP21'!UnitsOfServicePeriod1, 0, 7, 1, 1) = "", 0, OFFSET('IWP21'!UnitsOfServicePeriod1, 0, 7, 1, 1))</f>
        <v>0</v>
      </c>
      <c r="L416" s="128">
        <f ca="1">OFFSET('IWP21'!UnitsOfServicePeriod1, 0, 8, 1, 1)</f>
        <v>0</v>
      </c>
      <c r="M416" s="128">
        <f ca="1">IF(OFFSET('IWP21'!UnitsOfServicePeriod1, 0, 9, 1, 1) = "", 0, OFFSET('IWP21'!UnitsOfServicePeriod1, 0, 9, 1, 1))</f>
        <v>0</v>
      </c>
      <c r="N416" s="128">
        <f ca="1">OFFSET('IWP21'!UnitsOfServicePeriod1, 0, 10, 1, 1)</f>
        <v>0</v>
      </c>
      <c r="O416" s="128">
        <f ca="1">IF(OFFSET('IWP21'!UnitsOfServicePeriod1, 0, 11, 1, 1) = "", 0, OFFSET('IWP21'!UnitsOfServicePeriod1, 0, 11, 1, 1))</f>
        <v>0</v>
      </c>
      <c r="P416" s="128">
        <f ca="1">OFFSET('IWP21'!UnitsOfServicePeriod1, 0, 12, 1, 1)</f>
        <v>0</v>
      </c>
      <c r="Q416" s="128">
        <f ca="1">IF(OFFSET('IWP21'!UnitsOfServicePeriod1, 0, 13, 1, 1) = "", 0, OFFSET('IWP21'!UnitsOfServicePeriod1, 0, 13, 1, 1))</f>
        <v>0</v>
      </c>
      <c r="R416" s="128">
        <f ca="1">OFFSET('IWP21'!UnitsOfServicePeriod1, 0, 14, 1, 1)</f>
        <v>0</v>
      </c>
      <c r="S416" s="128">
        <f ca="1">IF(OFFSET('IWP21'!UnitsOfServicePeriod1, 0, 15, 1, 1) = "", 0, OFFSET('IWP21'!UnitsOfServicePeriod1, 0, 15, 1, 1))</f>
        <v>0</v>
      </c>
      <c r="T416" s="128">
        <f ca="1">IF(OFFSET('IWP21'!UnitsOfServicePeriod1, 0, 16, 1, 1) = "", 0, OFFSET('IWP21'!UnitsOfServicePeriod1, 0, 16, 1, 1))</f>
        <v>0</v>
      </c>
      <c r="U416" s="128">
        <f ca="1">OFFSET('IWP21'!UnitsOfServicePeriod1, 0, 17, 1, 1)</f>
        <v>0</v>
      </c>
      <c r="V416" s="128">
        <f ca="1">IF(OFFSET('IWP21'!UnitsOfServicePeriod1, 0, 19, 1, 1) = "", 0, OFFSET('IWP21'!UnitsOfServicePeriod1, 0, 19, 1, 1))</f>
        <v>0</v>
      </c>
      <c r="W416" s="128">
        <f ca="1">OFFSET('IWP21'!UnitsOfServicePeriod1, 0, 20, 1, 1)</f>
        <v>0</v>
      </c>
      <c r="X416" s="128">
        <f ca="1">IF(OFFSET('IWP21'!UnitsOfServicePeriod1, 0, 21, 1, 1) = "", 0, OFFSET('IWP21'!UnitsOfServicePeriod1, 0, 21, 1, 1))</f>
        <v>0</v>
      </c>
      <c r="Y416" s="137">
        <f ca="1">OFFSET('IWP21'!UnitsOfServicePeriod1, 0, 22, 1, 1)</f>
        <v>0</v>
      </c>
    </row>
    <row r="417" spans="1:25">
      <c r="A417" s="125" t="s">
        <v>494</v>
      </c>
      <c r="B417" s="128">
        <v>1</v>
      </c>
      <c r="C417" s="128">
        <v>2</v>
      </c>
      <c r="D417" s="107">
        <f ca="1">IF(OFFSET('IWP21'!UnitsOfServicePeriod1, 1, 0, 1, 1)=DATE(1900,1,0), DATE(1900,1,1),OFFSET('IWP21'!UnitsOfServicePeriod1, 1, 0, 1, 1))</f>
        <v>1</v>
      </c>
      <c r="E417" s="107">
        <f ca="1">IF(OFFSET('IWP21'!UnitsOfServicePeriod1, 1, 1, 1, 1)=DATE(1900,1,0), DATE(1900,1,1),OFFSET('IWP21'!UnitsOfServicePeriod1, 1, 1, 1, 1))</f>
        <v>1</v>
      </c>
      <c r="F417" s="128">
        <f ca="1">OFFSET('IWP21'!UnitsOfServicePeriod1, 1, 2, 1, 1)</f>
        <v>0</v>
      </c>
      <c r="G417" s="128">
        <f ca="1">IF(OFFSET('IWP21'!UnitsOfServicePeriod1, 1, 3, 1, 1) = "", 0, OFFSET('IWP21'!UnitsOfServicePeriod1, 1, 3, 1, 1))</f>
        <v>0</v>
      </c>
      <c r="H417" s="128">
        <f ca="1">OFFSET('IWP21'!UnitsOfServicePeriod1, 1, 4, 1, 1)</f>
        <v>0</v>
      </c>
      <c r="I417" s="128">
        <f ca="1">IF(OFFSET('IWP21'!UnitsOfServicePeriod1, 1, 5, 1, 1) = "", 0, OFFSET('IWP21'!UnitsOfServicePeriod1, 1, 5, 1, 1))</f>
        <v>0</v>
      </c>
      <c r="J417" s="128">
        <f ca="1">OFFSET('IWP21'!UnitsOfServicePeriod1, 1, 6, 1, 1)</f>
        <v>0</v>
      </c>
      <c r="K417" s="128">
        <f ca="1">IF(OFFSET('IWP21'!UnitsOfServicePeriod1, 1, 7, 1, 1) = "", 0, OFFSET('IWP21'!UnitsOfServicePeriod1, 1, 7, 1, 1))</f>
        <v>0</v>
      </c>
      <c r="L417" s="128">
        <f ca="1">OFFSET('IWP21'!UnitsOfServicePeriod1, 1, 8, 1, 1)</f>
        <v>0</v>
      </c>
      <c r="M417" s="128">
        <f ca="1">IF(OFFSET('IWP21'!UnitsOfServicePeriod1, 1, 9, 1, 1) = "", 0, OFFSET('IWP21'!UnitsOfServicePeriod1, 1, 9, 1, 1))</f>
        <v>0</v>
      </c>
      <c r="N417" s="128">
        <f ca="1">OFFSET('IWP21'!UnitsOfServicePeriod1, 1, 10, 1, 1)</f>
        <v>0</v>
      </c>
      <c r="O417" s="128">
        <f ca="1">IF(OFFSET('IWP21'!UnitsOfServicePeriod1, 1, 11, 1, 1) = "", 0, OFFSET('IWP21'!UnitsOfServicePeriod1, 1, 11, 1, 1))</f>
        <v>0</v>
      </c>
      <c r="P417" s="128">
        <f ca="1">OFFSET('IWP21'!UnitsOfServicePeriod1, 1, 12, 1, 1)</f>
        <v>0</v>
      </c>
      <c r="Q417" s="128">
        <f ca="1">IF(OFFSET('IWP21'!UnitsOfServicePeriod1, 1, 13, 1, 1) = "", 0, OFFSET('IWP21'!UnitsOfServicePeriod1, 1, 13, 1, 1))</f>
        <v>0</v>
      </c>
      <c r="R417" s="128">
        <f ca="1">OFFSET('IWP21'!UnitsOfServicePeriod1, 1, 14, 1, 1)</f>
        <v>0</v>
      </c>
      <c r="S417" s="128">
        <f ca="1">IF(OFFSET('IWP21'!UnitsOfServicePeriod1, 1, 15, 1, 1) = "", 0, OFFSET('IWP21'!UnitsOfServicePeriod1, 1, 15, 1, 1))</f>
        <v>0</v>
      </c>
      <c r="T417" s="128">
        <f ca="1">IF(OFFSET('IWP21'!UnitsOfServicePeriod1, 1, 16, 1, 1) = "", 0, OFFSET('IWP21'!UnitsOfServicePeriod1, 1, 16, 1, 1))</f>
        <v>0</v>
      </c>
      <c r="U417" s="128">
        <f ca="1">OFFSET('IWP21'!UnitsOfServicePeriod1, 1, 17, 1, 1)</f>
        <v>0</v>
      </c>
      <c r="V417" s="128">
        <f ca="1">IF(OFFSET('IWP21'!UnitsOfServicePeriod1, 1, 19, 1, 1) = "", 0, OFFSET('IWP21'!UnitsOfServicePeriod1, 1, 19, 1, 1))</f>
        <v>0</v>
      </c>
      <c r="W417" s="128">
        <f ca="1">OFFSET('IWP21'!UnitsOfServicePeriod1, 1, 20, 1, 1)</f>
        <v>0</v>
      </c>
      <c r="X417" s="128">
        <f ca="1">IF(OFFSET('IWP21'!UnitsOfServicePeriod1, 1, 21, 1, 1) = "", 0, OFFSET('IWP21'!UnitsOfServicePeriod1, 1, 21, 1, 1))</f>
        <v>0</v>
      </c>
      <c r="Y417" s="137">
        <f ca="1">OFFSET('IWP21'!UnitsOfServicePeriod1, 1, 22, 1, 1)</f>
        <v>0</v>
      </c>
    </row>
    <row r="418" spans="1:25">
      <c r="A418" s="125" t="s">
        <v>494</v>
      </c>
      <c r="B418" s="128">
        <v>1</v>
      </c>
      <c r="C418" s="128">
        <v>3</v>
      </c>
      <c r="D418" s="107">
        <f ca="1">IF(OFFSET('IWP21'!UnitsOfServicePeriod1, 2, 0, 1, 1)=DATE(1900,1,0), DATE(1900,1,1),OFFSET('IWP21'!UnitsOfServicePeriod1, 2, 0, 1, 1))</f>
        <v>1</v>
      </c>
      <c r="E418" s="107">
        <f ca="1">IF(OFFSET('IWP21'!UnitsOfServicePeriod1, 2, 1, 1, 1)=DATE(1900,1,0), DATE(1900,1,1),OFFSET('IWP21'!UnitsOfServicePeriod1, 2, 1, 1, 1))</f>
        <v>1</v>
      </c>
      <c r="F418" s="128">
        <f ca="1">OFFSET('IWP21'!UnitsOfServicePeriod1, 2, 2, 1, 1)</f>
        <v>0</v>
      </c>
      <c r="G418" s="128">
        <f ca="1">IF(OFFSET('IWP21'!UnitsOfServicePeriod1, 2, 3, 1, 1) = "", 0, OFFSET('IWP21'!UnitsOfServicePeriod1, 2, 3, 1, 1))</f>
        <v>0</v>
      </c>
      <c r="H418" s="128">
        <f ca="1">OFFSET('IWP21'!UnitsOfServicePeriod1, 2, 4, 1, 1)</f>
        <v>0</v>
      </c>
      <c r="I418" s="128">
        <f ca="1">IF(OFFSET('IWP21'!UnitsOfServicePeriod1, 2, 5, 1, 1) = "", 0, OFFSET('IWP21'!UnitsOfServicePeriod1, 2, 5, 1, 1))</f>
        <v>0</v>
      </c>
      <c r="J418" s="128">
        <f ca="1">OFFSET('IWP21'!UnitsOfServicePeriod1, 2, 6, 1, 1)</f>
        <v>0</v>
      </c>
      <c r="K418" s="128">
        <f ca="1">IF(OFFSET('IWP21'!UnitsOfServicePeriod1, 2, 7, 1, 1) = "", 0, OFFSET('IWP21'!UnitsOfServicePeriod1, 2, 7, 1, 1))</f>
        <v>0</v>
      </c>
      <c r="L418" s="128">
        <f ca="1">OFFSET('IWP21'!UnitsOfServicePeriod1, 2, 8, 1, 1)</f>
        <v>0</v>
      </c>
      <c r="M418" s="128">
        <f ca="1">IF(OFFSET('IWP21'!UnitsOfServicePeriod1, 2, 9, 1, 1) = "", 0, OFFSET('IWP21'!UnitsOfServicePeriod1, 2, 9, 1, 1))</f>
        <v>0</v>
      </c>
      <c r="N418" s="128">
        <f ca="1">OFFSET('IWP21'!UnitsOfServicePeriod1, 2, 10, 1, 1)</f>
        <v>0</v>
      </c>
      <c r="O418" s="128">
        <f ca="1">IF(OFFSET('IWP21'!UnitsOfServicePeriod1, 2, 11, 1, 1) = "", 0, OFFSET('IWP21'!UnitsOfServicePeriod1, 2, 11, 1, 1))</f>
        <v>0</v>
      </c>
      <c r="P418" s="128">
        <f ca="1">OFFSET('IWP21'!UnitsOfServicePeriod1, 2, 12, 1, 1)</f>
        <v>0</v>
      </c>
      <c r="Q418" s="128">
        <f ca="1">IF(OFFSET('IWP21'!UnitsOfServicePeriod1, 2, 13, 1, 1) = "", 0, OFFSET('IWP21'!UnitsOfServicePeriod1, 2, 13, 1, 1))</f>
        <v>0</v>
      </c>
      <c r="R418" s="128">
        <f ca="1">OFFSET('IWP21'!UnitsOfServicePeriod1, 2, 14, 1, 1)</f>
        <v>0</v>
      </c>
      <c r="S418" s="128">
        <f ca="1">IF(OFFSET('IWP21'!UnitsOfServicePeriod1, 2, 15, 1, 1) = "", 0, OFFSET('IWP21'!UnitsOfServicePeriod1, 2, 15, 1, 1))</f>
        <v>0</v>
      </c>
      <c r="T418" s="128">
        <f ca="1">IF(OFFSET('IWP21'!UnitsOfServicePeriod1, 2, 16, 1, 1) = "", 0, OFFSET('IWP21'!UnitsOfServicePeriod1, 2, 16, 1, 1))</f>
        <v>0</v>
      </c>
      <c r="U418" s="128">
        <f ca="1">OFFSET('IWP21'!UnitsOfServicePeriod1, 2, 17, 1, 1)</f>
        <v>0</v>
      </c>
      <c r="V418" s="128">
        <f ca="1">IF(OFFSET('IWP21'!UnitsOfServicePeriod1, 2, 19, 1, 1) = "", 0, OFFSET('IWP21'!UnitsOfServicePeriod1, 2, 19, 1, 1))</f>
        <v>0</v>
      </c>
      <c r="W418" s="128">
        <f ca="1">OFFSET('IWP21'!UnitsOfServicePeriod1, 2, 20, 1, 1)</f>
        <v>0</v>
      </c>
      <c r="X418" s="128">
        <f ca="1">IF(OFFSET('IWP21'!UnitsOfServicePeriod1, 2, 21, 1, 1) = "", 0, OFFSET('IWP21'!UnitsOfServicePeriod1, 2, 21, 1, 1))</f>
        <v>0</v>
      </c>
      <c r="Y418" s="137">
        <f ca="1">OFFSET('IWP21'!UnitsOfServicePeriod1, 2, 22, 1, 1)</f>
        <v>0</v>
      </c>
    </row>
    <row r="419" spans="1:25">
      <c r="A419" s="125" t="s">
        <v>494</v>
      </c>
      <c r="B419" s="128">
        <v>1</v>
      </c>
      <c r="C419" s="128">
        <v>4</v>
      </c>
      <c r="D419" s="107">
        <f ca="1">IF(OFFSET('IWP21'!UnitsOfServicePeriod1, 3, 0, 1, 1)=DATE(1900,1,0), DATE(1900,1,1),OFFSET('IWP21'!UnitsOfServicePeriod1, 3, 0, 1, 1))</f>
        <v>1</v>
      </c>
      <c r="E419" s="107">
        <f ca="1">IF(OFFSET('IWP21'!UnitsOfServicePeriod1, 3, 1, 1, 1)=DATE(1900,1,0), DATE(1900,1,1),OFFSET('IWP21'!UnitsOfServicePeriod1, 3, 1, 1, 1))</f>
        <v>1</v>
      </c>
      <c r="F419" s="128">
        <f ca="1">OFFSET('IWP21'!UnitsOfServicePeriod1, 3, 2, 1, 1)</f>
        <v>0</v>
      </c>
      <c r="G419" s="128">
        <f ca="1">IF(OFFSET('IWP21'!UnitsOfServicePeriod1, 3, 3, 1, 1) = "", 0, OFFSET('IWP21'!UnitsOfServicePeriod1, 3, 3, 1, 1))</f>
        <v>0</v>
      </c>
      <c r="H419" s="128">
        <f ca="1">OFFSET('IWP21'!UnitsOfServicePeriod1, 3, 4, 1, 1)</f>
        <v>0</v>
      </c>
      <c r="I419" s="128">
        <f ca="1">IF(OFFSET('IWP21'!UnitsOfServicePeriod1, 3, 5, 1, 1) = "", 0, OFFSET('IWP21'!UnitsOfServicePeriod1, 3, 5, 1, 1))</f>
        <v>0</v>
      </c>
      <c r="J419" s="128">
        <f ca="1">OFFSET('IWP21'!UnitsOfServicePeriod1, 3, 6, 1, 1)</f>
        <v>0</v>
      </c>
      <c r="K419" s="128">
        <f ca="1">IF(OFFSET('IWP21'!UnitsOfServicePeriod1, 3, 7, 1, 1) = "", 0, OFFSET('IWP21'!UnitsOfServicePeriod1, 3, 7, 1, 1))</f>
        <v>0</v>
      </c>
      <c r="L419" s="128">
        <f ca="1">OFFSET('IWP21'!UnitsOfServicePeriod1, 3, 8, 1, 1)</f>
        <v>0</v>
      </c>
      <c r="M419" s="128">
        <f ca="1">IF(OFFSET('IWP21'!UnitsOfServicePeriod1, 3, 9, 1, 1) = "", 0, OFFSET('IWP21'!UnitsOfServicePeriod1, 3, 9, 1, 1))</f>
        <v>0</v>
      </c>
      <c r="N419" s="128">
        <f ca="1">OFFSET('IWP21'!UnitsOfServicePeriod1, 3, 10, 1, 1)</f>
        <v>0</v>
      </c>
      <c r="O419" s="128">
        <f ca="1">IF(OFFSET('IWP21'!UnitsOfServicePeriod1, 3, 11, 1, 1) = "", 0, OFFSET('IWP21'!UnitsOfServicePeriod1, 3, 11, 1, 1))</f>
        <v>0</v>
      </c>
      <c r="P419" s="128">
        <f ca="1">OFFSET('IWP21'!UnitsOfServicePeriod1, 3, 12, 1, 1)</f>
        <v>0</v>
      </c>
      <c r="Q419" s="128">
        <f ca="1">IF(OFFSET('IWP21'!UnitsOfServicePeriod1, 3, 13, 1, 1) = "", 0, OFFSET('IWP21'!UnitsOfServicePeriod1, 3, 13, 1, 1))</f>
        <v>0</v>
      </c>
      <c r="R419" s="128">
        <f ca="1">OFFSET('IWP21'!UnitsOfServicePeriod1, 3, 14, 1, 1)</f>
        <v>0</v>
      </c>
      <c r="S419" s="128">
        <f ca="1">IF(OFFSET('IWP21'!UnitsOfServicePeriod1, 3, 15, 1, 1) = "", 0, OFFSET('IWP21'!UnitsOfServicePeriod1, 3, 15, 1, 1))</f>
        <v>0</v>
      </c>
      <c r="T419" s="128">
        <f ca="1">IF(OFFSET('IWP21'!UnitsOfServicePeriod1, 3, 16, 1, 1) = "", 0, OFFSET('IWP21'!UnitsOfServicePeriod1, 3, 16, 1, 1))</f>
        <v>0</v>
      </c>
      <c r="U419" s="128">
        <f ca="1">OFFSET('IWP21'!UnitsOfServicePeriod1, 3, 17, 1, 1)</f>
        <v>0</v>
      </c>
      <c r="V419" s="128">
        <f ca="1">IF(OFFSET('IWP21'!UnitsOfServicePeriod1, 3, 19, 1, 1) = "", 0, OFFSET('IWP21'!UnitsOfServicePeriod1, 3, 19, 1, 1))</f>
        <v>0</v>
      </c>
      <c r="W419" s="128">
        <f ca="1">OFFSET('IWP21'!UnitsOfServicePeriod1, 3, 20, 1, 1)</f>
        <v>0</v>
      </c>
      <c r="X419" s="128">
        <f ca="1">IF(OFFSET('IWP21'!UnitsOfServicePeriod1, 3, 21, 1, 1) = "", 0, OFFSET('IWP21'!UnitsOfServicePeriod1, 3, 21, 1, 1))</f>
        <v>0</v>
      </c>
      <c r="Y419" s="137">
        <f ca="1">OFFSET('IWP21'!UnitsOfServicePeriod1, 3, 22, 1, 1)</f>
        <v>0</v>
      </c>
    </row>
    <row r="420" spans="1:25">
      <c r="A420" s="125" t="s">
        <v>494</v>
      </c>
      <c r="B420" s="128">
        <v>1</v>
      </c>
      <c r="C420" s="128">
        <v>5</v>
      </c>
      <c r="D420" s="107">
        <f ca="1">IF(OFFSET('IWP21'!UnitsOfServicePeriod1, 4, 0, 1, 1)=DATE(1900,1,0), DATE(1900,1,1),OFFSET('IWP21'!UnitsOfServicePeriod1, 4, 0, 1, 1))</f>
        <v>1</v>
      </c>
      <c r="E420" s="107">
        <f ca="1">IF(OFFSET('IWP21'!UnitsOfServicePeriod1, 4, 1, 1, 1)=DATE(1900,1,0), DATE(1900,1,1),OFFSET('IWP21'!UnitsOfServicePeriod1, 4, 1, 1, 1))</f>
        <v>1</v>
      </c>
      <c r="F420" s="128">
        <f ca="1">OFFSET('IWP21'!UnitsOfServicePeriod1, 4, 2, 1, 1)</f>
        <v>0</v>
      </c>
      <c r="G420" s="128">
        <f ca="1">IF(OFFSET('IWP21'!UnitsOfServicePeriod1, 4, 3, 1, 1) = "", 0, OFFSET('IWP21'!UnitsOfServicePeriod1, 4, 3, 1, 1))</f>
        <v>0</v>
      </c>
      <c r="H420" s="128">
        <f ca="1">OFFSET('IWP21'!UnitsOfServicePeriod1, 4, 4, 1, 1)</f>
        <v>0</v>
      </c>
      <c r="I420" s="128">
        <f ca="1">IF(OFFSET('IWP21'!UnitsOfServicePeriod1, 4, 5, 1, 1) = "", 0, OFFSET('IWP21'!UnitsOfServicePeriod1, 4, 5, 1, 1))</f>
        <v>0</v>
      </c>
      <c r="J420" s="128">
        <f ca="1">OFFSET('IWP21'!UnitsOfServicePeriod1, 4, 6, 1, 1)</f>
        <v>0</v>
      </c>
      <c r="K420" s="128">
        <f ca="1">IF(OFFSET('IWP21'!UnitsOfServicePeriod1, 4, 7, 1, 1) = "", 0, OFFSET('IWP21'!UnitsOfServicePeriod1, 4, 7, 1, 1))</f>
        <v>0</v>
      </c>
      <c r="L420" s="128">
        <f ca="1">OFFSET('IWP21'!UnitsOfServicePeriod1, 4, 8, 1, 1)</f>
        <v>0</v>
      </c>
      <c r="M420" s="128">
        <f ca="1">IF(OFFSET('IWP21'!UnitsOfServicePeriod1, 4, 9, 1, 1) = "", 0, OFFSET('IWP21'!UnitsOfServicePeriod1, 4, 9, 1, 1))</f>
        <v>0</v>
      </c>
      <c r="N420" s="128">
        <f ca="1">OFFSET('IWP21'!UnitsOfServicePeriod1, 4, 10, 1, 1)</f>
        <v>0</v>
      </c>
      <c r="O420" s="128">
        <f ca="1">IF(OFFSET('IWP21'!UnitsOfServicePeriod1, 4, 11, 1, 1) = "", 0, OFFSET('IWP21'!UnitsOfServicePeriod1, 4, 11, 1, 1))</f>
        <v>0</v>
      </c>
      <c r="P420" s="128">
        <f ca="1">OFFSET('IWP21'!UnitsOfServicePeriod1, 4, 12, 1, 1)</f>
        <v>0</v>
      </c>
      <c r="Q420" s="128">
        <f ca="1">IF(OFFSET('IWP21'!UnitsOfServicePeriod1, 4, 13, 1, 1) = "", 0, OFFSET('IWP21'!UnitsOfServicePeriod1, 4, 13, 1, 1))</f>
        <v>0</v>
      </c>
      <c r="R420" s="128">
        <f ca="1">OFFSET('IWP21'!UnitsOfServicePeriod1, 4, 14, 1, 1)</f>
        <v>0</v>
      </c>
      <c r="S420" s="128">
        <f ca="1">IF(OFFSET('IWP21'!UnitsOfServicePeriod1, 4, 15, 1, 1) = "", 0, OFFSET('IWP21'!UnitsOfServicePeriod1, 4, 15, 1, 1))</f>
        <v>0</v>
      </c>
      <c r="T420" s="128">
        <f ca="1">IF(OFFSET('IWP21'!UnitsOfServicePeriod1, 4, 16, 1, 1) = "", 0, OFFSET('IWP21'!UnitsOfServicePeriod1, 4, 16, 1, 1))</f>
        <v>0</v>
      </c>
      <c r="U420" s="128">
        <f ca="1">OFFSET('IWP21'!UnitsOfServicePeriod1, 4, 17, 1, 1)</f>
        <v>0</v>
      </c>
      <c r="V420" s="128">
        <f ca="1">IF(OFFSET('IWP21'!UnitsOfServicePeriod1, 4, 19, 1, 1) = "", 0, OFFSET('IWP21'!UnitsOfServicePeriod1, 4, 19, 1, 1))</f>
        <v>0</v>
      </c>
      <c r="W420" s="128">
        <f ca="1">OFFSET('IWP21'!UnitsOfServicePeriod1, 4, 20, 1, 1)</f>
        <v>0</v>
      </c>
      <c r="X420" s="128">
        <f ca="1">IF(OFFSET('IWP21'!UnitsOfServicePeriod1, 4, 21, 1, 1) = "", 0, OFFSET('IWP21'!UnitsOfServicePeriod1, 4, 21, 1, 1))</f>
        <v>0</v>
      </c>
      <c r="Y420" s="137">
        <f ca="1">OFFSET('IWP21'!UnitsOfServicePeriod1, 4, 22, 1, 1)</f>
        <v>0</v>
      </c>
    </row>
    <row r="421" spans="1:25">
      <c r="A421" s="125" t="s">
        <v>494</v>
      </c>
      <c r="B421" s="128">
        <v>1</v>
      </c>
      <c r="C421" s="128">
        <v>6</v>
      </c>
      <c r="D421" s="107">
        <f ca="1">IF(OFFSET('IWP21'!UnitsOfServicePeriod1, 5, 0, 1, 1)=DATE(1900,1,0), DATE(1900,1,1),OFFSET('IWP21'!UnitsOfServicePeriod1, 5, 0, 1, 1))</f>
        <v>1</v>
      </c>
      <c r="E421" s="107">
        <f ca="1">IF(OFFSET('IWP21'!UnitsOfServicePeriod1, 5, 1, 1, 1)=DATE(1900,1,0), DATE(1900,1,1),OFFSET('IWP21'!UnitsOfServicePeriod1, 5, 1, 1, 1))</f>
        <v>1</v>
      </c>
      <c r="F421" s="128">
        <f ca="1">OFFSET('IWP21'!UnitsOfServicePeriod1, 5, 2, 1, 1)</f>
        <v>0</v>
      </c>
      <c r="G421" s="128">
        <f ca="1">IF(OFFSET('IWP21'!UnitsOfServicePeriod1, 5, 3, 1, 1) = "", 0, OFFSET('IWP21'!UnitsOfServicePeriod1, 5, 3, 1, 1))</f>
        <v>0</v>
      </c>
      <c r="H421" s="128">
        <f ca="1">OFFSET('IWP21'!UnitsOfServicePeriod1, 5, 4, 1, 1)</f>
        <v>0</v>
      </c>
      <c r="I421" s="128">
        <f ca="1">IF(OFFSET('IWP21'!UnitsOfServicePeriod1, 5, 5, 1, 1) = "", 0, OFFSET('IWP21'!UnitsOfServicePeriod1, 5, 5, 1, 1))</f>
        <v>0</v>
      </c>
      <c r="J421" s="128">
        <f ca="1">OFFSET('IWP21'!UnitsOfServicePeriod1, 5, 6, 1, 1)</f>
        <v>0</v>
      </c>
      <c r="K421" s="128">
        <f ca="1">IF(OFFSET('IWP21'!UnitsOfServicePeriod1, 5, 7, 1, 1) = "", 0, OFFSET('IWP21'!UnitsOfServicePeriod1, 5, 7, 1, 1))</f>
        <v>0</v>
      </c>
      <c r="L421" s="128">
        <f ca="1">OFFSET('IWP21'!UnitsOfServicePeriod1, 5, 8, 1, 1)</f>
        <v>0</v>
      </c>
      <c r="M421" s="128">
        <f ca="1">IF(OFFSET('IWP21'!UnitsOfServicePeriod1, 5, 9, 1, 1) = "", 0, OFFSET('IWP21'!UnitsOfServicePeriod1, 5, 9, 1, 1))</f>
        <v>0</v>
      </c>
      <c r="N421" s="128">
        <f ca="1">OFFSET('IWP21'!UnitsOfServicePeriod1, 5, 10, 1, 1)</f>
        <v>0</v>
      </c>
      <c r="O421" s="128">
        <f ca="1">IF(OFFSET('IWP21'!UnitsOfServicePeriod1, 5, 11, 1, 1) = "", 0, OFFSET('IWP21'!UnitsOfServicePeriod1, 5, 11, 1, 1))</f>
        <v>0</v>
      </c>
      <c r="P421" s="128">
        <f ca="1">OFFSET('IWP21'!UnitsOfServicePeriod1, 5, 12, 1, 1)</f>
        <v>0</v>
      </c>
      <c r="Q421" s="128">
        <f ca="1">IF(OFFSET('IWP21'!UnitsOfServicePeriod1, 5, 13, 1, 1) = "", 0, OFFSET('IWP21'!UnitsOfServicePeriod1, 5, 13, 1, 1))</f>
        <v>0</v>
      </c>
      <c r="R421" s="128">
        <f ca="1">OFFSET('IWP21'!UnitsOfServicePeriod1, 5, 14, 1, 1)</f>
        <v>0</v>
      </c>
      <c r="S421" s="128">
        <f ca="1">IF(OFFSET('IWP21'!UnitsOfServicePeriod1, 5, 15, 1, 1) = "", 0, OFFSET('IWP21'!UnitsOfServicePeriod1, 5, 15, 1, 1))</f>
        <v>0</v>
      </c>
      <c r="T421" s="128">
        <f ca="1">IF(OFFSET('IWP21'!UnitsOfServicePeriod1, 5, 16, 1, 1) = "", 0, OFFSET('IWP21'!UnitsOfServicePeriod1, 5, 16, 1, 1))</f>
        <v>0</v>
      </c>
      <c r="U421" s="128">
        <f ca="1">OFFSET('IWP21'!UnitsOfServicePeriod1, 5, 17, 1, 1)</f>
        <v>0</v>
      </c>
      <c r="V421" s="128">
        <f ca="1">IF(OFFSET('IWP21'!UnitsOfServicePeriod1, 5, 19, 1, 1) = "", 0, OFFSET('IWP21'!UnitsOfServicePeriod1, 5, 19, 1, 1))</f>
        <v>0</v>
      </c>
      <c r="W421" s="128">
        <f ca="1">OFFSET('IWP21'!UnitsOfServicePeriod1, 5, 20, 1, 1)</f>
        <v>0</v>
      </c>
      <c r="X421" s="128">
        <f ca="1">IF(OFFSET('IWP21'!UnitsOfServicePeriod1, 5, 21, 1, 1) = "", 0, OFFSET('IWP21'!UnitsOfServicePeriod1, 5, 21, 1, 1))</f>
        <v>0</v>
      </c>
      <c r="Y421" s="137">
        <f ca="1">OFFSET('IWP21'!UnitsOfServicePeriod1, 5, 22, 1, 1)</f>
        <v>0</v>
      </c>
    </row>
    <row r="422" spans="1:25">
      <c r="A422" s="125" t="s">
        <v>494</v>
      </c>
      <c r="B422" s="128">
        <v>2</v>
      </c>
      <c r="C422" s="128">
        <v>1</v>
      </c>
      <c r="D422" s="107">
        <f ca="1">IF(OFFSET('IWP21'!UnitsOfServicePeriod2, 0, 0, 1, 1)=DATE(1900,1,0), DATE(1900,1,1),OFFSET('IWP21'!UnitsOfServicePeriod2, 0, 0, 1, 1))</f>
        <v>1</v>
      </c>
      <c r="E422" s="107">
        <f ca="1">IF(OFFSET('IWP21'!UnitsOfServicePeriod2, 0, 1, 1, 1)=DATE(1900,1,0), DATE(1900,1,1),OFFSET('IWP21'!UnitsOfServicePeriod2, 0, 1, 1, 1))</f>
        <v>1</v>
      </c>
      <c r="F422" s="128">
        <f ca="1">OFFSET('IWP21'!UnitsOfServicePeriod2, 0, 2, 1, 1)</f>
        <v>0</v>
      </c>
      <c r="G422" s="128">
        <f ca="1">IF(OFFSET('IWP21'!UnitsOfServicePeriod2, 0, 3, 1, 1) = "", 0, OFFSET('IWP21'!UnitsOfServicePeriod2, 0, 3, 1, 1))</f>
        <v>0</v>
      </c>
      <c r="H422" s="128">
        <f ca="1">OFFSET('IWP21'!UnitsOfServicePeriod2, 0, 4, 1, 1)</f>
        <v>0</v>
      </c>
      <c r="I422" s="128">
        <f ca="1">IF(OFFSET('IWP21'!UnitsOfServicePeriod2, 0, 5, 1, 1) = "", 0, OFFSET('IWP21'!UnitsOfServicePeriod2, 0, 5, 1, 1))</f>
        <v>0</v>
      </c>
      <c r="J422" s="128">
        <f ca="1">OFFSET('IWP21'!UnitsOfServicePeriod2, 0, 6, 1, 1)</f>
        <v>0</v>
      </c>
      <c r="K422" s="128">
        <f ca="1">IF(OFFSET('IWP21'!UnitsOfServicePeriod2, 0, 7, 1, 1) = "", 0, OFFSET('IWP21'!UnitsOfServicePeriod2, 0, 7, 1, 1))</f>
        <v>0</v>
      </c>
      <c r="L422" s="128">
        <f ca="1">OFFSET('IWP21'!UnitsOfServicePeriod2, 0, 8, 1, 1)</f>
        <v>0</v>
      </c>
      <c r="M422" s="128">
        <f ca="1">IF(OFFSET('IWP21'!UnitsOfServicePeriod2, 0, 9, 1, 1) = "", 0, OFFSET('IWP21'!UnitsOfServicePeriod2, 0, 9, 1, 1))</f>
        <v>0</v>
      </c>
      <c r="N422" s="128">
        <f ca="1">OFFSET('IWP21'!UnitsOfServicePeriod2, 0, 10, 1, 1)</f>
        <v>0</v>
      </c>
      <c r="O422" s="128">
        <f ca="1">IF(OFFSET('IWP21'!UnitsOfServicePeriod2, 0, 11, 1, 1) = "", 0, OFFSET('IWP21'!UnitsOfServicePeriod2, 0, 11, 1, 1))</f>
        <v>0</v>
      </c>
      <c r="P422" s="128">
        <f ca="1">OFFSET('IWP21'!UnitsOfServicePeriod2, 0, 12, 1, 1)</f>
        <v>0</v>
      </c>
      <c r="Q422" s="128">
        <f ca="1">IF(OFFSET('IWP21'!UnitsOfServicePeriod2, 0, 13, 1, 1) = "", 0, OFFSET('IWP21'!UnitsOfServicePeriod2, 0, 13, 1, 1))</f>
        <v>0</v>
      </c>
      <c r="R422" s="128">
        <f ca="1">OFFSET('IWP21'!UnitsOfServicePeriod2, 0, 14, 1, 1)</f>
        <v>0</v>
      </c>
      <c r="S422" s="128">
        <f ca="1">IF(OFFSET('IWP21'!UnitsOfServicePeriod2, 0, 15, 1, 1) = "", 0, OFFSET('IWP21'!UnitsOfServicePeriod2, 0, 15, 1, 1))</f>
        <v>0</v>
      </c>
      <c r="T422" s="128">
        <f ca="1">IF(OFFSET('IWP21'!UnitsOfServicePeriod2, 0, 16, 1, 1) = "", 0, OFFSET('IWP21'!UnitsOfServicePeriod2, 0, 16, 1, 1))</f>
        <v>0</v>
      </c>
      <c r="U422" s="128">
        <f ca="1">OFFSET('IWP21'!UnitsOfServicePeriod2, 0, 17, 1, 1)</f>
        <v>0</v>
      </c>
      <c r="V422" s="128">
        <f ca="1">IF(OFFSET('IWP21'!UnitsOfServicePeriod2, 0, 19, 1, 1) = "", 0, OFFSET('IWP21'!UnitsOfServicePeriod2, 0, 19, 1, 1))</f>
        <v>0</v>
      </c>
      <c r="W422" s="128">
        <f ca="1">OFFSET('IWP21'!UnitsOfServicePeriod2, 0, 20, 1, 1)</f>
        <v>0</v>
      </c>
      <c r="X422" s="128">
        <f ca="1">IF(OFFSET('IWP21'!UnitsOfServicePeriod2, 0, 21, 1, 1) = "", 0, OFFSET('IWP21'!UnitsOfServicePeriod2, 0, 21, 1, 1))</f>
        <v>0</v>
      </c>
      <c r="Y422" s="137">
        <f ca="1">OFFSET('IWP21'!UnitsOfServicePeriod2, 0, 22, 1, 1)</f>
        <v>0</v>
      </c>
    </row>
    <row r="423" spans="1:25">
      <c r="A423" s="125" t="s">
        <v>494</v>
      </c>
      <c r="B423" s="128">
        <v>2</v>
      </c>
      <c r="C423" s="128">
        <v>2</v>
      </c>
      <c r="D423" s="107">
        <f ca="1">IF(OFFSET('IWP21'!UnitsOfServicePeriod2, 1, 0, 1, 1)=DATE(1900,1,0), DATE(1900,1,1),OFFSET('IWP21'!UnitsOfServicePeriod2, 1, 0, 1, 1))</f>
        <v>1</v>
      </c>
      <c r="E423" s="107">
        <f ca="1">IF(OFFSET('IWP21'!UnitsOfServicePeriod2, 1, 1, 1, 1)=DATE(1900,1,0), DATE(1900,1,1),OFFSET('IWP21'!UnitsOfServicePeriod2, 1, 1, 1, 1))</f>
        <v>1</v>
      </c>
      <c r="F423" s="128">
        <f ca="1">OFFSET('IWP21'!UnitsOfServicePeriod2, 1, 2, 1, 1)</f>
        <v>0</v>
      </c>
      <c r="G423" s="128">
        <f ca="1">IF(OFFSET('IWP21'!UnitsOfServicePeriod2, 1, 3, 1, 1) = "", 0, OFFSET('IWP21'!UnitsOfServicePeriod2, 1, 3, 1, 1))</f>
        <v>0</v>
      </c>
      <c r="H423" s="128">
        <f ca="1">OFFSET('IWP21'!UnitsOfServicePeriod2, 1, 4, 1, 1)</f>
        <v>0</v>
      </c>
      <c r="I423" s="128">
        <f ca="1">IF(OFFSET('IWP21'!UnitsOfServicePeriod2, 1, 5, 1, 1) = "", 0, OFFSET('IWP21'!UnitsOfServicePeriod2, 1, 5, 1, 1))</f>
        <v>0</v>
      </c>
      <c r="J423" s="128">
        <f ca="1">OFFSET('IWP21'!UnitsOfServicePeriod2, 1, 6, 1, 1)</f>
        <v>0</v>
      </c>
      <c r="K423" s="128">
        <f ca="1">IF(OFFSET('IWP21'!UnitsOfServicePeriod2, 1, 7, 1, 1) = "", 0, OFFSET('IWP21'!UnitsOfServicePeriod2, 1, 7, 1, 1))</f>
        <v>0</v>
      </c>
      <c r="L423" s="128">
        <f ca="1">OFFSET('IWP21'!UnitsOfServicePeriod2, 1, 8, 1, 1)</f>
        <v>0</v>
      </c>
      <c r="M423" s="128">
        <f ca="1">IF(OFFSET('IWP21'!UnitsOfServicePeriod2, 1, 9, 1, 1) = "", 0, OFFSET('IWP21'!UnitsOfServicePeriod2, 1, 9, 1, 1))</f>
        <v>0</v>
      </c>
      <c r="N423" s="128">
        <f ca="1">OFFSET('IWP21'!UnitsOfServicePeriod2, 1, 10, 1, 1)</f>
        <v>0</v>
      </c>
      <c r="O423" s="128">
        <f ca="1">IF(OFFSET('IWP21'!UnitsOfServicePeriod2, 1, 11, 1, 1) = "", 0, OFFSET('IWP21'!UnitsOfServicePeriod2, 1, 11, 1, 1))</f>
        <v>0</v>
      </c>
      <c r="P423" s="128">
        <f ca="1">OFFSET('IWP21'!UnitsOfServicePeriod2, 1, 12, 1, 1)</f>
        <v>0</v>
      </c>
      <c r="Q423" s="128">
        <f ca="1">IF(OFFSET('IWP21'!UnitsOfServicePeriod2, 1, 13, 1, 1) = "", 0, OFFSET('IWP21'!UnitsOfServicePeriod2, 1, 13, 1, 1))</f>
        <v>0</v>
      </c>
      <c r="R423" s="128">
        <f ca="1">OFFSET('IWP21'!UnitsOfServicePeriod2, 1, 14, 1, 1)</f>
        <v>0</v>
      </c>
      <c r="S423" s="128">
        <f ca="1">IF(OFFSET('IWP21'!UnitsOfServicePeriod2, 1, 15, 1, 1) = "", 0, OFFSET('IWP21'!UnitsOfServicePeriod2, 1, 15, 1, 1))</f>
        <v>0</v>
      </c>
      <c r="T423" s="128">
        <f ca="1">IF(OFFSET('IWP21'!UnitsOfServicePeriod2, 1, 16, 1, 1) = "", 0, OFFSET('IWP21'!UnitsOfServicePeriod2, 1, 16, 1, 1))</f>
        <v>0</v>
      </c>
      <c r="U423" s="128">
        <f ca="1">OFFSET('IWP21'!UnitsOfServicePeriod2, 1, 17, 1, 1)</f>
        <v>0</v>
      </c>
      <c r="V423" s="128">
        <f ca="1">IF(OFFSET('IWP21'!UnitsOfServicePeriod2, 1, 19, 1, 1) = "", 0, OFFSET('IWP21'!UnitsOfServicePeriod2, 1, 19, 1, 1))</f>
        <v>0</v>
      </c>
      <c r="W423" s="128">
        <f ca="1">OFFSET('IWP21'!UnitsOfServicePeriod2, 1, 20, 1, 1)</f>
        <v>0</v>
      </c>
      <c r="X423" s="128">
        <f ca="1">IF(OFFSET('IWP21'!UnitsOfServicePeriod2, 1, 21, 1, 1) = "", 0, OFFSET('IWP21'!UnitsOfServicePeriod2, 1, 21, 1, 1))</f>
        <v>0</v>
      </c>
      <c r="Y423" s="137">
        <f ca="1">OFFSET('IWP21'!UnitsOfServicePeriod2, 1, 22, 1, 1)</f>
        <v>0</v>
      </c>
    </row>
    <row r="424" spans="1:25">
      <c r="A424" s="125" t="s">
        <v>494</v>
      </c>
      <c r="B424" s="128">
        <v>2</v>
      </c>
      <c r="C424" s="128">
        <v>3</v>
      </c>
      <c r="D424" s="107">
        <f ca="1">IF(OFFSET('IWP21'!UnitsOfServicePeriod2, 2, 0, 1, 1)=DATE(1900,1,0), DATE(1900,1,1),OFFSET('IWP21'!UnitsOfServicePeriod2, 2, 0, 1, 1))</f>
        <v>1</v>
      </c>
      <c r="E424" s="107">
        <f ca="1">IF(OFFSET('IWP21'!UnitsOfServicePeriod2, 2, 1, 1, 1)=DATE(1900,1,0), DATE(1900,1,1),OFFSET('IWP21'!UnitsOfServicePeriod2, 2, 1, 1, 1))</f>
        <v>1</v>
      </c>
      <c r="F424" s="128">
        <f ca="1">OFFSET('IWP21'!UnitsOfServicePeriod2, 2, 2, 1, 1)</f>
        <v>0</v>
      </c>
      <c r="G424" s="128">
        <f ca="1">IF(OFFSET('IWP21'!UnitsOfServicePeriod2, 2, 3, 1, 1) = "", 0, OFFSET('IWP21'!UnitsOfServicePeriod2, 2, 3, 1, 1))</f>
        <v>0</v>
      </c>
      <c r="H424" s="128">
        <f ca="1">OFFSET('IWP21'!UnitsOfServicePeriod2, 2, 4, 1, 1)</f>
        <v>0</v>
      </c>
      <c r="I424" s="128">
        <f ca="1">IF(OFFSET('IWP21'!UnitsOfServicePeriod2, 2, 5, 1, 1) = "", 0, OFFSET('IWP21'!UnitsOfServicePeriod2, 2, 5, 1, 1))</f>
        <v>0</v>
      </c>
      <c r="J424" s="128">
        <f ca="1">OFFSET('IWP21'!UnitsOfServicePeriod2, 2, 6, 1, 1)</f>
        <v>0</v>
      </c>
      <c r="K424" s="128">
        <f ca="1">IF(OFFSET('IWP21'!UnitsOfServicePeriod2, 2, 7, 1, 1) = "", 0, OFFSET('IWP21'!UnitsOfServicePeriod2, 2, 7, 1, 1))</f>
        <v>0</v>
      </c>
      <c r="L424" s="128">
        <f ca="1">OFFSET('IWP21'!UnitsOfServicePeriod2, 2, 8, 1, 1)</f>
        <v>0</v>
      </c>
      <c r="M424" s="128">
        <f ca="1">IF(OFFSET('IWP21'!UnitsOfServicePeriod2, 2, 9, 1, 1) = "", 0, OFFSET('IWP21'!UnitsOfServicePeriod2, 2, 9, 1, 1))</f>
        <v>0</v>
      </c>
      <c r="N424" s="128">
        <f ca="1">OFFSET('IWP21'!UnitsOfServicePeriod2, 2, 10, 1, 1)</f>
        <v>0</v>
      </c>
      <c r="O424" s="128">
        <f ca="1">IF(OFFSET('IWP21'!UnitsOfServicePeriod2, 2, 11, 1, 1) = "", 0, OFFSET('IWP21'!UnitsOfServicePeriod2, 2, 11, 1, 1))</f>
        <v>0</v>
      </c>
      <c r="P424" s="128">
        <f ca="1">OFFSET('IWP21'!UnitsOfServicePeriod2, 2, 12, 1, 1)</f>
        <v>0</v>
      </c>
      <c r="Q424" s="128">
        <f ca="1">IF(OFFSET('IWP21'!UnitsOfServicePeriod2, 2, 13, 1, 1) = "", 0, OFFSET('IWP21'!UnitsOfServicePeriod2, 2, 13, 1, 1))</f>
        <v>0</v>
      </c>
      <c r="R424" s="128">
        <f ca="1">OFFSET('IWP21'!UnitsOfServicePeriod2, 2, 14, 1, 1)</f>
        <v>0</v>
      </c>
      <c r="S424" s="128">
        <f ca="1">IF(OFFSET('IWP21'!UnitsOfServicePeriod2, 2, 15, 1, 1) = "", 0, OFFSET('IWP21'!UnitsOfServicePeriod2, 2, 15, 1, 1))</f>
        <v>0</v>
      </c>
      <c r="T424" s="128">
        <f ca="1">IF(OFFSET('IWP21'!UnitsOfServicePeriod2, 2, 16, 1, 1) = "", 0, OFFSET('IWP21'!UnitsOfServicePeriod2, 2, 16, 1, 1))</f>
        <v>0</v>
      </c>
      <c r="U424" s="128">
        <f ca="1">OFFSET('IWP21'!UnitsOfServicePeriod2, 2, 17, 1, 1)</f>
        <v>0</v>
      </c>
      <c r="V424" s="128">
        <f ca="1">IF(OFFSET('IWP21'!UnitsOfServicePeriod2, 2, 19, 1, 1) = "", 0, OFFSET('IWP21'!UnitsOfServicePeriod2, 2, 19, 1, 1))</f>
        <v>0</v>
      </c>
      <c r="W424" s="128">
        <f ca="1">OFFSET('IWP21'!UnitsOfServicePeriod2, 2, 20, 1, 1)</f>
        <v>0</v>
      </c>
      <c r="X424" s="128">
        <f ca="1">IF(OFFSET('IWP21'!UnitsOfServicePeriod2, 2, 21, 1, 1) = "", 0, OFFSET('IWP21'!UnitsOfServicePeriod2, 2, 21, 1, 1))</f>
        <v>0</v>
      </c>
      <c r="Y424" s="137">
        <f ca="1">OFFSET('IWP21'!UnitsOfServicePeriod2, 2, 22, 1, 1)</f>
        <v>0</v>
      </c>
    </row>
    <row r="425" spans="1:25">
      <c r="A425" s="125" t="s">
        <v>494</v>
      </c>
      <c r="B425" s="128">
        <v>2</v>
      </c>
      <c r="C425" s="128">
        <v>4</v>
      </c>
      <c r="D425" s="107">
        <f ca="1">IF(OFFSET('IWP21'!UnitsOfServicePeriod2, 3, 0, 1, 1)=DATE(1900,1,0), DATE(1900,1,1),OFFSET('IWP21'!UnitsOfServicePeriod2, 3, 0, 1, 1))</f>
        <v>1</v>
      </c>
      <c r="E425" s="107">
        <f ca="1">IF(OFFSET('IWP21'!UnitsOfServicePeriod2, 3, 1, 1, 1)=DATE(1900,1,0), DATE(1900,1,1),OFFSET('IWP21'!UnitsOfServicePeriod2, 3, 1, 1, 1))</f>
        <v>1</v>
      </c>
      <c r="F425" s="128">
        <f ca="1">OFFSET('IWP21'!UnitsOfServicePeriod2, 3, 2, 1, 1)</f>
        <v>0</v>
      </c>
      <c r="G425" s="128">
        <f ca="1">IF(OFFSET('IWP21'!UnitsOfServicePeriod2, 3, 3, 1, 1) = "", 0, OFFSET('IWP21'!UnitsOfServicePeriod2, 3, 3, 1, 1))</f>
        <v>0</v>
      </c>
      <c r="H425" s="128">
        <f ca="1">OFFSET('IWP21'!UnitsOfServicePeriod2, 3, 4, 1, 1)</f>
        <v>0</v>
      </c>
      <c r="I425" s="128">
        <f ca="1">IF(OFFSET('IWP21'!UnitsOfServicePeriod2, 3, 5, 1, 1) = "", 0, OFFSET('IWP21'!UnitsOfServicePeriod2, 3, 5, 1, 1))</f>
        <v>0</v>
      </c>
      <c r="J425" s="128">
        <f ca="1">OFFSET('IWP21'!UnitsOfServicePeriod2, 3, 6, 1, 1)</f>
        <v>0</v>
      </c>
      <c r="K425" s="128">
        <f ca="1">IF(OFFSET('IWP21'!UnitsOfServicePeriod2, 3, 7, 1, 1) = "", 0, OFFSET('IWP21'!UnitsOfServicePeriod2, 3, 7, 1, 1))</f>
        <v>0</v>
      </c>
      <c r="L425" s="128">
        <f ca="1">OFFSET('IWP21'!UnitsOfServicePeriod2, 3, 8, 1, 1)</f>
        <v>0</v>
      </c>
      <c r="M425" s="128">
        <f ca="1">IF(OFFSET('IWP21'!UnitsOfServicePeriod2, 3, 9, 1, 1) = "", 0, OFFSET('IWP21'!UnitsOfServicePeriod2, 3, 9, 1, 1))</f>
        <v>0</v>
      </c>
      <c r="N425" s="128">
        <f ca="1">OFFSET('IWP21'!UnitsOfServicePeriod2, 3, 10, 1, 1)</f>
        <v>0</v>
      </c>
      <c r="O425" s="128">
        <f ca="1">IF(OFFSET('IWP21'!UnitsOfServicePeriod2, 3, 11, 1, 1) = "", 0, OFFSET('IWP21'!UnitsOfServicePeriod2, 3, 11, 1, 1))</f>
        <v>0</v>
      </c>
      <c r="P425" s="128">
        <f ca="1">OFFSET('IWP21'!UnitsOfServicePeriod2, 3, 12, 1, 1)</f>
        <v>0</v>
      </c>
      <c r="Q425" s="128">
        <f ca="1">IF(OFFSET('IWP21'!UnitsOfServicePeriod2, 3, 13, 1, 1) = "", 0, OFFSET('IWP21'!UnitsOfServicePeriod2, 3, 13, 1, 1))</f>
        <v>0</v>
      </c>
      <c r="R425" s="128">
        <f ca="1">OFFSET('IWP21'!UnitsOfServicePeriod2, 3, 14, 1, 1)</f>
        <v>0</v>
      </c>
      <c r="S425" s="128">
        <f ca="1">IF(OFFSET('IWP21'!UnitsOfServicePeriod2, 3, 15, 1, 1) = "", 0, OFFSET('IWP21'!UnitsOfServicePeriod2, 3, 15, 1, 1))</f>
        <v>0</v>
      </c>
      <c r="T425" s="128">
        <f ca="1">IF(OFFSET('IWP21'!UnitsOfServicePeriod2, 3, 16, 1, 1) = "", 0, OFFSET('IWP21'!UnitsOfServicePeriod2, 3, 16, 1, 1))</f>
        <v>0</v>
      </c>
      <c r="U425" s="128">
        <f ca="1">OFFSET('IWP21'!UnitsOfServicePeriod2, 3, 17, 1, 1)</f>
        <v>0</v>
      </c>
      <c r="V425" s="128">
        <f ca="1">IF(OFFSET('IWP21'!UnitsOfServicePeriod2, 3, 19, 1, 1) = "", 0, OFFSET('IWP21'!UnitsOfServicePeriod2, 3, 19, 1, 1))</f>
        <v>0</v>
      </c>
      <c r="W425" s="128">
        <f ca="1">OFFSET('IWP21'!UnitsOfServicePeriod2, 3, 20, 1, 1)</f>
        <v>0</v>
      </c>
      <c r="X425" s="128">
        <f ca="1">IF(OFFSET('IWP21'!UnitsOfServicePeriod2, 3, 21, 1, 1) = "", 0, OFFSET('IWP21'!UnitsOfServicePeriod2, 3, 21, 1, 1))</f>
        <v>0</v>
      </c>
      <c r="Y425" s="137">
        <f ca="1">OFFSET('IWP21'!UnitsOfServicePeriod2, 3, 22, 1, 1)</f>
        <v>0</v>
      </c>
    </row>
    <row r="426" spans="1:25">
      <c r="A426" s="125" t="s">
        <v>494</v>
      </c>
      <c r="B426" s="128">
        <v>2</v>
      </c>
      <c r="C426" s="128">
        <v>5</v>
      </c>
      <c r="D426" s="107">
        <f ca="1">IF(OFFSET('IWP21'!UnitsOfServicePeriod2, 4, 0, 1, 1)=DATE(1900,1,0), DATE(1900,1,1),OFFSET('IWP21'!UnitsOfServicePeriod2, 4, 0, 1, 1))</f>
        <v>1</v>
      </c>
      <c r="E426" s="107">
        <f ca="1">IF(OFFSET('IWP21'!UnitsOfServicePeriod2, 4, 1, 1, 1)=DATE(1900,1,0), DATE(1900,1,1),OFFSET('IWP21'!UnitsOfServicePeriod2, 4, 1, 1, 1))</f>
        <v>1</v>
      </c>
      <c r="F426" s="128">
        <f ca="1">OFFSET('IWP21'!UnitsOfServicePeriod2, 4, 2, 1, 1)</f>
        <v>0</v>
      </c>
      <c r="G426" s="128">
        <f ca="1">IF(OFFSET('IWP21'!UnitsOfServicePeriod2, 4, 3, 1, 1) = "", 0, OFFSET('IWP21'!UnitsOfServicePeriod2, 4, 3, 1, 1))</f>
        <v>0</v>
      </c>
      <c r="H426" s="128">
        <f ca="1">OFFSET('IWP21'!UnitsOfServicePeriod2, 4, 4, 1, 1)</f>
        <v>0</v>
      </c>
      <c r="I426" s="128">
        <f ca="1">IF(OFFSET('IWP21'!UnitsOfServicePeriod2, 4, 5, 1, 1) = "", 0, OFFSET('IWP21'!UnitsOfServicePeriod2, 4, 5, 1, 1))</f>
        <v>0</v>
      </c>
      <c r="J426" s="128">
        <f ca="1">OFFSET('IWP21'!UnitsOfServicePeriod2, 4, 6, 1, 1)</f>
        <v>0</v>
      </c>
      <c r="K426" s="128">
        <f ca="1">IF(OFFSET('IWP21'!UnitsOfServicePeriod2, 4, 7, 1, 1) = "", 0, OFFSET('IWP21'!UnitsOfServicePeriod2, 4, 7, 1, 1))</f>
        <v>0</v>
      </c>
      <c r="L426" s="128">
        <f ca="1">OFFSET('IWP21'!UnitsOfServicePeriod2, 4, 8, 1, 1)</f>
        <v>0</v>
      </c>
      <c r="M426" s="128">
        <f ca="1">IF(OFFSET('IWP21'!UnitsOfServicePeriod2, 4, 9, 1, 1) = "", 0, OFFSET('IWP21'!UnitsOfServicePeriod2, 4, 9, 1, 1))</f>
        <v>0</v>
      </c>
      <c r="N426" s="128">
        <f ca="1">OFFSET('IWP21'!UnitsOfServicePeriod2, 4, 10, 1, 1)</f>
        <v>0</v>
      </c>
      <c r="O426" s="128">
        <f ca="1">IF(OFFSET('IWP21'!UnitsOfServicePeriod2, 4, 11, 1, 1) = "", 0, OFFSET('IWP21'!UnitsOfServicePeriod2, 4, 11, 1, 1))</f>
        <v>0</v>
      </c>
      <c r="P426" s="128">
        <f ca="1">OFFSET('IWP21'!UnitsOfServicePeriod2, 4, 12, 1, 1)</f>
        <v>0</v>
      </c>
      <c r="Q426" s="128">
        <f ca="1">IF(OFFSET('IWP21'!UnitsOfServicePeriod2, 4, 13, 1, 1) = "", 0, OFFSET('IWP21'!UnitsOfServicePeriod2, 4, 13, 1, 1))</f>
        <v>0</v>
      </c>
      <c r="R426" s="128">
        <f ca="1">OFFSET('IWP21'!UnitsOfServicePeriod2, 4, 14, 1, 1)</f>
        <v>0</v>
      </c>
      <c r="S426" s="128">
        <f ca="1">IF(OFFSET('IWP21'!UnitsOfServicePeriod2, 4, 15, 1, 1) = "", 0, OFFSET('IWP21'!UnitsOfServicePeriod2, 4, 15, 1, 1))</f>
        <v>0</v>
      </c>
      <c r="T426" s="128">
        <f ca="1">IF(OFFSET('IWP21'!UnitsOfServicePeriod2, 4, 16, 1, 1) = "", 0, OFFSET('IWP21'!UnitsOfServicePeriod2, 4, 16, 1, 1))</f>
        <v>0</v>
      </c>
      <c r="U426" s="128">
        <f ca="1">OFFSET('IWP21'!UnitsOfServicePeriod2, 4, 17, 1, 1)</f>
        <v>0</v>
      </c>
      <c r="V426" s="128">
        <f ca="1">IF(OFFSET('IWP21'!UnitsOfServicePeriod2, 4, 19, 1, 1) = "", 0, OFFSET('IWP21'!UnitsOfServicePeriod2, 4, 19, 1, 1))</f>
        <v>0</v>
      </c>
      <c r="W426" s="128">
        <f ca="1">OFFSET('IWP21'!UnitsOfServicePeriod2, 4, 20, 1, 1)</f>
        <v>0</v>
      </c>
      <c r="X426" s="128">
        <f ca="1">IF(OFFSET('IWP21'!UnitsOfServicePeriod2, 4, 21, 1, 1) = "", 0, OFFSET('IWP21'!UnitsOfServicePeriod2, 4, 21, 1, 1))</f>
        <v>0</v>
      </c>
      <c r="Y426" s="137">
        <f ca="1">OFFSET('IWP21'!UnitsOfServicePeriod2, 4, 22, 1, 1)</f>
        <v>0</v>
      </c>
    </row>
    <row r="427" spans="1:25">
      <c r="A427" s="125" t="s">
        <v>494</v>
      </c>
      <c r="B427" s="128">
        <v>2</v>
      </c>
      <c r="C427" s="128">
        <v>6</v>
      </c>
      <c r="D427" s="107">
        <f ca="1">IF(OFFSET('IWP21'!UnitsOfServicePeriod2, 5, 0, 1, 1)=DATE(1900,1,0), DATE(1900,1,1),OFFSET('IWP21'!UnitsOfServicePeriod2, 5, 0, 1, 1))</f>
        <v>1</v>
      </c>
      <c r="E427" s="107">
        <f ca="1">IF(OFFSET('IWP21'!UnitsOfServicePeriod2, 5, 1, 1, 1)=DATE(1900,1,0), DATE(1900,1,1),OFFSET('IWP21'!UnitsOfServicePeriod2, 5, 1, 1, 1))</f>
        <v>1</v>
      </c>
      <c r="F427" s="128">
        <f ca="1">OFFSET('IWP21'!UnitsOfServicePeriod2, 5, 2, 1, 1)</f>
        <v>0</v>
      </c>
      <c r="G427" s="128">
        <f ca="1">IF(OFFSET('IWP21'!UnitsOfServicePeriod2, 5, 3, 1, 1) = "", 0, OFFSET('IWP21'!UnitsOfServicePeriod2, 5, 3, 1, 1))</f>
        <v>0</v>
      </c>
      <c r="H427" s="128">
        <f ca="1">OFFSET('IWP21'!UnitsOfServicePeriod2, 5, 4, 1, 1)</f>
        <v>0</v>
      </c>
      <c r="I427" s="128">
        <f ca="1">IF(OFFSET('IWP21'!UnitsOfServicePeriod2, 5, 5, 1, 1) = "", 0, OFFSET('IWP21'!UnitsOfServicePeriod2, 5, 5, 1, 1))</f>
        <v>0</v>
      </c>
      <c r="J427" s="128">
        <f ca="1">OFFSET('IWP21'!UnitsOfServicePeriod2, 5, 6, 1, 1)</f>
        <v>0</v>
      </c>
      <c r="K427" s="128">
        <f ca="1">IF(OFFSET('IWP21'!UnitsOfServicePeriod2, 5, 7, 1, 1) = "", 0, OFFSET('IWP21'!UnitsOfServicePeriod2, 5, 7, 1, 1))</f>
        <v>0</v>
      </c>
      <c r="L427" s="128">
        <f ca="1">OFFSET('IWP21'!UnitsOfServicePeriod2, 5, 8, 1, 1)</f>
        <v>0</v>
      </c>
      <c r="M427" s="128">
        <f ca="1">IF(OFFSET('IWP21'!UnitsOfServicePeriod2, 5, 9, 1, 1) = "", 0, OFFSET('IWP21'!UnitsOfServicePeriod2, 5, 9, 1, 1))</f>
        <v>0</v>
      </c>
      <c r="N427" s="128">
        <f ca="1">OFFSET('IWP21'!UnitsOfServicePeriod2, 5, 10, 1, 1)</f>
        <v>0</v>
      </c>
      <c r="O427" s="128">
        <f ca="1">IF(OFFSET('IWP21'!UnitsOfServicePeriod2, 5, 11, 1, 1) = "", 0, OFFSET('IWP21'!UnitsOfServicePeriod2, 5, 11, 1, 1))</f>
        <v>0</v>
      </c>
      <c r="P427" s="128">
        <f ca="1">OFFSET('IWP21'!UnitsOfServicePeriod2, 5, 12, 1, 1)</f>
        <v>0</v>
      </c>
      <c r="Q427" s="128">
        <f ca="1">IF(OFFSET('IWP21'!UnitsOfServicePeriod2, 5, 13, 1, 1) = "", 0, OFFSET('IWP21'!UnitsOfServicePeriod2, 5, 13, 1, 1))</f>
        <v>0</v>
      </c>
      <c r="R427" s="128">
        <f ca="1">OFFSET('IWP21'!UnitsOfServicePeriod2, 5, 14, 1, 1)</f>
        <v>0</v>
      </c>
      <c r="S427" s="128">
        <f ca="1">IF(OFFSET('IWP21'!UnitsOfServicePeriod2, 5, 15, 1, 1) = "", 0, OFFSET('IWP21'!UnitsOfServicePeriod2, 5, 15, 1, 1))</f>
        <v>0</v>
      </c>
      <c r="T427" s="128">
        <f ca="1">IF(OFFSET('IWP21'!UnitsOfServicePeriod2, 5, 16, 1, 1) = "", 0, OFFSET('IWP21'!UnitsOfServicePeriod2, 5, 16, 1, 1))</f>
        <v>0</v>
      </c>
      <c r="U427" s="128">
        <f ca="1">OFFSET('IWP21'!UnitsOfServicePeriod2, 5, 17, 1, 1)</f>
        <v>0</v>
      </c>
      <c r="V427" s="128">
        <f ca="1">IF(OFFSET('IWP21'!UnitsOfServicePeriod2, 5, 19, 1, 1) = "", 0, OFFSET('IWP21'!UnitsOfServicePeriod2, 5, 19, 1, 1))</f>
        <v>0</v>
      </c>
      <c r="W427" s="128">
        <f ca="1">OFFSET('IWP21'!UnitsOfServicePeriod2, 5, 20, 1, 1)</f>
        <v>0</v>
      </c>
      <c r="X427" s="128">
        <f ca="1">IF(OFFSET('IWP21'!UnitsOfServicePeriod2, 5, 21, 1, 1) = "", 0, OFFSET('IWP21'!UnitsOfServicePeriod2, 5, 21, 1, 1))</f>
        <v>0</v>
      </c>
      <c r="Y427" s="137">
        <f ca="1">OFFSET('IWP21'!UnitsOfServicePeriod2, 5, 22, 1, 1)</f>
        <v>0</v>
      </c>
    </row>
    <row r="428" spans="1:25">
      <c r="A428" s="125" t="s">
        <v>495</v>
      </c>
      <c r="B428" s="128">
        <v>1</v>
      </c>
      <c r="C428" s="128">
        <v>1</v>
      </c>
      <c r="D428" s="107">
        <f ca="1">IF(OFFSET('IWP22'!UnitsOfServicePeriod1, 0, 0, 1, 1)=DATE(1900,1,0), DATE(1900,1,1),OFFSET('IWP22'!UnitsOfServicePeriod1, 0, 0, 1, 1))</f>
        <v>1</v>
      </c>
      <c r="E428" s="107">
        <f ca="1">IF(OFFSET('IWP22'!UnitsOfServicePeriod1, 0, 1, 1, 1)=DATE(1900,1,0), DATE(1900,1,1),OFFSET('IWP22'!UnitsOfServicePeriod1, 0, 1, 1, 1))</f>
        <v>1</v>
      </c>
      <c r="F428" s="128">
        <f ca="1">OFFSET('IWP22'!UnitsOfServicePeriod1, 0, 2, 1, 1)</f>
        <v>0</v>
      </c>
      <c r="G428" s="128">
        <f ca="1">IF(OFFSET('IWP22'!UnitsOfServicePeriod1, 0, 3, 1, 1) = "", 0, OFFSET('IWP22'!UnitsOfServicePeriod1, 0, 3, 1, 1))</f>
        <v>0</v>
      </c>
      <c r="H428" s="128">
        <f ca="1">OFFSET('IWP22'!UnitsOfServicePeriod1, 0, 4, 1, 1)</f>
        <v>0</v>
      </c>
      <c r="I428" s="128">
        <f ca="1">IF(OFFSET('IWP22'!UnitsOfServicePeriod1, 0, 5, 1, 1) = "", 0, OFFSET('IWP22'!UnitsOfServicePeriod1, 0, 5, 1, 1))</f>
        <v>0</v>
      </c>
      <c r="J428" s="128">
        <f ca="1">OFFSET('IWP22'!UnitsOfServicePeriod1, 0, 6, 1, 1)</f>
        <v>0</v>
      </c>
      <c r="K428" s="128">
        <f ca="1">IF(OFFSET('IWP22'!UnitsOfServicePeriod1, 0, 7, 1, 1) = "", 0, OFFSET('IWP22'!UnitsOfServicePeriod1, 0, 7, 1, 1))</f>
        <v>0</v>
      </c>
      <c r="L428" s="128">
        <f ca="1">OFFSET('IWP22'!UnitsOfServicePeriod1, 0, 8, 1, 1)</f>
        <v>0</v>
      </c>
      <c r="M428" s="128">
        <f ca="1">IF(OFFSET('IWP22'!UnitsOfServicePeriod1, 0, 9, 1, 1) = "", 0, OFFSET('IWP22'!UnitsOfServicePeriod1, 0, 9, 1, 1))</f>
        <v>0</v>
      </c>
      <c r="N428" s="128">
        <f ca="1">OFFSET('IWP22'!UnitsOfServicePeriod1, 0, 10, 1, 1)</f>
        <v>0</v>
      </c>
      <c r="O428" s="128">
        <f ca="1">IF(OFFSET('IWP22'!UnitsOfServicePeriod1, 0, 11, 1, 1) = "", 0, OFFSET('IWP22'!UnitsOfServicePeriod1, 0, 11, 1, 1))</f>
        <v>0</v>
      </c>
      <c r="P428" s="128">
        <f ca="1">OFFSET('IWP22'!UnitsOfServicePeriod1, 0, 12, 1, 1)</f>
        <v>0</v>
      </c>
      <c r="Q428" s="128">
        <f ca="1">IF(OFFSET('IWP22'!UnitsOfServicePeriod1, 0, 13, 1, 1) = "", 0, OFFSET('IWP22'!UnitsOfServicePeriod1, 0, 13, 1, 1))</f>
        <v>0</v>
      </c>
      <c r="R428" s="128">
        <f ca="1">OFFSET('IWP22'!UnitsOfServicePeriod1, 0, 14, 1, 1)</f>
        <v>0</v>
      </c>
      <c r="S428" s="128">
        <f ca="1">IF(OFFSET('IWP22'!UnitsOfServicePeriod1, 0, 15, 1, 1) = "", 0, OFFSET('IWP22'!UnitsOfServicePeriod1, 0, 15, 1, 1))</f>
        <v>0</v>
      </c>
      <c r="T428" s="128">
        <f ca="1">IF(OFFSET('IWP22'!UnitsOfServicePeriod1, 0, 16, 1, 1) = "", 0, OFFSET('IWP22'!UnitsOfServicePeriod1, 0, 16, 1, 1))</f>
        <v>0</v>
      </c>
      <c r="U428" s="128">
        <f ca="1">OFFSET('IWP22'!UnitsOfServicePeriod1, 0, 17, 1, 1)</f>
        <v>0</v>
      </c>
      <c r="V428" s="128">
        <f ca="1">IF(OFFSET('IWP22'!UnitsOfServicePeriod1, 0, 19, 1, 1) = "", 0, OFFSET('IWP22'!UnitsOfServicePeriod1, 0, 19, 1, 1))</f>
        <v>0</v>
      </c>
      <c r="W428" s="128">
        <f ca="1">OFFSET('IWP22'!UnitsOfServicePeriod1, 0, 20, 1, 1)</f>
        <v>0</v>
      </c>
      <c r="X428" s="128">
        <f ca="1">IF(OFFSET('IWP22'!UnitsOfServicePeriod1, 0, 21, 1, 1) = "", 0, OFFSET('IWP22'!UnitsOfServicePeriod1, 0, 21, 1, 1))</f>
        <v>0</v>
      </c>
      <c r="Y428" s="137">
        <f ca="1">OFFSET('IWP22'!UnitsOfServicePeriod1, 0, 22, 1, 1)</f>
        <v>0</v>
      </c>
    </row>
    <row r="429" spans="1:25">
      <c r="A429" s="125" t="s">
        <v>495</v>
      </c>
      <c r="B429" s="128">
        <v>1</v>
      </c>
      <c r="C429" s="128">
        <v>2</v>
      </c>
      <c r="D429" s="107">
        <f ca="1">IF(OFFSET('IWP22'!UnitsOfServicePeriod1, 1, 0, 1, 1)=DATE(1900,1,0), DATE(1900,1,1),OFFSET('IWP22'!UnitsOfServicePeriod1, 1, 0, 1, 1))</f>
        <v>1</v>
      </c>
      <c r="E429" s="107">
        <f ca="1">IF(OFFSET('IWP22'!UnitsOfServicePeriod1, 1, 1, 1, 1)=DATE(1900,1,0), DATE(1900,1,1),OFFSET('IWP22'!UnitsOfServicePeriod1, 1, 1, 1, 1))</f>
        <v>1</v>
      </c>
      <c r="F429" s="128">
        <f ca="1">OFFSET('IWP22'!UnitsOfServicePeriod1, 1, 2, 1, 1)</f>
        <v>0</v>
      </c>
      <c r="G429" s="128">
        <f ca="1">IF(OFFSET('IWP22'!UnitsOfServicePeriod1, 1, 3, 1, 1) = "", 0, OFFSET('IWP22'!UnitsOfServicePeriod1, 1, 3, 1, 1))</f>
        <v>0</v>
      </c>
      <c r="H429" s="128">
        <f ca="1">OFFSET('IWP22'!UnitsOfServicePeriod1, 1, 4, 1, 1)</f>
        <v>0</v>
      </c>
      <c r="I429" s="128">
        <f ca="1">IF(OFFSET('IWP22'!UnitsOfServicePeriod1, 1, 5, 1, 1) = "", 0, OFFSET('IWP22'!UnitsOfServicePeriod1, 1, 5, 1, 1))</f>
        <v>0</v>
      </c>
      <c r="J429" s="128">
        <f ca="1">OFFSET('IWP22'!UnitsOfServicePeriod1, 1, 6, 1, 1)</f>
        <v>0</v>
      </c>
      <c r="K429" s="128">
        <f ca="1">IF(OFFSET('IWP22'!UnitsOfServicePeriod1, 1, 7, 1, 1) = "", 0, OFFSET('IWP22'!UnitsOfServicePeriod1, 1, 7, 1, 1))</f>
        <v>0</v>
      </c>
      <c r="L429" s="128">
        <f ca="1">OFFSET('IWP22'!UnitsOfServicePeriod1, 1, 8, 1, 1)</f>
        <v>0</v>
      </c>
      <c r="M429" s="128">
        <f ca="1">IF(OFFSET('IWP22'!UnitsOfServicePeriod1, 1, 9, 1, 1) = "", 0, OFFSET('IWP22'!UnitsOfServicePeriod1, 1, 9, 1, 1))</f>
        <v>0</v>
      </c>
      <c r="N429" s="128">
        <f ca="1">OFFSET('IWP22'!UnitsOfServicePeriod1, 1, 10, 1, 1)</f>
        <v>0</v>
      </c>
      <c r="O429" s="128">
        <f ca="1">IF(OFFSET('IWP22'!UnitsOfServicePeriod1, 1, 11, 1, 1) = "", 0, OFFSET('IWP22'!UnitsOfServicePeriod1, 1, 11, 1, 1))</f>
        <v>0</v>
      </c>
      <c r="P429" s="128">
        <f ca="1">OFFSET('IWP22'!UnitsOfServicePeriod1, 1, 12, 1, 1)</f>
        <v>0</v>
      </c>
      <c r="Q429" s="128">
        <f ca="1">IF(OFFSET('IWP22'!UnitsOfServicePeriod1, 1, 13, 1, 1) = "", 0, OFFSET('IWP22'!UnitsOfServicePeriod1, 1, 13, 1, 1))</f>
        <v>0</v>
      </c>
      <c r="R429" s="128">
        <f ca="1">OFFSET('IWP22'!UnitsOfServicePeriod1, 1, 14, 1, 1)</f>
        <v>0</v>
      </c>
      <c r="S429" s="128">
        <f ca="1">IF(OFFSET('IWP22'!UnitsOfServicePeriod1, 1, 15, 1, 1) = "", 0, OFFSET('IWP22'!UnitsOfServicePeriod1, 1, 15, 1, 1))</f>
        <v>0</v>
      </c>
      <c r="T429" s="128">
        <f ca="1">IF(OFFSET('IWP22'!UnitsOfServicePeriod1, 1, 16, 1, 1) = "", 0, OFFSET('IWP22'!UnitsOfServicePeriod1, 1, 16, 1, 1))</f>
        <v>0</v>
      </c>
      <c r="U429" s="128">
        <f ca="1">OFFSET('IWP22'!UnitsOfServicePeriod1, 1, 17, 1, 1)</f>
        <v>0</v>
      </c>
      <c r="V429" s="128">
        <f ca="1">IF(OFFSET('IWP22'!UnitsOfServicePeriod1, 1, 19, 1, 1) = "", 0, OFFSET('IWP22'!UnitsOfServicePeriod1, 1, 19, 1, 1))</f>
        <v>0</v>
      </c>
      <c r="W429" s="128">
        <f ca="1">OFFSET('IWP22'!UnitsOfServicePeriod1, 1, 20, 1, 1)</f>
        <v>0</v>
      </c>
      <c r="X429" s="128">
        <f ca="1">IF(OFFSET('IWP22'!UnitsOfServicePeriod1, 1, 21, 1, 1) = "", 0, OFFSET('IWP22'!UnitsOfServicePeriod1, 1, 21, 1, 1))</f>
        <v>0</v>
      </c>
      <c r="Y429" s="137">
        <f ca="1">OFFSET('IWP22'!UnitsOfServicePeriod1, 1, 22, 1, 1)</f>
        <v>0</v>
      </c>
    </row>
    <row r="430" spans="1:25">
      <c r="A430" s="125" t="s">
        <v>495</v>
      </c>
      <c r="B430" s="128">
        <v>1</v>
      </c>
      <c r="C430" s="128">
        <v>3</v>
      </c>
      <c r="D430" s="107">
        <f ca="1">IF(OFFSET('IWP22'!UnitsOfServicePeriod1, 2, 0, 1, 1)=DATE(1900,1,0), DATE(1900,1,1),OFFSET('IWP22'!UnitsOfServicePeriod1, 2, 0, 1, 1))</f>
        <v>1</v>
      </c>
      <c r="E430" s="107">
        <f ca="1">IF(OFFSET('IWP22'!UnitsOfServicePeriod1, 2, 1, 1, 1)=DATE(1900,1,0), DATE(1900,1,1),OFFSET('IWP22'!UnitsOfServicePeriod1, 2, 1, 1, 1))</f>
        <v>1</v>
      </c>
      <c r="F430" s="128">
        <f ca="1">OFFSET('IWP22'!UnitsOfServicePeriod1, 2, 2, 1, 1)</f>
        <v>0</v>
      </c>
      <c r="G430" s="128">
        <f ca="1">IF(OFFSET('IWP22'!UnitsOfServicePeriod1, 2, 3, 1, 1) = "", 0, OFFSET('IWP22'!UnitsOfServicePeriod1, 2, 3, 1, 1))</f>
        <v>0</v>
      </c>
      <c r="H430" s="128">
        <f ca="1">OFFSET('IWP22'!UnitsOfServicePeriod1, 2, 4, 1, 1)</f>
        <v>0</v>
      </c>
      <c r="I430" s="128">
        <f ca="1">IF(OFFSET('IWP22'!UnitsOfServicePeriod1, 2, 5, 1, 1) = "", 0, OFFSET('IWP22'!UnitsOfServicePeriod1, 2, 5, 1, 1))</f>
        <v>0</v>
      </c>
      <c r="J430" s="128">
        <f ca="1">OFFSET('IWP22'!UnitsOfServicePeriod1, 2, 6, 1, 1)</f>
        <v>0</v>
      </c>
      <c r="K430" s="128">
        <f ca="1">IF(OFFSET('IWP22'!UnitsOfServicePeriod1, 2, 7, 1, 1) = "", 0, OFFSET('IWP22'!UnitsOfServicePeriod1, 2, 7, 1, 1))</f>
        <v>0</v>
      </c>
      <c r="L430" s="128">
        <f ca="1">OFFSET('IWP22'!UnitsOfServicePeriod1, 2, 8, 1, 1)</f>
        <v>0</v>
      </c>
      <c r="M430" s="128">
        <f ca="1">IF(OFFSET('IWP22'!UnitsOfServicePeriod1, 2, 9, 1, 1) = "", 0, OFFSET('IWP22'!UnitsOfServicePeriod1, 2, 9, 1, 1))</f>
        <v>0</v>
      </c>
      <c r="N430" s="128">
        <f ca="1">OFFSET('IWP22'!UnitsOfServicePeriod1, 2, 10, 1, 1)</f>
        <v>0</v>
      </c>
      <c r="O430" s="128">
        <f ca="1">IF(OFFSET('IWP22'!UnitsOfServicePeriod1, 2, 11, 1, 1) = "", 0, OFFSET('IWP22'!UnitsOfServicePeriod1, 2, 11, 1, 1))</f>
        <v>0</v>
      </c>
      <c r="P430" s="128">
        <f ca="1">OFFSET('IWP22'!UnitsOfServicePeriod1, 2, 12, 1, 1)</f>
        <v>0</v>
      </c>
      <c r="Q430" s="128">
        <f ca="1">IF(OFFSET('IWP22'!UnitsOfServicePeriod1, 2, 13, 1, 1) = "", 0, OFFSET('IWP22'!UnitsOfServicePeriod1, 2, 13, 1, 1))</f>
        <v>0</v>
      </c>
      <c r="R430" s="128">
        <f ca="1">OFFSET('IWP22'!UnitsOfServicePeriod1, 2, 14, 1, 1)</f>
        <v>0</v>
      </c>
      <c r="S430" s="128">
        <f ca="1">IF(OFFSET('IWP22'!UnitsOfServicePeriod1, 2, 15, 1, 1) = "", 0, OFFSET('IWP22'!UnitsOfServicePeriod1, 2, 15, 1, 1))</f>
        <v>0</v>
      </c>
      <c r="T430" s="128">
        <f ca="1">IF(OFFSET('IWP22'!UnitsOfServicePeriod1, 2, 16, 1, 1) = "", 0, OFFSET('IWP22'!UnitsOfServicePeriod1, 2, 16, 1, 1))</f>
        <v>0</v>
      </c>
      <c r="U430" s="128">
        <f ca="1">OFFSET('IWP22'!UnitsOfServicePeriod1, 2, 17, 1, 1)</f>
        <v>0</v>
      </c>
      <c r="V430" s="128">
        <f ca="1">IF(OFFSET('IWP22'!UnitsOfServicePeriod1, 2, 19, 1, 1) = "", 0, OFFSET('IWP22'!UnitsOfServicePeriod1, 2, 19, 1, 1))</f>
        <v>0</v>
      </c>
      <c r="W430" s="128">
        <f ca="1">OFFSET('IWP22'!UnitsOfServicePeriod1, 2, 20, 1, 1)</f>
        <v>0</v>
      </c>
      <c r="X430" s="128">
        <f ca="1">IF(OFFSET('IWP22'!UnitsOfServicePeriod1, 2, 21, 1, 1) = "", 0, OFFSET('IWP22'!UnitsOfServicePeriod1, 2, 21, 1, 1))</f>
        <v>0</v>
      </c>
      <c r="Y430" s="137">
        <f ca="1">OFFSET('IWP22'!UnitsOfServicePeriod1, 2, 22, 1, 1)</f>
        <v>0</v>
      </c>
    </row>
    <row r="431" spans="1:25">
      <c r="A431" s="125" t="s">
        <v>495</v>
      </c>
      <c r="B431" s="128">
        <v>1</v>
      </c>
      <c r="C431" s="128">
        <v>4</v>
      </c>
      <c r="D431" s="107">
        <f ca="1">IF(OFFSET('IWP22'!UnitsOfServicePeriod1, 3, 0, 1, 1)=DATE(1900,1,0), DATE(1900,1,1),OFFSET('IWP22'!UnitsOfServicePeriod1, 3, 0, 1, 1))</f>
        <v>1</v>
      </c>
      <c r="E431" s="107">
        <f ca="1">IF(OFFSET('IWP22'!UnitsOfServicePeriod1, 3, 1, 1, 1)=DATE(1900,1,0), DATE(1900,1,1),OFFSET('IWP22'!UnitsOfServicePeriod1, 3, 1, 1, 1))</f>
        <v>1</v>
      </c>
      <c r="F431" s="128">
        <f ca="1">OFFSET('IWP22'!UnitsOfServicePeriod1, 3, 2, 1, 1)</f>
        <v>0</v>
      </c>
      <c r="G431" s="128">
        <f ca="1">IF(OFFSET('IWP22'!UnitsOfServicePeriod1, 3, 3, 1, 1) = "", 0, OFFSET('IWP22'!UnitsOfServicePeriod1, 3, 3, 1, 1))</f>
        <v>0</v>
      </c>
      <c r="H431" s="128">
        <f ca="1">OFFSET('IWP22'!UnitsOfServicePeriod1, 3, 4, 1, 1)</f>
        <v>0</v>
      </c>
      <c r="I431" s="128">
        <f ca="1">IF(OFFSET('IWP22'!UnitsOfServicePeriod1, 3, 5, 1, 1) = "", 0, OFFSET('IWP22'!UnitsOfServicePeriod1, 3, 5, 1, 1))</f>
        <v>0</v>
      </c>
      <c r="J431" s="128">
        <f ca="1">OFFSET('IWP22'!UnitsOfServicePeriod1, 3, 6, 1, 1)</f>
        <v>0</v>
      </c>
      <c r="K431" s="128">
        <f ca="1">IF(OFFSET('IWP22'!UnitsOfServicePeriod1, 3, 7, 1, 1) = "", 0, OFFSET('IWP22'!UnitsOfServicePeriod1, 3, 7, 1, 1))</f>
        <v>0</v>
      </c>
      <c r="L431" s="128">
        <f ca="1">OFFSET('IWP22'!UnitsOfServicePeriod1, 3, 8, 1, 1)</f>
        <v>0</v>
      </c>
      <c r="M431" s="128">
        <f ca="1">IF(OFFSET('IWP22'!UnitsOfServicePeriod1, 3, 9, 1, 1) = "", 0, OFFSET('IWP22'!UnitsOfServicePeriod1, 3, 9, 1, 1))</f>
        <v>0</v>
      </c>
      <c r="N431" s="128">
        <f ca="1">OFFSET('IWP22'!UnitsOfServicePeriod1, 3, 10, 1, 1)</f>
        <v>0</v>
      </c>
      <c r="O431" s="128">
        <f ca="1">IF(OFFSET('IWP22'!UnitsOfServicePeriod1, 3, 11, 1, 1) = "", 0, OFFSET('IWP22'!UnitsOfServicePeriod1, 3, 11, 1, 1))</f>
        <v>0</v>
      </c>
      <c r="P431" s="128">
        <f ca="1">OFFSET('IWP22'!UnitsOfServicePeriod1, 3, 12, 1, 1)</f>
        <v>0</v>
      </c>
      <c r="Q431" s="128">
        <f ca="1">IF(OFFSET('IWP22'!UnitsOfServicePeriod1, 3, 13, 1, 1) = "", 0, OFFSET('IWP22'!UnitsOfServicePeriod1, 3, 13, 1, 1))</f>
        <v>0</v>
      </c>
      <c r="R431" s="128">
        <f ca="1">OFFSET('IWP22'!UnitsOfServicePeriod1, 3, 14, 1, 1)</f>
        <v>0</v>
      </c>
      <c r="S431" s="128">
        <f ca="1">IF(OFFSET('IWP22'!UnitsOfServicePeriod1, 3, 15, 1, 1) = "", 0, OFFSET('IWP22'!UnitsOfServicePeriod1, 3, 15, 1, 1))</f>
        <v>0</v>
      </c>
      <c r="T431" s="128">
        <f ca="1">IF(OFFSET('IWP22'!UnitsOfServicePeriod1, 3, 16, 1, 1) = "", 0, OFFSET('IWP22'!UnitsOfServicePeriod1, 3, 16, 1, 1))</f>
        <v>0</v>
      </c>
      <c r="U431" s="128">
        <f ca="1">OFFSET('IWP22'!UnitsOfServicePeriod1, 3, 17, 1, 1)</f>
        <v>0</v>
      </c>
      <c r="V431" s="128">
        <f ca="1">IF(OFFSET('IWP22'!UnitsOfServicePeriod1, 3, 19, 1, 1) = "", 0, OFFSET('IWP22'!UnitsOfServicePeriod1, 3, 19, 1, 1))</f>
        <v>0</v>
      </c>
      <c r="W431" s="128">
        <f ca="1">OFFSET('IWP22'!UnitsOfServicePeriod1, 3, 20, 1, 1)</f>
        <v>0</v>
      </c>
      <c r="X431" s="128">
        <f ca="1">IF(OFFSET('IWP22'!UnitsOfServicePeriod1, 3, 21, 1, 1) = "", 0, OFFSET('IWP22'!UnitsOfServicePeriod1, 3, 21, 1, 1))</f>
        <v>0</v>
      </c>
      <c r="Y431" s="137">
        <f ca="1">OFFSET('IWP22'!UnitsOfServicePeriod1, 3, 22, 1, 1)</f>
        <v>0</v>
      </c>
    </row>
    <row r="432" spans="1:25">
      <c r="A432" s="125" t="s">
        <v>495</v>
      </c>
      <c r="B432" s="128">
        <v>1</v>
      </c>
      <c r="C432" s="128">
        <v>5</v>
      </c>
      <c r="D432" s="107">
        <f ca="1">IF(OFFSET('IWP22'!UnitsOfServicePeriod1, 4, 0, 1, 1)=DATE(1900,1,0), DATE(1900,1,1),OFFSET('IWP22'!UnitsOfServicePeriod1, 4, 0, 1, 1))</f>
        <v>1</v>
      </c>
      <c r="E432" s="107">
        <f ca="1">IF(OFFSET('IWP22'!UnitsOfServicePeriod1, 4, 1, 1, 1)=DATE(1900,1,0), DATE(1900,1,1),OFFSET('IWP22'!UnitsOfServicePeriod1, 4, 1, 1, 1))</f>
        <v>1</v>
      </c>
      <c r="F432" s="128">
        <f ca="1">OFFSET('IWP22'!UnitsOfServicePeriod1, 4, 2, 1, 1)</f>
        <v>0</v>
      </c>
      <c r="G432" s="128">
        <f ca="1">IF(OFFSET('IWP22'!UnitsOfServicePeriod1, 4, 3, 1, 1) = "", 0, OFFSET('IWP22'!UnitsOfServicePeriod1, 4, 3, 1, 1))</f>
        <v>0</v>
      </c>
      <c r="H432" s="128">
        <f ca="1">OFFSET('IWP22'!UnitsOfServicePeriod1, 4, 4, 1, 1)</f>
        <v>0</v>
      </c>
      <c r="I432" s="128">
        <f ca="1">IF(OFFSET('IWP22'!UnitsOfServicePeriod1, 4, 5, 1, 1) = "", 0, OFFSET('IWP22'!UnitsOfServicePeriod1, 4, 5, 1, 1))</f>
        <v>0</v>
      </c>
      <c r="J432" s="128">
        <f ca="1">OFFSET('IWP22'!UnitsOfServicePeriod1, 4, 6, 1, 1)</f>
        <v>0</v>
      </c>
      <c r="K432" s="128">
        <f ca="1">IF(OFFSET('IWP22'!UnitsOfServicePeriod1, 4, 7, 1, 1) = "", 0, OFFSET('IWP22'!UnitsOfServicePeriod1, 4, 7, 1, 1))</f>
        <v>0</v>
      </c>
      <c r="L432" s="128">
        <f ca="1">OFFSET('IWP22'!UnitsOfServicePeriod1, 4, 8, 1, 1)</f>
        <v>0</v>
      </c>
      <c r="M432" s="128">
        <f ca="1">IF(OFFSET('IWP22'!UnitsOfServicePeriod1, 4, 9, 1, 1) = "", 0, OFFSET('IWP22'!UnitsOfServicePeriod1, 4, 9, 1, 1))</f>
        <v>0</v>
      </c>
      <c r="N432" s="128">
        <f ca="1">OFFSET('IWP22'!UnitsOfServicePeriod1, 4, 10, 1, 1)</f>
        <v>0</v>
      </c>
      <c r="O432" s="128">
        <f ca="1">IF(OFFSET('IWP22'!UnitsOfServicePeriod1, 4, 11, 1, 1) = "", 0, OFFSET('IWP22'!UnitsOfServicePeriod1, 4, 11, 1, 1))</f>
        <v>0</v>
      </c>
      <c r="P432" s="128">
        <f ca="1">OFFSET('IWP22'!UnitsOfServicePeriod1, 4, 12, 1, 1)</f>
        <v>0</v>
      </c>
      <c r="Q432" s="128">
        <f ca="1">IF(OFFSET('IWP22'!UnitsOfServicePeriod1, 4, 13, 1, 1) = "", 0, OFFSET('IWP22'!UnitsOfServicePeriod1, 4, 13, 1, 1))</f>
        <v>0</v>
      </c>
      <c r="R432" s="128">
        <f ca="1">OFFSET('IWP22'!UnitsOfServicePeriod1, 4, 14, 1, 1)</f>
        <v>0</v>
      </c>
      <c r="S432" s="128">
        <f ca="1">IF(OFFSET('IWP22'!UnitsOfServicePeriod1, 4, 15, 1, 1) = "", 0, OFFSET('IWP22'!UnitsOfServicePeriod1, 4, 15, 1, 1))</f>
        <v>0</v>
      </c>
      <c r="T432" s="128">
        <f ca="1">IF(OFFSET('IWP22'!UnitsOfServicePeriod1, 4, 16, 1, 1) = "", 0, OFFSET('IWP22'!UnitsOfServicePeriod1, 4, 16, 1, 1))</f>
        <v>0</v>
      </c>
      <c r="U432" s="128">
        <f ca="1">OFFSET('IWP22'!UnitsOfServicePeriod1, 4, 17, 1, 1)</f>
        <v>0</v>
      </c>
      <c r="V432" s="128">
        <f ca="1">IF(OFFSET('IWP22'!UnitsOfServicePeriod1, 4, 19, 1, 1) = "", 0, OFFSET('IWP22'!UnitsOfServicePeriod1, 4, 19, 1, 1))</f>
        <v>0</v>
      </c>
      <c r="W432" s="128">
        <f ca="1">OFFSET('IWP22'!UnitsOfServicePeriod1, 4, 20, 1, 1)</f>
        <v>0</v>
      </c>
      <c r="X432" s="128">
        <f ca="1">IF(OFFSET('IWP22'!UnitsOfServicePeriod1, 4, 21, 1, 1) = "", 0, OFFSET('IWP22'!UnitsOfServicePeriod1, 4, 21, 1, 1))</f>
        <v>0</v>
      </c>
      <c r="Y432" s="137">
        <f ca="1">OFFSET('IWP22'!UnitsOfServicePeriod1, 4, 22, 1, 1)</f>
        <v>0</v>
      </c>
    </row>
    <row r="433" spans="1:25">
      <c r="A433" s="125" t="s">
        <v>495</v>
      </c>
      <c r="B433" s="128">
        <v>1</v>
      </c>
      <c r="C433" s="128">
        <v>6</v>
      </c>
      <c r="D433" s="107">
        <f ca="1">IF(OFFSET('IWP22'!UnitsOfServicePeriod1, 5, 0, 1, 1)=DATE(1900,1,0), DATE(1900,1,1),OFFSET('IWP22'!UnitsOfServicePeriod1, 5, 0, 1, 1))</f>
        <v>1</v>
      </c>
      <c r="E433" s="107">
        <f ca="1">IF(OFFSET('IWP22'!UnitsOfServicePeriod1, 5, 1, 1, 1)=DATE(1900,1,0), DATE(1900,1,1),OFFSET('IWP22'!UnitsOfServicePeriod1, 5, 1, 1, 1))</f>
        <v>1</v>
      </c>
      <c r="F433" s="128">
        <f ca="1">OFFSET('IWP22'!UnitsOfServicePeriod1, 5, 2, 1, 1)</f>
        <v>0</v>
      </c>
      <c r="G433" s="128">
        <f ca="1">IF(OFFSET('IWP22'!UnitsOfServicePeriod1, 5, 3, 1, 1) = "", 0, OFFSET('IWP22'!UnitsOfServicePeriod1, 5, 3, 1, 1))</f>
        <v>0</v>
      </c>
      <c r="H433" s="128">
        <f ca="1">OFFSET('IWP22'!UnitsOfServicePeriod1, 5, 4, 1, 1)</f>
        <v>0</v>
      </c>
      <c r="I433" s="128">
        <f ca="1">IF(OFFSET('IWP22'!UnitsOfServicePeriod1, 5, 5, 1, 1) = "", 0, OFFSET('IWP22'!UnitsOfServicePeriod1, 5, 5, 1, 1))</f>
        <v>0</v>
      </c>
      <c r="J433" s="128">
        <f ca="1">OFFSET('IWP22'!UnitsOfServicePeriod1, 5, 6, 1, 1)</f>
        <v>0</v>
      </c>
      <c r="K433" s="128">
        <f ca="1">IF(OFFSET('IWP22'!UnitsOfServicePeriod1, 5, 7, 1, 1) = "", 0, OFFSET('IWP22'!UnitsOfServicePeriod1, 5, 7, 1, 1))</f>
        <v>0</v>
      </c>
      <c r="L433" s="128">
        <f ca="1">OFFSET('IWP22'!UnitsOfServicePeriod1, 5, 8, 1, 1)</f>
        <v>0</v>
      </c>
      <c r="M433" s="128">
        <f ca="1">IF(OFFSET('IWP22'!UnitsOfServicePeriod1, 5, 9, 1, 1) = "", 0, OFFSET('IWP22'!UnitsOfServicePeriod1, 5, 9, 1, 1))</f>
        <v>0</v>
      </c>
      <c r="N433" s="128">
        <f ca="1">OFFSET('IWP22'!UnitsOfServicePeriod1, 5, 10, 1, 1)</f>
        <v>0</v>
      </c>
      <c r="O433" s="128">
        <f ca="1">IF(OFFSET('IWP22'!UnitsOfServicePeriod1, 5, 11, 1, 1) = "", 0, OFFSET('IWP22'!UnitsOfServicePeriod1, 5, 11, 1, 1))</f>
        <v>0</v>
      </c>
      <c r="P433" s="128">
        <f ca="1">OFFSET('IWP22'!UnitsOfServicePeriod1, 5, 12, 1, 1)</f>
        <v>0</v>
      </c>
      <c r="Q433" s="128">
        <f ca="1">IF(OFFSET('IWP22'!UnitsOfServicePeriod1, 5, 13, 1, 1) = "", 0, OFFSET('IWP22'!UnitsOfServicePeriod1, 5, 13, 1, 1))</f>
        <v>0</v>
      </c>
      <c r="R433" s="128">
        <f ca="1">OFFSET('IWP22'!UnitsOfServicePeriod1, 5, 14, 1, 1)</f>
        <v>0</v>
      </c>
      <c r="S433" s="128">
        <f ca="1">IF(OFFSET('IWP22'!UnitsOfServicePeriod1, 5, 15, 1, 1) = "", 0, OFFSET('IWP22'!UnitsOfServicePeriod1, 5, 15, 1, 1))</f>
        <v>0</v>
      </c>
      <c r="T433" s="128">
        <f ca="1">IF(OFFSET('IWP22'!UnitsOfServicePeriod1, 5, 16, 1, 1) = "", 0, OFFSET('IWP22'!UnitsOfServicePeriod1, 5, 16, 1, 1))</f>
        <v>0</v>
      </c>
      <c r="U433" s="128">
        <f ca="1">OFFSET('IWP22'!UnitsOfServicePeriod1, 5, 17, 1, 1)</f>
        <v>0</v>
      </c>
      <c r="V433" s="128">
        <f ca="1">IF(OFFSET('IWP22'!UnitsOfServicePeriod1, 5, 19, 1, 1) = "", 0, OFFSET('IWP22'!UnitsOfServicePeriod1, 5, 19, 1, 1))</f>
        <v>0</v>
      </c>
      <c r="W433" s="128">
        <f ca="1">OFFSET('IWP22'!UnitsOfServicePeriod1, 5, 20, 1, 1)</f>
        <v>0</v>
      </c>
      <c r="X433" s="128">
        <f ca="1">IF(OFFSET('IWP22'!UnitsOfServicePeriod1, 5, 21, 1, 1) = "", 0, OFFSET('IWP22'!UnitsOfServicePeriod1, 5, 21, 1, 1))</f>
        <v>0</v>
      </c>
      <c r="Y433" s="137">
        <f ca="1">OFFSET('IWP22'!UnitsOfServicePeriod1, 5, 22, 1, 1)</f>
        <v>0</v>
      </c>
    </row>
    <row r="434" spans="1:25">
      <c r="A434" s="125" t="s">
        <v>495</v>
      </c>
      <c r="B434" s="128">
        <v>2</v>
      </c>
      <c r="C434" s="128">
        <v>1</v>
      </c>
      <c r="D434" s="107">
        <f ca="1">IF(OFFSET('IWP22'!UnitsOfServicePeriod2, 0, 0, 1, 1)=DATE(1900,1,0), DATE(1900,1,1),OFFSET('IWP22'!UnitsOfServicePeriod2, 0, 0, 1, 1))</f>
        <v>1</v>
      </c>
      <c r="E434" s="107">
        <f ca="1">IF(OFFSET('IWP22'!UnitsOfServicePeriod2, 0, 1, 1, 1)=DATE(1900,1,0), DATE(1900,1,1),OFFSET('IWP22'!UnitsOfServicePeriod2, 0, 1, 1, 1))</f>
        <v>1</v>
      </c>
      <c r="F434" s="128">
        <f ca="1">OFFSET('IWP22'!UnitsOfServicePeriod2, 0, 2, 1, 1)</f>
        <v>0</v>
      </c>
      <c r="G434" s="128">
        <f ca="1">IF(OFFSET('IWP22'!UnitsOfServicePeriod2, 0, 3, 1, 1) = "", 0, OFFSET('IWP22'!UnitsOfServicePeriod2, 0, 3, 1, 1))</f>
        <v>0</v>
      </c>
      <c r="H434" s="128">
        <f ca="1">OFFSET('IWP22'!UnitsOfServicePeriod2, 0, 4, 1, 1)</f>
        <v>0</v>
      </c>
      <c r="I434" s="128">
        <f ca="1">IF(OFFSET('IWP22'!UnitsOfServicePeriod2, 0, 5, 1, 1) = "", 0, OFFSET('IWP22'!UnitsOfServicePeriod2, 0, 5, 1, 1))</f>
        <v>0</v>
      </c>
      <c r="J434" s="128">
        <f ca="1">OFFSET('IWP22'!UnitsOfServicePeriod2, 0, 6, 1, 1)</f>
        <v>0</v>
      </c>
      <c r="K434" s="128">
        <f ca="1">IF(OFFSET('IWP22'!UnitsOfServicePeriod2, 0, 7, 1, 1) = "", 0, OFFSET('IWP22'!UnitsOfServicePeriod2, 0, 7, 1, 1))</f>
        <v>0</v>
      </c>
      <c r="L434" s="128">
        <f ca="1">OFFSET('IWP22'!UnitsOfServicePeriod2, 0, 8, 1, 1)</f>
        <v>0</v>
      </c>
      <c r="M434" s="128">
        <f ca="1">IF(OFFSET('IWP22'!UnitsOfServicePeriod2, 0, 9, 1, 1) = "", 0, OFFSET('IWP22'!UnitsOfServicePeriod2, 0, 9, 1, 1))</f>
        <v>0</v>
      </c>
      <c r="N434" s="128">
        <f ca="1">OFFSET('IWP22'!UnitsOfServicePeriod2, 0, 10, 1, 1)</f>
        <v>0</v>
      </c>
      <c r="O434" s="128">
        <f ca="1">IF(OFFSET('IWP22'!UnitsOfServicePeriod2, 0, 11, 1, 1) = "", 0, OFFSET('IWP22'!UnitsOfServicePeriod2, 0, 11, 1, 1))</f>
        <v>0</v>
      </c>
      <c r="P434" s="128">
        <f ca="1">OFFSET('IWP22'!UnitsOfServicePeriod2, 0, 12, 1, 1)</f>
        <v>0</v>
      </c>
      <c r="Q434" s="128">
        <f ca="1">IF(OFFSET('IWP22'!UnitsOfServicePeriod2, 0, 13, 1, 1) = "", 0, OFFSET('IWP22'!UnitsOfServicePeriod2, 0, 13, 1, 1))</f>
        <v>0</v>
      </c>
      <c r="R434" s="128">
        <f ca="1">OFFSET('IWP22'!UnitsOfServicePeriod2, 0, 14, 1, 1)</f>
        <v>0</v>
      </c>
      <c r="S434" s="128">
        <f ca="1">IF(OFFSET('IWP22'!UnitsOfServicePeriod2, 0, 15, 1, 1) = "", 0, OFFSET('IWP22'!UnitsOfServicePeriod2, 0, 15, 1, 1))</f>
        <v>0</v>
      </c>
      <c r="T434" s="128">
        <f ca="1">IF(OFFSET('IWP22'!UnitsOfServicePeriod2, 0, 16, 1, 1) = "", 0, OFFSET('IWP22'!UnitsOfServicePeriod2, 0, 16, 1, 1))</f>
        <v>0</v>
      </c>
      <c r="U434" s="128">
        <f ca="1">OFFSET('IWP22'!UnitsOfServicePeriod2, 0, 17, 1, 1)</f>
        <v>0</v>
      </c>
      <c r="V434" s="128">
        <f ca="1">IF(OFFSET('IWP22'!UnitsOfServicePeriod2, 0, 19, 1, 1) = "", 0, OFFSET('IWP22'!UnitsOfServicePeriod2, 0, 19, 1, 1))</f>
        <v>0</v>
      </c>
      <c r="W434" s="128">
        <f ca="1">OFFSET('IWP22'!UnitsOfServicePeriod2, 0, 20, 1, 1)</f>
        <v>0</v>
      </c>
      <c r="X434" s="128">
        <f ca="1">IF(OFFSET('IWP22'!UnitsOfServicePeriod2, 0, 21, 1, 1) = "", 0, OFFSET('IWP22'!UnitsOfServicePeriod2, 0, 21, 1, 1))</f>
        <v>0</v>
      </c>
      <c r="Y434" s="137">
        <f ca="1">OFFSET('IWP22'!UnitsOfServicePeriod2, 0, 22, 1, 1)</f>
        <v>0</v>
      </c>
    </row>
    <row r="435" spans="1:25">
      <c r="A435" s="125" t="s">
        <v>495</v>
      </c>
      <c r="B435" s="128">
        <v>2</v>
      </c>
      <c r="C435" s="128">
        <v>2</v>
      </c>
      <c r="D435" s="107">
        <f ca="1">IF(OFFSET('IWP22'!UnitsOfServicePeriod2, 1, 0, 1, 1)=DATE(1900,1,0), DATE(1900,1,1),OFFSET('IWP22'!UnitsOfServicePeriod2, 1, 0, 1, 1))</f>
        <v>1</v>
      </c>
      <c r="E435" s="107">
        <f ca="1">IF(OFFSET('IWP22'!UnitsOfServicePeriod2, 1, 1, 1, 1)=DATE(1900,1,0), DATE(1900,1,1),OFFSET('IWP22'!UnitsOfServicePeriod2, 1, 1, 1, 1))</f>
        <v>1</v>
      </c>
      <c r="F435" s="128">
        <f ca="1">OFFSET('IWP22'!UnitsOfServicePeriod2, 1, 2, 1, 1)</f>
        <v>0</v>
      </c>
      <c r="G435" s="128">
        <f ca="1">IF(OFFSET('IWP22'!UnitsOfServicePeriod2, 1, 3, 1, 1) = "", 0, OFFSET('IWP22'!UnitsOfServicePeriod2, 1, 3, 1, 1))</f>
        <v>0</v>
      </c>
      <c r="H435" s="128">
        <f ca="1">OFFSET('IWP22'!UnitsOfServicePeriod2, 1, 4, 1, 1)</f>
        <v>0</v>
      </c>
      <c r="I435" s="128">
        <f ca="1">IF(OFFSET('IWP22'!UnitsOfServicePeriod2, 1, 5, 1, 1) = "", 0, OFFSET('IWP22'!UnitsOfServicePeriod2, 1, 5, 1, 1))</f>
        <v>0</v>
      </c>
      <c r="J435" s="128">
        <f ca="1">OFFSET('IWP22'!UnitsOfServicePeriod2, 1, 6, 1, 1)</f>
        <v>0</v>
      </c>
      <c r="K435" s="128">
        <f ca="1">IF(OFFSET('IWP22'!UnitsOfServicePeriod2, 1, 7, 1, 1) = "", 0, OFFSET('IWP22'!UnitsOfServicePeriod2, 1, 7, 1, 1))</f>
        <v>0</v>
      </c>
      <c r="L435" s="128">
        <f ca="1">OFFSET('IWP22'!UnitsOfServicePeriod2, 1, 8, 1, 1)</f>
        <v>0</v>
      </c>
      <c r="M435" s="128">
        <f ca="1">IF(OFFSET('IWP22'!UnitsOfServicePeriod2, 1, 9, 1, 1) = "", 0, OFFSET('IWP22'!UnitsOfServicePeriod2, 1, 9, 1, 1))</f>
        <v>0</v>
      </c>
      <c r="N435" s="128">
        <f ca="1">OFFSET('IWP22'!UnitsOfServicePeriod2, 1, 10, 1, 1)</f>
        <v>0</v>
      </c>
      <c r="O435" s="128">
        <f ca="1">IF(OFFSET('IWP22'!UnitsOfServicePeriod2, 1, 11, 1, 1) = "", 0, OFFSET('IWP22'!UnitsOfServicePeriod2, 1, 11, 1, 1))</f>
        <v>0</v>
      </c>
      <c r="P435" s="128">
        <f ca="1">OFFSET('IWP22'!UnitsOfServicePeriod2, 1, 12, 1, 1)</f>
        <v>0</v>
      </c>
      <c r="Q435" s="128">
        <f ca="1">IF(OFFSET('IWP22'!UnitsOfServicePeriod2, 1, 13, 1, 1) = "", 0, OFFSET('IWP22'!UnitsOfServicePeriod2, 1, 13, 1, 1))</f>
        <v>0</v>
      </c>
      <c r="R435" s="128">
        <f ca="1">OFFSET('IWP22'!UnitsOfServicePeriod2, 1, 14, 1, 1)</f>
        <v>0</v>
      </c>
      <c r="S435" s="128">
        <f ca="1">IF(OFFSET('IWP22'!UnitsOfServicePeriod2, 1, 15, 1, 1) = "", 0, OFFSET('IWP22'!UnitsOfServicePeriod2, 1, 15, 1, 1))</f>
        <v>0</v>
      </c>
      <c r="T435" s="128">
        <f ca="1">IF(OFFSET('IWP22'!UnitsOfServicePeriod2, 1, 16, 1, 1) = "", 0, OFFSET('IWP22'!UnitsOfServicePeriod2, 1, 16, 1, 1))</f>
        <v>0</v>
      </c>
      <c r="U435" s="128">
        <f ca="1">OFFSET('IWP22'!UnitsOfServicePeriod2, 1, 17, 1, 1)</f>
        <v>0</v>
      </c>
      <c r="V435" s="128">
        <f ca="1">IF(OFFSET('IWP22'!UnitsOfServicePeriod2, 1, 19, 1, 1) = "", 0, OFFSET('IWP22'!UnitsOfServicePeriod2, 1, 19, 1, 1))</f>
        <v>0</v>
      </c>
      <c r="W435" s="128">
        <f ca="1">OFFSET('IWP22'!UnitsOfServicePeriod2, 1, 20, 1, 1)</f>
        <v>0</v>
      </c>
      <c r="X435" s="128">
        <f ca="1">IF(OFFSET('IWP22'!UnitsOfServicePeriod2, 1, 21, 1, 1) = "", 0, OFFSET('IWP22'!UnitsOfServicePeriod2, 1, 21, 1, 1))</f>
        <v>0</v>
      </c>
      <c r="Y435" s="137">
        <f ca="1">OFFSET('IWP22'!UnitsOfServicePeriod2, 1, 22, 1, 1)</f>
        <v>0</v>
      </c>
    </row>
    <row r="436" spans="1:25">
      <c r="A436" s="125" t="s">
        <v>495</v>
      </c>
      <c r="B436" s="128">
        <v>2</v>
      </c>
      <c r="C436" s="128">
        <v>3</v>
      </c>
      <c r="D436" s="107">
        <f ca="1">IF(OFFSET('IWP22'!UnitsOfServicePeriod2, 2, 0, 1, 1)=DATE(1900,1,0), DATE(1900,1,1),OFFSET('IWP22'!UnitsOfServicePeriod2, 2, 0, 1, 1))</f>
        <v>1</v>
      </c>
      <c r="E436" s="107">
        <f ca="1">IF(OFFSET('IWP22'!UnitsOfServicePeriod2, 2, 1, 1, 1)=DATE(1900,1,0), DATE(1900,1,1),OFFSET('IWP22'!UnitsOfServicePeriod2, 2, 1, 1, 1))</f>
        <v>1</v>
      </c>
      <c r="F436" s="128">
        <f ca="1">OFFSET('IWP22'!UnitsOfServicePeriod2, 2, 2, 1, 1)</f>
        <v>0</v>
      </c>
      <c r="G436" s="128">
        <f ca="1">IF(OFFSET('IWP22'!UnitsOfServicePeriod2, 2, 3, 1, 1) = "", 0, OFFSET('IWP22'!UnitsOfServicePeriod2, 2, 3, 1, 1))</f>
        <v>0</v>
      </c>
      <c r="H436" s="128">
        <f ca="1">OFFSET('IWP22'!UnitsOfServicePeriod2, 2, 4, 1, 1)</f>
        <v>0</v>
      </c>
      <c r="I436" s="128">
        <f ca="1">IF(OFFSET('IWP22'!UnitsOfServicePeriod2, 2, 5, 1, 1) = "", 0, OFFSET('IWP22'!UnitsOfServicePeriod2, 2, 5, 1, 1))</f>
        <v>0</v>
      </c>
      <c r="J436" s="128">
        <f ca="1">OFFSET('IWP22'!UnitsOfServicePeriod2, 2, 6, 1, 1)</f>
        <v>0</v>
      </c>
      <c r="K436" s="128">
        <f ca="1">IF(OFFSET('IWP22'!UnitsOfServicePeriod2, 2, 7, 1, 1) = "", 0, OFFSET('IWP22'!UnitsOfServicePeriod2, 2, 7, 1, 1))</f>
        <v>0</v>
      </c>
      <c r="L436" s="128">
        <f ca="1">OFFSET('IWP22'!UnitsOfServicePeriod2, 2, 8, 1, 1)</f>
        <v>0</v>
      </c>
      <c r="M436" s="128">
        <f ca="1">IF(OFFSET('IWP22'!UnitsOfServicePeriod2, 2, 9, 1, 1) = "", 0, OFFSET('IWP22'!UnitsOfServicePeriod2, 2, 9, 1, 1))</f>
        <v>0</v>
      </c>
      <c r="N436" s="128">
        <f ca="1">OFFSET('IWP22'!UnitsOfServicePeriod2, 2, 10, 1, 1)</f>
        <v>0</v>
      </c>
      <c r="O436" s="128">
        <f ca="1">IF(OFFSET('IWP22'!UnitsOfServicePeriod2, 2, 11, 1, 1) = "", 0, OFFSET('IWP22'!UnitsOfServicePeriod2, 2, 11, 1, 1))</f>
        <v>0</v>
      </c>
      <c r="P436" s="128">
        <f ca="1">OFFSET('IWP22'!UnitsOfServicePeriod2, 2, 12, 1, 1)</f>
        <v>0</v>
      </c>
      <c r="Q436" s="128">
        <f ca="1">IF(OFFSET('IWP22'!UnitsOfServicePeriod2, 2, 13, 1, 1) = "", 0, OFFSET('IWP22'!UnitsOfServicePeriod2, 2, 13, 1, 1))</f>
        <v>0</v>
      </c>
      <c r="R436" s="128">
        <f ca="1">OFFSET('IWP22'!UnitsOfServicePeriod2, 2, 14, 1, 1)</f>
        <v>0</v>
      </c>
      <c r="S436" s="128">
        <f ca="1">IF(OFFSET('IWP22'!UnitsOfServicePeriod2, 2, 15, 1, 1) = "", 0, OFFSET('IWP22'!UnitsOfServicePeriod2, 2, 15, 1, 1))</f>
        <v>0</v>
      </c>
      <c r="T436" s="128">
        <f ca="1">IF(OFFSET('IWP22'!UnitsOfServicePeriod2, 2, 16, 1, 1) = "", 0, OFFSET('IWP22'!UnitsOfServicePeriod2, 2, 16, 1, 1))</f>
        <v>0</v>
      </c>
      <c r="U436" s="128">
        <f ca="1">OFFSET('IWP22'!UnitsOfServicePeriod2, 2, 17, 1, 1)</f>
        <v>0</v>
      </c>
      <c r="V436" s="128">
        <f ca="1">IF(OFFSET('IWP22'!UnitsOfServicePeriod2, 2, 19, 1, 1) = "", 0, OFFSET('IWP22'!UnitsOfServicePeriod2, 2, 19, 1, 1))</f>
        <v>0</v>
      </c>
      <c r="W436" s="128">
        <f ca="1">OFFSET('IWP22'!UnitsOfServicePeriod2, 2, 20, 1, 1)</f>
        <v>0</v>
      </c>
      <c r="X436" s="128">
        <f ca="1">IF(OFFSET('IWP22'!UnitsOfServicePeriod2, 2, 21, 1, 1) = "", 0, OFFSET('IWP22'!UnitsOfServicePeriod2, 2, 21, 1, 1))</f>
        <v>0</v>
      </c>
      <c r="Y436" s="137">
        <f ca="1">OFFSET('IWP22'!UnitsOfServicePeriod2, 2, 22, 1, 1)</f>
        <v>0</v>
      </c>
    </row>
    <row r="437" spans="1:25">
      <c r="A437" s="125" t="s">
        <v>495</v>
      </c>
      <c r="B437" s="128">
        <v>2</v>
      </c>
      <c r="C437" s="128">
        <v>4</v>
      </c>
      <c r="D437" s="107">
        <f ca="1">IF(OFFSET('IWP22'!UnitsOfServicePeriod2, 3, 0, 1, 1)=DATE(1900,1,0), DATE(1900,1,1),OFFSET('IWP22'!UnitsOfServicePeriod2, 3, 0, 1, 1))</f>
        <v>1</v>
      </c>
      <c r="E437" s="107">
        <f ca="1">IF(OFFSET('IWP22'!UnitsOfServicePeriod2, 3, 1, 1, 1)=DATE(1900,1,0), DATE(1900,1,1),OFFSET('IWP22'!UnitsOfServicePeriod2, 3, 1, 1, 1))</f>
        <v>1</v>
      </c>
      <c r="F437" s="128">
        <f ca="1">OFFSET('IWP22'!UnitsOfServicePeriod2, 3, 2, 1, 1)</f>
        <v>0</v>
      </c>
      <c r="G437" s="128">
        <f ca="1">IF(OFFSET('IWP22'!UnitsOfServicePeriod2, 3, 3, 1, 1) = "", 0, OFFSET('IWP22'!UnitsOfServicePeriod2, 3, 3, 1, 1))</f>
        <v>0</v>
      </c>
      <c r="H437" s="128">
        <f ca="1">OFFSET('IWP22'!UnitsOfServicePeriod2, 3, 4, 1, 1)</f>
        <v>0</v>
      </c>
      <c r="I437" s="128">
        <f ca="1">IF(OFFSET('IWP22'!UnitsOfServicePeriod2, 3, 5, 1, 1) = "", 0, OFFSET('IWP22'!UnitsOfServicePeriod2, 3, 5, 1, 1))</f>
        <v>0</v>
      </c>
      <c r="J437" s="128">
        <f ca="1">OFFSET('IWP22'!UnitsOfServicePeriod2, 3, 6, 1, 1)</f>
        <v>0</v>
      </c>
      <c r="K437" s="128">
        <f ca="1">IF(OFFSET('IWP22'!UnitsOfServicePeriod2, 3, 7, 1, 1) = "", 0, OFFSET('IWP22'!UnitsOfServicePeriod2, 3, 7, 1, 1))</f>
        <v>0</v>
      </c>
      <c r="L437" s="128">
        <f ca="1">OFFSET('IWP22'!UnitsOfServicePeriod2, 3, 8, 1, 1)</f>
        <v>0</v>
      </c>
      <c r="M437" s="128">
        <f ca="1">IF(OFFSET('IWP22'!UnitsOfServicePeriod2, 3, 9, 1, 1) = "", 0, OFFSET('IWP22'!UnitsOfServicePeriod2, 3, 9, 1, 1))</f>
        <v>0</v>
      </c>
      <c r="N437" s="128">
        <f ca="1">OFFSET('IWP22'!UnitsOfServicePeriod2, 3, 10, 1, 1)</f>
        <v>0</v>
      </c>
      <c r="O437" s="128">
        <f ca="1">IF(OFFSET('IWP22'!UnitsOfServicePeriod2, 3, 11, 1, 1) = "", 0, OFFSET('IWP22'!UnitsOfServicePeriod2, 3, 11, 1, 1))</f>
        <v>0</v>
      </c>
      <c r="P437" s="128">
        <f ca="1">OFFSET('IWP22'!UnitsOfServicePeriod2, 3, 12, 1, 1)</f>
        <v>0</v>
      </c>
      <c r="Q437" s="128">
        <f ca="1">IF(OFFSET('IWP22'!UnitsOfServicePeriod2, 3, 13, 1, 1) = "", 0, OFFSET('IWP22'!UnitsOfServicePeriod2, 3, 13, 1, 1))</f>
        <v>0</v>
      </c>
      <c r="R437" s="128">
        <f ca="1">OFFSET('IWP22'!UnitsOfServicePeriod2, 3, 14, 1, 1)</f>
        <v>0</v>
      </c>
      <c r="S437" s="128">
        <f ca="1">IF(OFFSET('IWP22'!UnitsOfServicePeriod2, 3, 15, 1, 1) = "", 0, OFFSET('IWP22'!UnitsOfServicePeriod2, 3, 15, 1, 1))</f>
        <v>0</v>
      </c>
      <c r="T437" s="128">
        <f ca="1">IF(OFFSET('IWP22'!UnitsOfServicePeriod2, 3, 16, 1, 1) = "", 0, OFFSET('IWP22'!UnitsOfServicePeriod2, 3, 16, 1, 1))</f>
        <v>0</v>
      </c>
      <c r="U437" s="128">
        <f ca="1">OFFSET('IWP22'!UnitsOfServicePeriod2, 3, 17, 1, 1)</f>
        <v>0</v>
      </c>
      <c r="V437" s="128">
        <f ca="1">IF(OFFSET('IWP22'!UnitsOfServicePeriod2, 3, 19, 1, 1) = "", 0, OFFSET('IWP22'!UnitsOfServicePeriod2, 3, 19, 1, 1))</f>
        <v>0</v>
      </c>
      <c r="W437" s="128">
        <f ca="1">OFFSET('IWP22'!UnitsOfServicePeriod2, 3, 20, 1, 1)</f>
        <v>0</v>
      </c>
      <c r="X437" s="128">
        <f ca="1">IF(OFFSET('IWP22'!UnitsOfServicePeriod2, 3, 21, 1, 1) = "", 0, OFFSET('IWP22'!UnitsOfServicePeriod2, 3, 21, 1, 1))</f>
        <v>0</v>
      </c>
      <c r="Y437" s="137">
        <f ca="1">OFFSET('IWP22'!UnitsOfServicePeriod2, 3, 22, 1, 1)</f>
        <v>0</v>
      </c>
    </row>
    <row r="438" spans="1:25">
      <c r="A438" s="125" t="s">
        <v>495</v>
      </c>
      <c r="B438" s="128">
        <v>2</v>
      </c>
      <c r="C438" s="128">
        <v>5</v>
      </c>
      <c r="D438" s="107">
        <f ca="1">IF(OFFSET('IWP22'!UnitsOfServicePeriod2, 4, 0, 1, 1)=DATE(1900,1,0), DATE(1900,1,1),OFFSET('IWP22'!UnitsOfServicePeriod2, 4, 0, 1, 1))</f>
        <v>1</v>
      </c>
      <c r="E438" s="107">
        <f ca="1">IF(OFFSET('IWP22'!UnitsOfServicePeriod2, 4, 1, 1, 1)=DATE(1900,1,0), DATE(1900,1,1),OFFSET('IWP22'!UnitsOfServicePeriod2, 4, 1, 1, 1))</f>
        <v>1</v>
      </c>
      <c r="F438" s="128">
        <f ca="1">OFFSET('IWP22'!UnitsOfServicePeriod2, 4, 2, 1, 1)</f>
        <v>0</v>
      </c>
      <c r="G438" s="128">
        <f ca="1">IF(OFFSET('IWP22'!UnitsOfServicePeriod2, 4, 3, 1, 1) = "", 0, OFFSET('IWP22'!UnitsOfServicePeriod2, 4, 3, 1, 1))</f>
        <v>0</v>
      </c>
      <c r="H438" s="128">
        <f ca="1">OFFSET('IWP22'!UnitsOfServicePeriod2, 4, 4, 1, 1)</f>
        <v>0</v>
      </c>
      <c r="I438" s="128">
        <f ca="1">IF(OFFSET('IWP22'!UnitsOfServicePeriod2, 4, 5, 1, 1) = "", 0, OFFSET('IWP22'!UnitsOfServicePeriod2, 4, 5, 1, 1))</f>
        <v>0</v>
      </c>
      <c r="J438" s="128">
        <f ca="1">OFFSET('IWP22'!UnitsOfServicePeriod2, 4, 6, 1, 1)</f>
        <v>0</v>
      </c>
      <c r="K438" s="128">
        <f ca="1">IF(OFFSET('IWP22'!UnitsOfServicePeriod2, 4, 7, 1, 1) = "", 0, OFFSET('IWP22'!UnitsOfServicePeriod2, 4, 7, 1, 1))</f>
        <v>0</v>
      </c>
      <c r="L438" s="128">
        <f ca="1">OFFSET('IWP22'!UnitsOfServicePeriod2, 4, 8, 1, 1)</f>
        <v>0</v>
      </c>
      <c r="M438" s="128">
        <f ca="1">IF(OFFSET('IWP22'!UnitsOfServicePeriod2, 4, 9, 1, 1) = "", 0, OFFSET('IWP22'!UnitsOfServicePeriod2, 4, 9, 1, 1))</f>
        <v>0</v>
      </c>
      <c r="N438" s="128">
        <f ca="1">OFFSET('IWP22'!UnitsOfServicePeriod2, 4, 10, 1, 1)</f>
        <v>0</v>
      </c>
      <c r="O438" s="128">
        <f ca="1">IF(OFFSET('IWP22'!UnitsOfServicePeriod2, 4, 11, 1, 1) = "", 0, OFFSET('IWP22'!UnitsOfServicePeriod2, 4, 11, 1, 1))</f>
        <v>0</v>
      </c>
      <c r="P438" s="128">
        <f ca="1">OFFSET('IWP22'!UnitsOfServicePeriod2, 4, 12, 1, 1)</f>
        <v>0</v>
      </c>
      <c r="Q438" s="128">
        <f ca="1">IF(OFFSET('IWP22'!UnitsOfServicePeriod2, 4, 13, 1, 1) = "", 0, OFFSET('IWP22'!UnitsOfServicePeriod2, 4, 13, 1, 1))</f>
        <v>0</v>
      </c>
      <c r="R438" s="128">
        <f ca="1">OFFSET('IWP22'!UnitsOfServicePeriod2, 4, 14, 1, 1)</f>
        <v>0</v>
      </c>
      <c r="S438" s="128">
        <f ca="1">IF(OFFSET('IWP22'!UnitsOfServicePeriod2, 4, 15, 1, 1) = "", 0, OFFSET('IWP22'!UnitsOfServicePeriod2, 4, 15, 1, 1))</f>
        <v>0</v>
      </c>
      <c r="T438" s="128">
        <f ca="1">IF(OFFSET('IWP22'!UnitsOfServicePeriod2, 4, 16, 1, 1) = "", 0, OFFSET('IWP22'!UnitsOfServicePeriod2, 4, 16, 1, 1))</f>
        <v>0</v>
      </c>
      <c r="U438" s="128">
        <f ca="1">OFFSET('IWP22'!UnitsOfServicePeriod2, 4, 17, 1, 1)</f>
        <v>0</v>
      </c>
      <c r="V438" s="128">
        <f ca="1">IF(OFFSET('IWP22'!UnitsOfServicePeriod2, 4, 19, 1, 1) = "", 0, OFFSET('IWP22'!UnitsOfServicePeriod2, 4, 19, 1, 1))</f>
        <v>0</v>
      </c>
      <c r="W438" s="128">
        <f ca="1">OFFSET('IWP22'!UnitsOfServicePeriod2, 4, 20, 1, 1)</f>
        <v>0</v>
      </c>
      <c r="X438" s="128">
        <f ca="1">IF(OFFSET('IWP22'!UnitsOfServicePeriod2, 4, 21, 1, 1) = "", 0, OFFSET('IWP22'!UnitsOfServicePeriod2, 4, 21, 1, 1))</f>
        <v>0</v>
      </c>
      <c r="Y438" s="137">
        <f ca="1">OFFSET('IWP22'!UnitsOfServicePeriod2, 4, 22, 1, 1)</f>
        <v>0</v>
      </c>
    </row>
    <row r="439" spans="1:25">
      <c r="A439" s="125" t="s">
        <v>495</v>
      </c>
      <c r="B439" s="128">
        <v>2</v>
      </c>
      <c r="C439" s="128">
        <v>6</v>
      </c>
      <c r="D439" s="107">
        <f ca="1">IF(OFFSET('IWP22'!UnitsOfServicePeriod2, 5, 0, 1, 1)=DATE(1900,1,0), DATE(1900,1,1),OFFSET('IWP22'!UnitsOfServicePeriod2, 5, 0, 1, 1))</f>
        <v>1</v>
      </c>
      <c r="E439" s="107">
        <f ca="1">IF(OFFSET('IWP22'!UnitsOfServicePeriod2, 5, 1, 1, 1)=DATE(1900,1,0), DATE(1900,1,1),OFFSET('IWP22'!UnitsOfServicePeriod2, 5, 1, 1, 1))</f>
        <v>1</v>
      </c>
      <c r="F439" s="128">
        <f ca="1">OFFSET('IWP22'!UnitsOfServicePeriod2, 5, 2, 1, 1)</f>
        <v>0</v>
      </c>
      <c r="G439" s="128">
        <f ca="1">IF(OFFSET('IWP22'!UnitsOfServicePeriod2, 5, 3, 1, 1) = "", 0, OFFSET('IWP22'!UnitsOfServicePeriod2, 5, 3, 1, 1))</f>
        <v>0</v>
      </c>
      <c r="H439" s="128">
        <f ca="1">OFFSET('IWP22'!UnitsOfServicePeriod2, 5, 4, 1, 1)</f>
        <v>0</v>
      </c>
      <c r="I439" s="128">
        <f ca="1">IF(OFFSET('IWP22'!UnitsOfServicePeriod2, 5, 5, 1, 1) = "", 0, OFFSET('IWP22'!UnitsOfServicePeriod2, 5, 5, 1, 1))</f>
        <v>0</v>
      </c>
      <c r="J439" s="128">
        <f ca="1">OFFSET('IWP22'!UnitsOfServicePeriod2, 5, 6, 1, 1)</f>
        <v>0</v>
      </c>
      <c r="K439" s="128">
        <f ca="1">IF(OFFSET('IWP22'!UnitsOfServicePeriod2, 5, 7, 1, 1) = "", 0, OFFSET('IWP22'!UnitsOfServicePeriod2, 5, 7, 1, 1))</f>
        <v>0</v>
      </c>
      <c r="L439" s="128">
        <f ca="1">OFFSET('IWP22'!UnitsOfServicePeriod2, 5, 8, 1, 1)</f>
        <v>0</v>
      </c>
      <c r="M439" s="128">
        <f ca="1">IF(OFFSET('IWP22'!UnitsOfServicePeriod2, 5, 9, 1, 1) = "", 0, OFFSET('IWP22'!UnitsOfServicePeriod2, 5, 9, 1, 1))</f>
        <v>0</v>
      </c>
      <c r="N439" s="128">
        <f ca="1">OFFSET('IWP22'!UnitsOfServicePeriod2, 5, 10, 1, 1)</f>
        <v>0</v>
      </c>
      <c r="O439" s="128">
        <f ca="1">IF(OFFSET('IWP22'!UnitsOfServicePeriod2, 5, 11, 1, 1) = "", 0, OFFSET('IWP22'!UnitsOfServicePeriod2, 5, 11, 1, 1))</f>
        <v>0</v>
      </c>
      <c r="P439" s="128">
        <f ca="1">OFFSET('IWP22'!UnitsOfServicePeriod2, 5, 12, 1, 1)</f>
        <v>0</v>
      </c>
      <c r="Q439" s="128">
        <f ca="1">IF(OFFSET('IWP22'!UnitsOfServicePeriod2, 5, 13, 1, 1) = "", 0, OFFSET('IWP22'!UnitsOfServicePeriod2, 5, 13, 1, 1))</f>
        <v>0</v>
      </c>
      <c r="R439" s="128">
        <f ca="1">OFFSET('IWP22'!UnitsOfServicePeriod2, 5, 14, 1, 1)</f>
        <v>0</v>
      </c>
      <c r="S439" s="128">
        <f ca="1">IF(OFFSET('IWP22'!UnitsOfServicePeriod2, 5, 15, 1, 1) = "", 0, OFFSET('IWP22'!UnitsOfServicePeriod2, 5, 15, 1, 1))</f>
        <v>0</v>
      </c>
      <c r="T439" s="128">
        <f ca="1">IF(OFFSET('IWP22'!UnitsOfServicePeriod2, 5, 16, 1, 1) = "", 0, OFFSET('IWP22'!UnitsOfServicePeriod2, 5, 16, 1, 1))</f>
        <v>0</v>
      </c>
      <c r="U439" s="128">
        <f ca="1">OFFSET('IWP22'!UnitsOfServicePeriod2, 5, 17, 1, 1)</f>
        <v>0</v>
      </c>
      <c r="V439" s="128">
        <f ca="1">IF(OFFSET('IWP22'!UnitsOfServicePeriod2, 5, 19, 1, 1) = "", 0, OFFSET('IWP22'!UnitsOfServicePeriod2, 5, 19, 1, 1))</f>
        <v>0</v>
      </c>
      <c r="W439" s="128">
        <f ca="1">OFFSET('IWP22'!UnitsOfServicePeriod2, 5, 20, 1, 1)</f>
        <v>0</v>
      </c>
      <c r="X439" s="128">
        <f ca="1">IF(OFFSET('IWP22'!UnitsOfServicePeriod2, 5, 21, 1, 1) = "", 0, OFFSET('IWP22'!UnitsOfServicePeriod2, 5, 21, 1, 1))</f>
        <v>0</v>
      </c>
      <c r="Y439" s="137">
        <f ca="1">OFFSET('IWP22'!UnitsOfServicePeriod2, 5, 22, 1, 1)</f>
        <v>0</v>
      </c>
    </row>
    <row r="440" spans="1:25">
      <c r="A440" s="125" t="s">
        <v>496</v>
      </c>
      <c r="B440" s="128">
        <v>1</v>
      </c>
      <c r="C440" s="128">
        <v>1</v>
      </c>
      <c r="D440" s="107">
        <f ca="1">IF(OFFSET('IWP23'!UnitsOfServicePeriod1, 0, 0, 1, 1)=DATE(1900,1,0), DATE(1900,1,1),OFFSET('IWP23'!UnitsOfServicePeriod1, 0, 0, 1, 1))</f>
        <v>1</v>
      </c>
      <c r="E440" s="107">
        <f ca="1">IF(OFFSET('IWP23'!UnitsOfServicePeriod1, 0, 1, 1, 1)=DATE(1900,1,0), DATE(1900,1,1),OFFSET('IWP23'!UnitsOfServicePeriod1, 0, 1, 1, 1))</f>
        <v>1</v>
      </c>
      <c r="F440" s="128">
        <f ca="1">OFFSET('IWP23'!UnitsOfServicePeriod1, 0, 2, 1, 1)</f>
        <v>0</v>
      </c>
      <c r="G440" s="128">
        <f ca="1">IF(OFFSET('IWP23'!UnitsOfServicePeriod1, 0, 3, 1, 1) = "", 0, OFFSET('IWP23'!UnitsOfServicePeriod1, 0, 3, 1, 1))</f>
        <v>0</v>
      </c>
      <c r="H440" s="128">
        <f ca="1">OFFSET('IWP23'!UnitsOfServicePeriod1, 0, 4, 1, 1)</f>
        <v>0</v>
      </c>
      <c r="I440" s="128">
        <f ca="1">IF(OFFSET('IWP23'!UnitsOfServicePeriod1, 0, 5, 1, 1) = "", 0, OFFSET('IWP23'!UnitsOfServicePeriod1, 0, 5, 1, 1))</f>
        <v>0</v>
      </c>
      <c r="J440" s="128">
        <f ca="1">OFFSET('IWP23'!UnitsOfServicePeriod1, 0, 6, 1, 1)</f>
        <v>0</v>
      </c>
      <c r="K440" s="128">
        <f ca="1">IF(OFFSET('IWP23'!UnitsOfServicePeriod1, 0, 7, 1, 1) = "", 0, OFFSET('IWP23'!UnitsOfServicePeriod1, 0, 7, 1, 1))</f>
        <v>0</v>
      </c>
      <c r="L440" s="128">
        <f ca="1">OFFSET('IWP23'!UnitsOfServicePeriod1, 0, 8, 1, 1)</f>
        <v>0</v>
      </c>
      <c r="M440" s="128">
        <f ca="1">IF(OFFSET('IWP23'!UnitsOfServicePeriod1, 0, 9, 1, 1) = "", 0, OFFSET('IWP23'!UnitsOfServicePeriod1, 0, 9, 1, 1))</f>
        <v>0</v>
      </c>
      <c r="N440" s="128">
        <f ca="1">OFFSET('IWP23'!UnitsOfServicePeriod1, 0, 10, 1, 1)</f>
        <v>0</v>
      </c>
      <c r="O440" s="128">
        <f ca="1">IF(OFFSET('IWP23'!UnitsOfServicePeriod1, 0, 11, 1, 1) = "", 0, OFFSET('IWP23'!UnitsOfServicePeriod1, 0, 11, 1, 1))</f>
        <v>0</v>
      </c>
      <c r="P440" s="128">
        <f ca="1">OFFSET('IWP23'!UnitsOfServicePeriod1, 0, 12, 1, 1)</f>
        <v>0</v>
      </c>
      <c r="Q440" s="128">
        <f ca="1">IF(OFFSET('IWP23'!UnitsOfServicePeriod1, 0, 13, 1, 1) = "", 0, OFFSET('IWP23'!UnitsOfServicePeriod1, 0, 13, 1, 1))</f>
        <v>0</v>
      </c>
      <c r="R440" s="128">
        <f ca="1">OFFSET('IWP23'!UnitsOfServicePeriod1, 0, 14, 1, 1)</f>
        <v>0</v>
      </c>
      <c r="S440" s="128">
        <f ca="1">IF(OFFSET('IWP23'!UnitsOfServicePeriod1, 0, 15, 1, 1) = "", 0, OFFSET('IWP23'!UnitsOfServicePeriod1, 0, 15, 1, 1))</f>
        <v>0</v>
      </c>
      <c r="T440" s="128">
        <f ca="1">IF(OFFSET('IWP23'!UnitsOfServicePeriod1, 0, 16, 1, 1) = "", 0, OFFSET('IWP23'!UnitsOfServicePeriod1, 0, 16, 1, 1))</f>
        <v>0</v>
      </c>
      <c r="U440" s="128">
        <f ca="1">OFFSET('IWP23'!UnitsOfServicePeriod1, 0, 17, 1, 1)</f>
        <v>0</v>
      </c>
      <c r="V440" s="128">
        <f ca="1">IF(OFFSET('IWP23'!UnitsOfServicePeriod1, 0, 19, 1, 1) = "", 0, OFFSET('IWP23'!UnitsOfServicePeriod1, 0, 19, 1, 1))</f>
        <v>0</v>
      </c>
      <c r="W440" s="128">
        <f ca="1">OFFSET('IWP23'!UnitsOfServicePeriod1, 0, 20, 1, 1)</f>
        <v>0</v>
      </c>
      <c r="X440" s="128">
        <f ca="1">IF(OFFSET('IWP23'!UnitsOfServicePeriod1, 0, 21, 1, 1) = "", 0, OFFSET('IWP23'!UnitsOfServicePeriod1, 0, 21, 1, 1))</f>
        <v>0</v>
      </c>
      <c r="Y440" s="137">
        <f ca="1">OFFSET('IWP23'!UnitsOfServicePeriod1, 0, 22, 1, 1)</f>
        <v>0</v>
      </c>
    </row>
    <row r="441" spans="1:25">
      <c r="A441" s="125" t="s">
        <v>496</v>
      </c>
      <c r="B441" s="128">
        <v>1</v>
      </c>
      <c r="C441" s="128">
        <v>2</v>
      </c>
      <c r="D441" s="107">
        <f ca="1">IF(OFFSET('IWP23'!UnitsOfServicePeriod1, 1, 0, 1, 1)=DATE(1900,1,0), DATE(1900,1,1),OFFSET('IWP23'!UnitsOfServicePeriod1, 1, 0, 1, 1))</f>
        <v>1</v>
      </c>
      <c r="E441" s="107">
        <f ca="1">IF(OFFSET('IWP23'!UnitsOfServicePeriod1, 1, 1, 1, 1)=DATE(1900,1,0), DATE(1900,1,1),OFFSET('IWP23'!UnitsOfServicePeriod1, 1, 1, 1, 1))</f>
        <v>1</v>
      </c>
      <c r="F441" s="128">
        <f ca="1">OFFSET('IWP23'!UnitsOfServicePeriod1, 1, 2, 1, 1)</f>
        <v>0</v>
      </c>
      <c r="G441" s="128">
        <f ca="1">IF(OFFSET('IWP23'!UnitsOfServicePeriod1, 1, 3, 1, 1) = "", 0, OFFSET('IWP23'!UnitsOfServicePeriod1, 1, 3, 1, 1))</f>
        <v>0</v>
      </c>
      <c r="H441" s="128">
        <f ca="1">OFFSET('IWP23'!UnitsOfServicePeriod1, 1, 4, 1, 1)</f>
        <v>0</v>
      </c>
      <c r="I441" s="128">
        <f ca="1">IF(OFFSET('IWP23'!UnitsOfServicePeriod1, 1, 5, 1, 1) = "", 0, OFFSET('IWP23'!UnitsOfServicePeriod1, 1, 5, 1, 1))</f>
        <v>0</v>
      </c>
      <c r="J441" s="128">
        <f ca="1">OFFSET('IWP23'!UnitsOfServicePeriod1, 1, 6, 1, 1)</f>
        <v>0</v>
      </c>
      <c r="K441" s="128">
        <f ca="1">IF(OFFSET('IWP23'!UnitsOfServicePeriod1, 1, 7, 1, 1) = "", 0, OFFSET('IWP23'!UnitsOfServicePeriod1, 1, 7, 1, 1))</f>
        <v>0</v>
      </c>
      <c r="L441" s="128">
        <f ca="1">OFFSET('IWP23'!UnitsOfServicePeriod1, 1, 8, 1, 1)</f>
        <v>0</v>
      </c>
      <c r="M441" s="128">
        <f ca="1">IF(OFFSET('IWP23'!UnitsOfServicePeriod1, 1, 9, 1, 1) = "", 0, OFFSET('IWP23'!UnitsOfServicePeriod1, 1, 9, 1, 1))</f>
        <v>0</v>
      </c>
      <c r="N441" s="128">
        <f ca="1">OFFSET('IWP23'!UnitsOfServicePeriod1, 1, 10, 1, 1)</f>
        <v>0</v>
      </c>
      <c r="O441" s="128">
        <f ca="1">IF(OFFSET('IWP23'!UnitsOfServicePeriod1, 1, 11, 1, 1) = "", 0, OFFSET('IWP23'!UnitsOfServicePeriod1, 1, 11, 1, 1))</f>
        <v>0</v>
      </c>
      <c r="P441" s="128">
        <f ca="1">OFFSET('IWP23'!UnitsOfServicePeriod1, 1, 12, 1, 1)</f>
        <v>0</v>
      </c>
      <c r="Q441" s="128">
        <f ca="1">IF(OFFSET('IWP23'!UnitsOfServicePeriod1, 1, 13, 1, 1) = "", 0, OFFSET('IWP23'!UnitsOfServicePeriod1, 1, 13, 1, 1))</f>
        <v>0</v>
      </c>
      <c r="R441" s="128">
        <f ca="1">OFFSET('IWP23'!UnitsOfServicePeriod1, 1, 14, 1, 1)</f>
        <v>0</v>
      </c>
      <c r="S441" s="128">
        <f ca="1">IF(OFFSET('IWP23'!UnitsOfServicePeriod1, 1, 15, 1, 1) = "", 0, OFFSET('IWP23'!UnitsOfServicePeriod1, 1, 15, 1, 1))</f>
        <v>0</v>
      </c>
      <c r="T441" s="128">
        <f ca="1">IF(OFFSET('IWP23'!UnitsOfServicePeriod1, 1, 16, 1, 1) = "", 0, OFFSET('IWP23'!UnitsOfServicePeriod1, 1, 16, 1, 1))</f>
        <v>0</v>
      </c>
      <c r="U441" s="128">
        <f ca="1">OFFSET('IWP23'!UnitsOfServicePeriod1, 1, 17, 1, 1)</f>
        <v>0</v>
      </c>
      <c r="V441" s="128">
        <f ca="1">IF(OFFSET('IWP23'!UnitsOfServicePeriod1, 1, 19, 1, 1) = "", 0, OFFSET('IWP23'!UnitsOfServicePeriod1, 1, 19, 1, 1))</f>
        <v>0</v>
      </c>
      <c r="W441" s="128">
        <f ca="1">OFFSET('IWP23'!UnitsOfServicePeriod1, 1, 20, 1, 1)</f>
        <v>0</v>
      </c>
      <c r="X441" s="128">
        <f ca="1">IF(OFFSET('IWP23'!UnitsOfServicePeriod1, 1, 21, 1, 1) = "", 0, OFFSET('IWP23'!UnitsOfServicePeriod1, 1, 21, 1, 1))</f>
        <v>0</v>
      </c>
      <c r="Y441" s="137">
        <f ca="1">OFFSET('IWP23'!UnitsOfServicePeriod1, 1, 22, 1, 1)</f>
        <v>0</v>
      </c>
    </row>
    <row r="442" spans="1:25">
      <c r="A442" s="125" t="s">
        <v>496</v>
      </c>
      <c r="B442" s="128">
        <v>1</v>
      </c>
      <c r="C442" s="128">
        <v>3</v>
      </c>
      <c r="D442" s="107">
        <f ca="1">IF(OFFSET('IWP23'!UnitsOfServicePeriod1, 2, 0, 1, 1)=DATE(1900,1,0), DATE(1900,1,1),OFFSET('IWP23'!UnitsOfServicePeriod1, 2, 0, 1, 1))</f>
        <v>1</v>
      </c>
      <c r="E442" s="107">
        <f ca="1">IF(OFFSET('IWP23'!UnitsOfServicePeriod1, 2, 1, 1, 1)=DATE(1900,1,0), DATE(1900,1,1),OFFSET('IWP23'!UnitsOfServicePeriod1, 2, 1, 1, 1))</f>
        <v>1</v>
      </c>
      <c r="F442" s="128">
        <f ca="1">OFFSET('IWP23'!UnitsOfServicePeriod1, 2, 2, 1, 1)</f>
        <v>0</v>
      </c>
      <c r="G442" s="128">
        <f ca="1">IF(OFFSET('IWP23'!UnitsOfServicePeriod1, 2, 3, 1, 1) = "", 0, OFFSET('IWP23'!UnitsOfServicePeriod1, 2, 3, 1, 1))</f>
        <v>0</v>
      </c>
      <c r="H442" s="128">
        <f ca="1">OFFSET('IWP23'!UnitsOfServicePeriod1, 2, 4, 1, 1)</f>
        <v>0</v>
      </c>
      <c r="I442" s="128">
        <f ca="1">IF(OFFSET('IWP23'!UnitsOfServicePeriod1, 2, 5, 1, 1) = "", 0, OFFSET('IWP23'!UnitsOfServicePeriod1, 2, 5, 1, 1))</f>
        <v>0</v>
      </c>
      <c r="J442" s="128">
        <f ca="1">OFFSET('IWP23'!UnitsOfServicePeriod1, 2, 6, 1, 1)</f>
        <v>0</v>
      </c>
      <c r="K442" s="128">
        <f ca="1">IF(OFFSET('IWP23'!UnitsOfServicePeriod1, 2, 7, 1, 1) = "", 0, OFFSET('IWP23'!UnitsOfServicePeriod1, 2, 7, 1, 1))</f>
        <v>0</v>
      </c>
      <c r="L442" s="128">
        <f ca="1">OFFSET('IWP23'!UnitsOfServicePeriod1, 2, 8, 1, 1)</f>
        <v>0</v>
      </c>
      <c r="M442" s="128">
        <f ca="1">IF(OFFSET('IWP23'!UnitsOfServicePeriod1, 2, 9, 1, 1) = "", 0, OFFSET('IWP23'!UnitsOfServicePeriod1, 2, 9, 1, 1))</f>
        <v>0</v>
      </c>
      <c r="N442" s="128">
        <f ca="1">OFFSET('IWP23'!UnitsOfServicePeriod1, 2, 10, 1, 1)</f>
        <v>0</v>
      </c>
      <c r="O442" s="128">
        <f ca="1">IF(OFFSET('IWP23'!UnitsOfServicePeriod1, 2, 11, 1, 1) = "", 0, OFFSET('IWP23'!UnitsOfServicePeriod1, 2, 11, 1, 1))</f>
        <v>0</v>
      </c>
      <c r="P442" s="128">
        <f ca="1">OFFSET('IWP23'!UnitsOfServicePeriod1, 2, 12, 1, 1)</f>
        <v>0</v>
      </c>
      <c r="Q442" s="128">
        <f ca="1">IF(OFFSET('IWP23'!UnitsOfServicePeriod1, 2, 13, 1, 1) = "", 0, OFFSET('IWP23'!UnitsOfServicePeriod1, 2, 13, 1, 1))</f>
        <v>0</v>
      </c>
      <c r="R442" s="128">
        <f ca="1">OFFSET('IWP23'!UnitsOfServicePeriod1, 2, 14, 1, 1)</f>
        <v>0</v>
      </c>
      <c r="S442" s="128">
        <f ca="1">IF(OFFSET('IWP23'!UnitsOfServicePeriod1, 2, 15, 1, 1) = "", 0, OFFSET('IWP23'!UnitsOfServicePeriod1, 2, 15, 1, 1))</f>
        <v>0</v>
      </c>
      <c r="T442" s="128">
        <f ca="1">IF(OFFSET('IWP23'!UnitsOfServicePeriod1, 2, 16, 1, 1) = "", 0, OFFSET('IWP23'!UnitsOfServicePeriod1, 2, 16, 1, 1))</f>
        <v>0</v>
      </c>
      <c r="U442" s="128">
        <f ca="1">OFFSET('IWP23'!UnitsOfServicePeriod1, 2, 17, 1, 1)</f>
        <v>0</v>
      </c>
      <c r="V442" s="128">
        <f ca="1">IF(OFFSET('IWP23'!UnitsOfServicePeriod1, 2, 19, 1, 1) = "", 0, OFFSET('IWP23'!UnitsOfServicePeriod1, 2, 19, 1, 1))</f>
        <v>0</v>
      </c>
      <c r="W442" s="128">
        <f ca="1">OFFSET('IWP23'!UnitsOfServicePeriod1, 2, 20, 1, 1)</f>
        <v>0</v>
      </c>
      <c r="X442" s="128">
        <f ca="1">IF(OFFSET('IWP23'!UnitsOfServicePeriod1, 2, 21, 1, 1) = "", 0, OFFSET('IWP23'!UnitsOfServicePeriod1, 2, 21, 1, 1))</f>
        <v>0</v>
      </c>
      <c r="Y442" s="137">
        <f ca="1">OFFSET('IWP23'!UnitsOfServicePeriod1, 2, 22, 1, 1)</f>
        <v>0</v>
      </c>
    </row>
    <row r="443" spans="1:25">
      <c r="A443" s="125" t="s">
        <v>496</v>
      </c>
      <c r="B443" s="128">
        <v>1</v>
      </c>
      <c r="C443" s="128">
        <v>4</v>
      </c>
      <c r="D443" s="107">
        <f ca="1">IF(OFFSET('IWP23'!UnitsOfServicePeriod1, 3, 0, 1, 1)=DATE(1900,1,0), DATE(1900,1,1),OFFSET('IWP23'!UnitsOfServicePeriod1, 3, 0, 1, 1))</f>
        <v>1</v>
      </c>
      <c r="E443" s="107">
        <f ca="1">IF(OFFSET('IWP23'!UnitsOfServicePeriod1, 3, 1, 1, 1)=DATE(1900,1,0), DATE(1900,1,1),OFFSET('IWP23'!UnitsOfServicePeriod1, 3, 1, 1, 1))</f>
        <v>1</v>
      </c>
      <c r="F443" s="128">
        <f ca="1">OFFSET('IWP23'!UnitsOfServicePeriod1, 3, 2, 1, 1)</f>
        <v>0</v>
      </c>
      <c r="G443" s="128">
        <f ca="1">IF(OFFSET('IWP23'!UnitsOfServicePeriod1, 3, 3, 1, 1) = "", 0, OFFSET('IWP23'!UnitsOfServicePeriod1, 3, 3, 1, 1))</f>
        <v>0</v>
      </c>
      <c r="H443" s="128">
        <f ca="1">OFFSET('IWP23'!UnitsOfServicePeriod1, 3, 4, 1, 1)</f>
        <v>0</v>
      </c>
      <c r="I443" s="128">
        <f ca="1">IF(OFFSET('IWP23'!UnitsOfServicePeriod1, 3, 5, 1, 1) = "", 0, OFFSET('IWP23'!UnitsOfServicePeriod1, 3, 5, 1, 1))</f>
        <v>0</v>
      </c>
      <c r="J443" s="128">
        <f ca="1">OFFSET('IWP23'!UnitsOfServicePeriod1, 3, 6, 1, 1)</f>
        <v>0</v>
      </c>
      <c r="K443" s="128">
        <f ca="1">IF(OFFSET('IWP23'!UnitsOfServicePeriod1, 3, 7, 1, 1) = "", 0, OFFSET('IWP23'!UnitsOfServicePeriod1, 3, 7, 1, 1))</f>
        <v>0</v>
      </c>
      <c r="L443" s="128">
        <f ca="1">OFFSET('IWP23'!UnitsOfServicePeriod1, 3, 8, 1, 1)</f>
        <v>0</v>
      </c>
      <c r="M443" s="128">
        <f ca="1">IF(OFFSET('IWP23'!UnitsOfServicePeriod1, 3, 9, 1, 1) = "", 0, OFFSET('IWP23'!UnitsOfServicePeriod1, 3, 9, 1, 1))</f>
        <v>0</v>
      </c>
      <c r="N443" s="128">
        <f ca="1">OFFSET('IWP23'!UnitsOfServicePeriod1, 3, 10, 1, 1)</f>
        <v>0</v>
      </c>
      <c r="O443" s="128">
        <f ca="1">IF(OFFSET('IWP23'!UnitsOfServicePeriod1, 3, 11, 1, 1) = "", 0, OFFSET('IWP23'!UnitsOfServicePeriod1, 3, 11, 1, 1))</f>
        <v>0</v>
      </c>
      <c r="P443" s="128">
        <f ca="1">OFFSET('IWP23'!UnitsOfServicePeriod1, 3, 12, 1, 1)</f>
        <v>0</v>
      </c>
      <c r="Q443" s="128">
        <f ca="1">IF(OFFSET('IWP23'!UnitsOfServicePeriod1, 3, 13, 1, 1) = "", 0, OFFSET('IWP23'!UnitsOfServicePeriod1, 3, 13, 1, 1))</f>
        <v>0</v>
      </c>
      <c r="R443" s="128">
        <f ca="1">OFFSET('IWP23'!UnitsOfServicePeriod1, 3, 14, 1, 1)</f>
        <v>0</v>
      </c>
      <c r="S443" s="128">
        <f ca="1">IF(OFFSET('IWP23'!UnitsOfServicePeriod1, 3, 15, 1, 1) = "", 0, OFFSET('IWP23'!UnitsOfServicePeriod1, 3, 15, 1, 1))</f>
        <v>0</v>
      </c>
      <c r="T443" s="128">
        <f ca="1">IF(OFFSET('IWP23'!UnitsOfServicePeriod1, 3, 16, 1, 1) = "", 0, OFFSET('IWP23'!UnitsOfServicePeriod1, 3, 16, 1, 1))</f>
        <v>0</v>
      </c>
      <c r="U443" s="128">
        <f ca="1">OFFSET('IWP23'!UnitsOfServicePeriod1, 3, 17, 1, 1)</f>
        <v>0</v>
      </c>
      <c r="V443" s="128">
        <f ca="1">IF(OFFSET('IWP23'!UnitsOfServicePeriod1, 3, 19, 1, 1) = "", 0, OFFSET('IWP23'!UnitsOfServicePeriod1, 3, 19, 1, 1))</f>
        <v>0</v>
      </c>
      <c r="W443" s="128">
        <f ca="1">OFFSET('IWP23'!UnitsOfServicePeriod1, 3, 20, 1, 1)</f>
        <v>0</v>
      </c>
      <c r="X443" s="128">
        <f ca="1">IF(OFFSET('IWP23'!UnitsOfServicePeriod1, 3, 21, 1, 1) = "", 0, OFFSET('IWP23'!UnitsOfServicePeriod1, 3, 21, 1, 1))</f>
        <v>0</v>
      </c>
      <c r="Y443" s="137">
        <f ca="1">OFFSET('IWP23'!UnitsOfServicePeriod1, 3, 22, 1, 1)</f>
        <v>0</v>
      </c>
    </row>
    <row r="444" spans="1:25">
      <c r="A444" s="125" t="s">
        <v>496</v>
      </c>
      <c r="B444" s="128">
        <v>1</v>
      </c>
      <c r="C444" s="128">
        <v>5</v>
      </c>
      <c r="D444" s="107">
        <f ca="1">IF(OFFSET('IWP23'!UnitsOfServicePeriod1, 4, 0, 1, 1)=DATE(1900,1,0), DATE(1900,1,1),OFFSET('IWP23'!UnitsOfServicePeriod1, 4, 0, 1, 1))</f>
        <v>1</v>
      </c>
      <c r="E444" s="107">
        <f ca="1">IF(OFFSET('IWP23'!UnitsOfServicePeriod1, 4, 1, 1, 1)=DATE(1900,1,0), DATE(1900,1,1),OFFSET('IWP23'!UnitsOfServicePeriod1, 4, 1, 1, 1))</f>
        <v>1</v>
      </c>
      <c r="F444" s="128">
        <f ca="1">OFFSET('IWP23'!UnitsOfServicePeriod1, 4, 2, 1, 1)</f>
        <v>0</v>
      </c>
      <c r="G444" s="128">
        <f ca="1">IF(OFFSET('IWP23'!UnitsOfServicePeriod1, 4, 3, 1, 1) = "", 0, OFFSET('IWP23'!UnitsOfServicePeriod1, 4, 3, 1, 1))</f>
        <v>0</v>
      </c>
      <c r="H444" s="128">
        <f ca="1">OFFSET('IWP23'!UnitsOfServicePeriod1, 4, 4, 1, 1)</f>
        <v>0</v>
      </c>
      <c r="I444" s="128">
        <f ca="1">IF(OFFSET('IWP23'!UnitsOfServicePeriod1, 4, 5, 1, 1) = "", 0, OFFSET('IWP23'!UnitsOfServicePeriod1, 4, 5, 1, 1))</f>
        <v>0</v>
      </c>
      <c r="J444" s="128">
        <f ca="1">OFFSET('IWP23'!UnitsOfServicePeriod1, 4, 6, 1, 1)</f>
        <v>0</v>
      </c>
      <c r="K444" s="128">
        <f ca="1">IF(OFFSET('IWP23'!UnitsOfServicePeriod1, 4, 7, 1, 1) = "", 0, OFFSET('IWP23'!UnitsOfServicePeriod1, 4, 7, 1, 1))</f>
        <v>0</v>
      </c>
      <c r="L444" s="128">
        <f ca="1">OFFSET('IWP23'!UnitsOfServicePeriod1, 4, 8, 1, 1)</f>
        <v>0</v>
      </c>
      <c r="M444" s="128">
        <f ca="1">IF(OFFSET('IWP23'!UnitsOfServicePeriod1, 4, 9, 1, 1) = "", 0, OFFSET('IWP23'!UnitsOfServicePeriod1, 4, 9, 1, 1))</f>
        <v>0</v>
      </c>
      <c r="N444" s="128">
        <f ca="1">OFFSET('IWP23'!UnitsOfServicePeriod1, 4, 10, 1, 1)</f>
        <v>0</v>
      </c>
      <c r="O444" s="128">
        <f ca="1">IF(OFFSET('IWP23'!UnitsOfServicePeriod1, 4, 11, 1, 1) = "", 0, OFFSET('IWP23'!UnitsOfServicePeriod1, 4, 11, 1, 1))</f>
        <v>0</v>
      </c>
      <c r="P444" s="128">
        <f ca="1">OFFSET('IWP23'!UnitsOfServicePeriod1, 4, 12, 1, 1)</f>
        <v>0</v>
      </c>
      <c r="Q444" s="128">
        <f ca="1">IF(OFFSET('IWP23'!UnitsOfServicePeriod1, 4, 13, 1, 1) = "", 0, OFFSET('IWP23'!UnitsOfServicePeriod1, 4, 13, 1, 1))</f>
        <v>0</v>
      </c>
      <c r="R444" s="128">
        <f ca="1">OFFSET('IWP23'!UnitsOfServicePeriod1, 4, 14, 1, 1)</f>
        <v>0</v>
      </c>
      <c r="S444" s="128">
        <f ca="1">IF(OFFSET('IWP23'!UnitsOfServicePeriod1, 4, 15, 1, 1) = "", 0, OFFSET('IWP23'!UnitsOfServicePeriod1, 4, 15, 1, 1))</f>
        <v>0</v>
      </c>
      <c r="T444" s="128">
        <f ca="1">IF(OFFSET('IWP23'!UnitsOfServicePeriod1, 4, 16, 1, 1) = "", 0, OFFSET('IWP23'!UnitsOfServicePeriod1, 4, 16, 1, 1))</f>
        <v>0</v>
      </c>
      <c r="U444" s="128">
        <f ca="1">OFFSET('IWP23'!UnitsOfServicePeriod1, 4, 17, 1, 1)</f>
        <v>0</v>
      </c>
      <c r="V444" s="128">
        <f ca="1">IF(OFFSET('IWP23'!UnitsOfServicePeriod1, 4, 19, 1, 1) = "", 0, OFFSET('IWP23'!UnitsOfServicePeriod1, 4, 19, 1, 1))</f>
        <v>0</v>
      </c>
      <c r="W444" s="128">
        <f ca="1">OFFSET('IWP23'!UnitsOfServicePeriod1, 4, 20, 1, 1)</f>
        <v>0</v>
      </c>
      <c r="X444" s="128">
        <f ca="1">IF(OFFSET('IWP23'!UnitsOfServicePeriod1, 4, 21, 1, 1) = "", 0, OFFSET('IWP23'!UnitsOfServicePeriod1, 4, 21, 1, 1))</f>
        <v>0</v>
      </c>
      <c r="Y444" s="137">
        <f ca="1">OFFSET('IWP23'!UnitsOfServicePeriod1, 4, 22, 1, 1)</f>
        <v>0</v>
      </c>
    </row>
    <row r="445" spans="1:25">
      <c r="A445" s="125" t="s">
        <v>496</v>
      </c>
      <c r="B445" s="128">
        <v>1</v>
      </c>
      <c r="C445" s="128">
        <v>6</v>
      </c>
      <c r="D445" s="107">
        <f ca="1">IF(OFFSET('IWP23'!UnitsOfServicePeriod1, 5, 0, 1, 1)=DATE(1900,1,0), DATE(1900,1,1),OFFSET('IWP23'!UnitsOfServicePeriod1, 5, 0, 1, 1))</f>
        <v>1</v>
      </c>
      <c r="E445" s="107">
        <f ca="1">IF(OFFSET('IWP23'!UnitsOfServicePeriod1, 5, 1, 1, 1)=DATE(1900,1,0), DATE(1900,1,1),OFFSET('IWP23'!UnitsOfServicePeriod1, 5, 1, 1, 1))</f>
        <v>1</v>
      </c>
      <c r="F445" s="128">
        <f ca="1">OFFSET('IWP23'!UnitsOfServicePeriod1, 5, 2, 1, 1)</f>
        <v>0</v>
      </c>
      <c r="G445" s="128">
        <f ca="1">IF(OFFSET('IWP23'!UnitsOfServicePeriod1, 5, 3, 1, 1) = "", 0, OFFSET('IWP23'!UnitsOfServicePeriod1, 5, 3, 1, 1))</f>
        <v>0</v>
      </c>
      <c r="H445" s="128">
        <f ca="1">OFFSET('IWP23'!UnitsOfServicePeriod1, 5, 4, 1, 1)</f>
        <v>0</v>
      </c>
      <c r="I445" s="128">
        <f ca="1">IF(OFFSET('IWP23'!UnitsOfServicePeriod1, 5, 5, 1, 1) = "", 0, OFFSET('IWP23'!UnitsOfServicePeriod1, 5, 5, 1, 1))</f>
        <v>0</v>
      </c>
      <c r="J445" s="128">
        <f ca="1">OFFSET('IWP23'!UnitsOfServicePeriod1, 5, 6, 1, 1)</f>
        <v>0</v>
      </c>
      <c r="K445" s="128">
        <f ca="1">IF(OFFSET('IWP23'!UnitsOfServicePeriod1, 5, 7, 1, 1) = "", 0, OFFSET('IWP23'!UnitsOfServicePeriod1, 5, 7, 1, 1))</f>
        <v>0</v>
      </c>
      <c r="L445" s="128">
        <f ca="1">OFFSET('IWP23'!UnitsOfServicePeriod1, 5, 8, 1, 1)</f>
        <v>0</v>
      </c>
      <c r="M445" s="128">
        <f ca="1">IF(OFFSET('IWP23'!UnitsOfServicePeriod1, 5, 9, 1, 1) = "", 0, OFFSET('IWP23'!UnitsOfServicePeriod1, 5, 9, 1, 1))</f>
        <v>0</v>
      </c>
      <c r="N445" s="128">
        <f ca="1">OFFSET('IWP23'!UnitsOfServicePeriod1, 5, 10, 1, 1)</f>
        <v>0</v>
      </c>
      <c r="O445" s="128">
        <f ca="1">IF(OFFSET('IWP23'!UnitsOfServicePeriod1, 5, 11, 1, 1) = "", 0, OFFSET('IWP23'!UnitsOfServicePeriod1, 5, 11, 1, 1))</f>
        <v>0</v>
      </c>
      <c r="P445" s="128">
        <f ca="1">OFFSET('IWP23'!UnitsOfServicePeriod1, 5, 12, 1, 1)</f>
        <v>0</v>
      </c>
      <c r="Q445" s="128">
        <f ca="1">IF(OFFSET('IWP23'!UnitsOfServicePeriod1, 5, 13, 1, 1) = "", 0, OFFSET('IWP23'!UnitsOfServicePeriod1, 5, 13, 1, 1))</f>
        <v>0</v>
      </c>
      <c r="R445" s="128">
        <f ca="1">OFFSET('IWP23'!UnitsOfServicePeriod1, 5, 14, 1, 1)</f>
        <v>0</v>
      </c>
      <c r="S445" s="128">
        <f ca="1">IF(OFFSET('IWP23'!UnitsOfServicePeriod1, 5, 15, 1, 1) = "", 0, OFFSET('IWP23'!UnitsOfServicePeriod1, 5, 15, 1, 1))</f>
        <v>0</v>
      </c>
      <c r="T445" s="128">
        <f ca="1">IF(OFFSET('IWP23'!UnitsOfServicePeriod1, 5, 16, 1, 1) = "", 0, OFFSET('IWP23'!UnitsOfServicePeriod1, 5, 16, 1, 1))</f>
        <v>0</v>
      </c>
      <c r="U445" s="128">
        <f ca="1">OFFSET('IWP23'!UnitsOfServicePeriod1, 5, 17, 1, 1)</f>
        <v>0</v>
      </c>
      <c r="V445" s="128">
        <f ca="1">IF(OFFSET('IWP23'!UnitsOfServicePeriod1, 5, 19, 1, 1) = "", 0, OFFSET('IWP23'!UnitsOfServicePeriod1, 5, 19, 1, 1))</f>
        <v>0</v>
      </c>
      <c r="W445" s="128">
        <f ca="1">OFFSET('IWP23'!UnitsOfServicePeriod1, 5, 20, 1, 1)</f>
        <v>0</v>
      </c>
      <c r="X445" s="128">
        <f ca="1">IF(OFFSET('IWP23'!UnitsOfServicePeriod1, 5, 21, 1, 1) = "", 0, OFFSET('IWP23'!UnitsOfServicePeriod1, 5, 21, 1, 1))</f>
        <v>0</v>
      </c>
      <c r="Y445" s="137">
        <f ca="1">OFFSET('IWP23'!UnitsOfServicePeriod1, 5, 22, 1, 1)</f>
        <v>0</v>
      </c>
    </row>
    <row r="446" spans="1:25">
      <c r="A446" s="125" t="s">
        <v>496</v>
      </c>
      <c r="B446" s="128">
        <v>2</v>
      </c>
      <c r="C446" s="128">
        <v>1</v>
      </c>
      <c r="D446" s="107">
        <f ca="1">IF(OFFSET('IWP23'!UnitsOfServicePeriod2, 0, 0, 1, 1)=DATE(1900,1,0), DATE(1900,1,1),OFFSET('IWP23'!UnitsOfServicePeriod2, 0, 0, 1, 1))</f>
        <v>1</v>
      </c>
      <c r="E446" s="107">
        <f ca="1">IF(OFFSET('IWP23'!UnitsOfServicePeriod2, 0, 1, 1, 1)=DATE(1900,1,0), DATE(1900,1,1),OFFSET('IWP23'!UnitsOfServicePeriod2, 0, 1, 1, 1))</f>
        <v>1</v>
      </c>
      <c r="F446" s="128">
        <f ca="1">OFFSET('IWP23'!UnitsOfServicePeriod2, 0, 2, 1, 1)</f>
        <v>0</v>
      </c>
      <c r="G446" s="128">
        <f ca="1">IF(OFFSET('IWP23'!UnitsOfServicePeriod2, 0, 3, 1, 1) = "", 0, OFFSET('IWP23'!UnitsOfServicePeriod2, 0, 3, 1, 1))</f>
        <v>0</v>
      </c>
      <c r="H446" s="128">
        <f ca="1">OFFSET('IWP23'!UnitsOfServicePeriod2, 0, 4, 1, 1)</f>
        <v>0</v>
      </c>
      <c r="I446" s="128">
        <f ca="1">IF(OFFSET('IWP23'!UnitsOfServicePeriod2, 0, 5, 1, 1) = "", 0, OFFSET('IWP23'!UnitsOfServicePeriod2, 0, 5, 1, 1))</f>
        <v>0</v>
      </c>
      <c r="J446" s="128">
        <f ca="1">OFFSET('IWP23'!UnitsOfServicePeriod2, 0, 6, 1, 1)</f>
        <v>0</v>
      </c>
      <c r="K446" s="128">
        <f ca="1">IF(OFFSET('IWP23'!UnitsOfServicePeriod2, 0, 7, 1, 1) = "", 0, OFFSET('IWP23'!UnitsOfServicePeriod2, 0, 7, 1, 1))</f>
        <v>0</v>
      </c>
      <c r="L446" s="128">
        <f ca="1">OFFSET('IWP23'!UnitsOfServicePeriod2, 0, 8, 1, 1)</f>
        <v>0</v>
      </c>
      <c r="M446" s="128">
        <f ca="1">IF(OFFSET('IWP23'!UnitsOfServicePeriod2, 0, 9, 1, 1) = "", 0, OFFSET('IWP23'!UnitsOfServicePeriod2, 0, 9, 1, 1))</f>
        <v>0</v>
      </c>
      <c r="N446" s="128">
        <f ca="1">OFFSET('IWP23'!UnitsOfServicePeriod2, 0, 10, 1, 1)</f>
        <v>0</v>
      </c>
      <c r="O446" s="128">
        <f ca="1">IF(OFFSET('IWP23'!UnitsOfServicePeriod2, 0, 11, 1, 1) = "", 0, OFFSET('IWP23'!UnitsOfServicePeriod2, 0, 11, 1, 1))</f>
        <v>0</v>
      </c>
      <c r="P446" s="128">
        <f ca="1">OFFSET('IWP23'!UnitsOfServicePeriod2, 0, 12, 1, 1)</f>
        <v>0</v>
      </c>
      <c r="Q446" s="128">
        <f ca="1">IF(OFFSET('IWP23'!UnitsOfServicePeriod2, 0, 13, 1, 1) = "", 0, OFFSET('IWP23'!UnitsOfServicePeriod2, 0, 13, 1, 1))</f>
        <v>0</v>
      </c>
      <c r="R446" s="128">
        <f ca="1">OFFSET('IWP23'!UnitsOfServicePeriod2, 0, 14, 1, 1)</f>
        <v>0</v>
      </c>
      <c r="S446" s="128">
        <f ca="1">IF(OFFSET('IWP23'!UnitsOfServicePeriod2, 0, 15, 1, 1) = "", 0, OFFSET('IWP23'!UnitsOfServicePeriod2, 0, 15, 1, 1))</f>
        <v>0</v>
      </c>
      <c r="T446" s="128">
        <f ca="1">IF(OFFSET('IWP23'!UnitsOfServicePeriod2, 0, 16, 1, 1) = "", 0, OFFSET('IWP23'!UnitsOfServicePeriod2, 0, 16, 1, 1))</f>
        <v>0</v>
      </c>
      <c r="U446" s="128">
        <f ca="1">OFFSET('IWP23'!UnitsOfServicePeriod2, 0, 17, 1, 1)</f>
        <v>0</v>
      </c>
      <c r="V446" s="128">
        <f ca="1">IF(OFFSET('IWP23'!UnitsOfServicePeriod2, 0, 19, 1, 1) = "", 0, OFFSET('IWP23'!UnitsOfServicePeriod2, 0, 19, 1, 1))</f>
        <v>0</v>
      </c>
      <c r="W446" s="128">
        <f ca="1">OFFSET('IWP23'!UnitsOfServicePeriod2, 0, 20, 1, 1)</f>
        <v>0</v>
      </c>
      <c r="X446" s="128">
        <f ca="1">IF(OFFSET('IWP23'!UnitsOfServicePeriod2, 0, 21, 1, 1) = "", 0, OFFSET('IWP23'!UnitsOfServicePeriod2, 0, 21, 1, 1))</f>
        <v>0</v>
      </c>
      <c r="Y446" s="137">
        <f ca="1">OFFSET('IWP23'!UnitsOfServicePeriod2, 0, 22, 1, 1)</f>
        <v>0</v>
      </c>
    </row>
    <row r="447" spans="1:25">
      <c r="A447" s="125" t="s">
        <v>496</v>
      </c>
      <c r="B447" s="128">
        <v>2</v>
      </c>
      <c r="C447" s="128">
        <v>2</v>
      </c>
      <c r="D447" s="107">
        <f ca="1">IF(OFFSET('IWP23'!UnitsOfServicePeriod2, 1, 0, 1, 1)=DATE(1900,1,0), DATE(1900,1,1),OFFSET('IWP23'!UnitsOfServicePeriod2, 1, 0, 1, 1))</f>
        <v>1</v>
      </c>
      <c r="E447" s="107">
        <f ca="1">IF(OFFSET('IWP23'!UnitsOfServicePeriod2, 1, 1, 1, 1)=DATE(1900,1,0), DATE(1900,1,1),OFFSET('IWP23'!UnitsOfServicePeriod2, 1, 1, 1, 1))</f>
        <v>1</v>
      </c>
      <c r="F447" s="128">
        <f ca="1">OFFSET('IWP23'!UnitsOfServicePeriod2, 1, 2, 1, 1)</f>
        <v>0</v>
      </c>
      <c r="G447" s="128">
        <f ca="1">IF(OFFSET('IWP23'!UnitsOfServicePeriod2, 1, 3, 1, 1) = "", 0, OFFSET('IWP23'!UnitsOfServicePeriod2, 1, 3, 1, 1))</f>
        <v>0</v>
      </c>
      <c r="H447" s="128">
        <f ca="1">OFFSET('IWP23'!UnitsOfServicePeriod2, 1, 4, 1, 1)</f>
        <v>0</v>
      </c>
      <c r="I447" s="128">
        <f ca="1">IF(OFFSET('IWP23'!UnitsOfServicePeriod2, 1, 5, 1, 1) = "", 0, OFFSET('IWP23'!UnitsOfServicePeriod2, 1, 5, 1, 1))</f>
        <v>0</v>
      </c>
      <c r="J447" s="128">
        <f ca="1">OFFSET('IWP23'!UnitsOfServicePeriod2, 1, 6, 1, 1)</f>
        <v>0</v>
      </c>
      <c r="K447" s="128">
        <f ca="1">IF(OFFSET('IWP23'!UnitsOfServicePeriod2, 1, 7, 1, 1) = "", 0, OFFSET('IWP23'!UnitsOfServicePeriod2, 1, 7, 1, 1))</f>
        <v>0</v>
      </c>
      <c r="L447" s="128">
        <f ca="1">OFFSET('IWP23'!UnitsOfServicePeriod2, 1, 8, 1, 1)</f>
        <v>0</v>
      </c>
      <c r="M447" s="128">
        <f ca="1">IF(OFFSET('IWP23'!UnitsOfServicePeriod2, 1, 9, 1, 1) = "", 0, OFFSET('IWP23'!UnitsOfServicePeriod2, 1, 9, 1, 1))</f>
        <v>0</v>
      </c>
      <c r="N447" s="128">
        <f ca="1">OFFSET('IWP23'!UnitsOfServicePeriod2, 1, 10, 1, 1)</f>
        <v>0</v>
      </c>
      <c r="O447" s="128">
        <f ca="1">IF(OFFSET('IWP23'!UnitsOfServicePeriod2, 1, 11, 1, 1) = "", 0, OFFSET('IWP23'!UnitsOfServicePeriod2, 1, 11, 1, 1))</f>
        <v>0</v>
      </c>
      <c r="P447" s="128">
        <f ca="1">OFFSET('IWP23'!UnitsOfServicePeriod2, 1, 12, 1, 1)</f>
        <v>0</v>
      </c>
      <c r="Q447" s="128">
        <f ca="1">IF(OFFSET('IWP23'!UnitsOfServicePeriod2, 1, 13, 1, 1) = "", 0, OFFSET('IWP23'!UnitsOfServicePeriod2, 1, 13, 1, 1))</f>
        <v>0</v>
      </c>
      <c r="R447" s="128">
        <f ca="1">OFFSET('IWP23'!UnitsOfServicePeriod2, 1, 14, 1, 1)</f>
        <v>0</v>
      </c>
      <c r="S447" s="128">
        <f ca="1">IF(OFFSET('IWP23'!UnitsOfServicePeriod2, 1, 15, 1, 1) = "", 0, OFFSET('IWP23'!UnitsOfServicePeriod2, 1, 15, 1, 1))</f>
        <v>0</v>
      </c>
      <c r="T447" s="128">
        <f ca="1">IF(OFFSET('IWP23'!UnitsOfServicePeriod2, 1, 16, 1, 1) = "", 0, OFFSET('IWP23'!UnitsOfServicePeriod2, 1, 16, 1, 1))</f>
        <v>0</v>
      </c>
      <c r="U447" s="128">
        <f ca="1">OFFSET('IWP23'!UnitsOfServicePeriod2, 1, 17, 1, 1)</f>
        <v>0</v>
      </c>
      <c r="V447" s="128">
        <f ca="1">IF(OFFSET('IWP23'!UnitsOfServicePeriod2, 1, 19, 1, 1) = "", 0, OFFSET('IWP23'!UnitsOfServicePeriod2, 1, 19, 1, 1))</f>
        <v>0</v>
      </c>
      <c r="W447" s="128">
        <f ca="1">OFFSET('IWP23'!UnitsOfServicePeriod2, 1, 20, 1, 1)</f>
        <v>0</v>
      </c>
      <c r="X447" s="128">
        <f ca="1">IF(OFFSET('IWP23'!UnitsOfServicePeriod2, 1, 21, 1, 1) = "", 0, OFFSET('IWP23'!UnitsOfServicePeriod2, 1, 21, 1, 1))</f>
        <v>0</v>
      </c>
      <c r="Y447" s="137">
        <f ca="1">OFFSET('IWP23'!UnitsOfServicePeriod2, 1, 22, 1, 1)</f>
        <v>0</v>
      </c>
    </row>
    <row r="448" spans="1:25">
      <c r="A448" s="125" t="s">
        <v>496</v>
      </c>
      <c r="B448" s="128">
        <v>2</v>
      </c>
      <c r="C448" s="128">
        <v>3</v>
      </c>
      <c r="D448" s="107">
        <f ca="1">IF(OFFSET('IWP23'!UnitsOfServicePeriod2, 2, 0, 1, 1)=DATE(1900,1,0), DATE(1900,1,1),OFFSET('IWP23'!UnitsOfServicePeriod2, 2, 0, 1, 1))</f>
        <v>1</v>
      </c>
      <c r="E448" s="107">
        <f ca="1">IF(OFFSET('IWP23'!UnitsOfServicePeriod2, 2, 1, 1, 1)=DATE(1900,1,0), DATE(1900,1,1),OFFSET('IWP23'!UnitsOfServicePeriod2, 2, 1, 1, 1))</f>
        <v>1</v>
      </c>
      <c r="F448" s="128">
        <f ca="1">OFFSET('IWP23'!UnitsOfServicePeriod2, 2, 2, 1, 1)</f>
        <v>0</v>
      </c>
      <c r="G448" s="128">
        <f ca="1">IF(OFFSET('IWP23'!UnitsOfServicePeriod2, 2, 3, 1, 1) = "", 0, OFFSET('IWP23'!UnitsOfServicePeriod2, 2, 3, 1, 1))</f>
        <v>0</v>
      </c>
      <c r="H448" s="128">
        <f ca="1">OFFSET('IWP23'!UnitsOfServicePeriod2, 2, 4, 1, 1)</f>
        <v>0</v>
      </c>
      <c r="I448" s="128">
        <f ca="1">IF(OFFSET('IWP23'!UnitsOfServicePeriod2, 2, 5, 1, 1) = "", 0, OFFSET('IWP23'!UnitsOfServicePeriod2, 2, 5, 1, 1))</f>
        <v>0</v>
      </c>
      <c r="J448" s="128">
        <f ca="1">OFFSET('IWP23'!UnitsOfServicePeriod2, 2, 6, 1, 1)</f>
        <v>0</v>
      </c>
      <c r="K448" s="128">
        <f ca="1">IF(OFFSET('IWP23'!UnitsOfServicePeriod2, 2, 7, 1, 1) = "", 0, OFFSET('IWP23'!UnitsOfServicePeriod2, 2, 7, 1, 1))</f>
        <v>0</v>
      </c>
      <c r="L448" s="128">
        <f ca="1">OFFSET('IWP23'!UnitsOfServicePeriod2, 2, 8, 1, 1)</f>
        <v>0</v>
      </c>
      <c r="M448" s="128">
        <f ca="1">IF(OFFSET('IWP23'!UnitsOfServicePeriod2, 2, 9, 1, 1) = "", 0, OFFSET('IWP23'!UnitsOfServicePeriod2, 2, 9, 1, 1))</f>
        <v>0</v>
      </c>
      <c r="N448" s="128">
        <f ca="1">OFFSET('IWP23'!UnitsOfServicePeriod2, 2, 10, 1, 1)</f>
        <v>0</v>
      </c>
      <c r="O448" s="128">
        <f ca="1">IF(OFFSET('IWP23'!UnitsOfServicePeriod2, 2, 11, 1, 1) = "", 0, OFFSET('IWP23'!UnitsOfServicePeriod2, 2, 11, 1, 1))</f>
        <v>0</v>
      </c>
      <c r="P448" s="128">
        <f ca="1">OFFSET('IWP23'!UnitsOfServicePeriod2, 2, 12, 1, 1)</f>
        <v>0</v>
      </c>
      <c r="Q448" s="128">
        <f ca="1">IF(OFFSET('IWP23'!UnitsOfServicePeriod2, 2, 13, 1, 1) = "", 0, OFFSET('IWP23'!UnitsOfServicePeriod2, 2, 13, 1, 1))</f>
        <v>0</v>
      </c>
      <c r="R448" s="128">
        <f ca="1">OFFSET('IWP23'!UnitsOfServicePeriod2, 2, 14, 1, 1)</f>
        <v>0</v>
      </c>
      <c r="S448" s="128">
        <f ca="1">IF(OFFSET('IWP23'!UnitsOfServicePeriod2, 2, 15, 1, 1) = "", 0, OFFSET('IWP23'!UnitsOfServicePeriod2, 2, 15, 1, 1))</f>
        <v>0</v>
      </c>
      <c r="T448" s="128">
        <f ca="1">IF(OFFSET('IWP23'!UnitsOfServicePeriod2, 2, 16, 1, 1) = "", 0, OFFSET('IWP23'!UnitsOfServicePeriod2, 2, 16, 1, 1))</f>
        <v>0</v>
      </c>
      <c r="U448" s="128">
        <f ca="1">OFFSET('IWP23'!UnitsOfServicePeriod2, 2, 17, 1, 1)</f>
        <v>0</v>
      </c>
      <c r="V448" s="128">
        <f ca="1">IF(OFFSET('IWP23'!UnitsOfServicePeriod2, 2, 19, 1, 1) = "", 0, OFFSET('IWP23'!UnitsOfServicePeriod2, 2, 19, 1, 1))</f>
        <v>0</v>
      </c>
      <c r="W448" s="128">
        <f ca="1">OFFSET('IWP23'!UnitsOfServicePeriod2, 2, 20, 1, 1)</f>
        <v>0</v>
      </c>
      <c r="X448" s="128">
        <f ca="1">IF(OFFSET('IWP23'!UnitsOfServicePeriod2, 2, 21, 1, 1) = "", 0, OFFSET('IWP23'!UnitsOfServicePeriod2, 2, 21, 1, 1))</f>
        <v>0</v>
      </c>
      <c r="Y448" s="137">
        <f ca="1">OFFSET('IWP23'!UnitsOfServicePeriod2, 2, 22, 1, 1)</f>
        <v>0</v>
      </c>
    </row>
    <row r="449" spans="1:25">
      <c r="A449" s="125" t="s">
        <v>496</v>
      </c>
      <c r="B449" s="128">
        <v>2</v>
      </c>
      <c r="C449" s="128">
        <v>4</v>
      </c>
      <c r="D449" s="107">
        <f ca="1">IF(OFFSET('IWP23'!UnitsOfServicePeriod2, 3, 0, 1, 1)=DATE(1900,1,0), DATE(1900,1,1),OFFSET('IWP23'!UnitsOfServicePeriod2, 3, 0, 1, 1))</f>
        <v>1</v>
      </c>
      <c r="E449" s="107">
        <f ca="1">IF(OFFSET('IWP23'!UnitsOfServicePeriod2, 3, 1, 1, 1)=DATE(1900,1,0), DATE(1900,1,1),OFFSET('IWP23'!UnitsOfServicePeriod2, 3, 1, 1, 1))</f>
        <v>1</v>
      </c>
      <c r="F449" s="128">
        <f ca="1">OFFSET('IWP23'!UnitsOfServicePeriod2, 3, 2, 1, 1)</f>
        <v>0</v>
      </c>
      <c r="G449" s="128">
        <f ca="1">IF(OFFSET('IWP23'!UnitsOfServicePeriod2, 3, 3, 1, 1) = "", 0, OFFSET('IWP23'!UnitsOfServicePeriod2, 3, 3, 1, 1))</f>
        <v>0</v>
      </c>
      <c r="H449" s="128">
        <f ca="1">OFFSET('IWP23'!UnitsOfServicePeriod2, 3, 4, 1, 1)</f>
        <v>0</v>
      </c>
      <c r="I449" s="128">
        <f ca="1">IF(OFFSET('IWP23'!UnitsOfServicePeriod2, 3, 5, 1, 1) = "", 0, OFFSET('IWP23'!UnitsOfServicePeriod2, 3, 5, 1, 1))</f>
        <v>0</v>
      </c>
      <c r="J449" s="128">
        <f ca="1">OFFSET('IWP23'!UnitsOfServicePeriod2, 3, 6, 1, 1)</f>
        <v>0</v>
      </c>
      <c r="K449" s="128">
        <f ca="1">IF(OFFSET('IWP23'!UnitsOfServicePeriod2, 3, 7, 1, 1) = "", 0, OFFSET('IWP23'!UnitsOfServicePeriod2, 3, 7, 1, 1))</f>
        <v>0</v>
      </c>
      <c r="L449" s="128">
        <f ca="1">OFFSET('IWP23'!UnitsOfServicePeriod2, 3, 8, 1, 1)</f>
        <v>0</v>
      </c>
      <c r="M449" s="128">
        <f ca="1">IF(OFFSET('IWP23'!UnitsOfServicePeriod2, 3, 9, 1, 1) = "", 0, OFFSET('IWP23'!UnitsOfServicePeriod2, 3, 9, 1, 1))</f>
        <v>0</v>
      </c>
      <c r="N449" s="128">
        <f ca="1">OFFSET('IWP23'!UnitsOfServicePeriod2, 3, 10, 1, 1)</f>
        <v>0</v>
      </c>
      <c r="O449" s="128">
        <f ca="1">IF(OFFSET('IWP23'!UnitsOfServicePeriod2, 3, 11, 1, 1) = "", 0, OFFSET('IWP23'!UnitsOfServicePeriod2, 3, 11, 1, 1))</f>
        <v>0</v>
      </c>
      <c r="P449" s="128">
        <f ca="1">OFFSET('IWP23'!UnitsOfServicePeriod2, 3, 12, 1, 1)</f>
        <v>0</v>
      </c>
      <c r="Q449" s="128">
        <f ca="1">IF(OFFSET('IWP23'!UnitsOfServicePeriod2, 3, 13, 1, 1) = "", 0, OFFSET('IWP23'!UnitsOfServicePeriod2, 3, 13, 1, 1))</f>
        <v>0</v>
      </c>
      <c r="R449" s="128">
        <f ca="1">OFFSET('IWP23'!UnitsOfServicePeriod2, 3, 14, 1, 1)</f>
        <v>0</v>
      </c>
      <c r="S449" s="128">
        <f ca="1">IF(OFFSET('IWP23'!UnitsOfServicePeriod2, 3, 15, 1, 1) = "", 0, OFFSET('IWP23'!UnitsOfServicePeriod2, 3, 15, 1, 1))</f>
        <v>0</v>
      </c>
      <c r="T449" s="128">
        <f ca="1">IF(OFFSET('IWP23'!UnitsOfServicePeriod2, 3, 16, 1, 1) = "", 0, OFFSET('IWP23'!UnitsOfServicePeriod2, 3, 16, 1, 1))</f>
        <v>0</v>
      </c>
      <c r="U449" s="128">
        <f ca="1">OFFSET('IWP23'!UnitsOfServicePeriod2, 3, 17, 1, 1)</f>
        <v>0</v>
      </c>
      <c r="V449" s="128">
        <f ca="1">IF(OFFSET('IWP23'!UnitsOfServicePeriod2, 3, 19, 1, 1) = "", 0, OFFSET('IWP23'!UnitsOfServicePeriod2, 3, 19, 1, 1))</f>
        <v>0</v>
      </c>
      <c r="W449" s="128">
        <f ca="1">OFFSET('IWP23'!UnitsOfServicePeriod2, 3, 20, 1, 1)</f>
        <v>0</v>
      </c>
      <c r="X449" s="128">
        <f ca="1">IF(OFFSET('IWP23'!UnitsOfServicePeriod2, 3, 21, 1, 1) = "", 0, OFFSET('IWP23'!UnitsOfServicePeriod2, 3, 21, 1, 1))</f>
        <v>0</v>
      </c>
      <c r="Y449" s="137">
        <f ca="1">OFFSET('IWP23'!UnitsOfServicePeriod2, 3, 22, 1, 1)</f>
        <v>0</v>
      </c>
    </row>
    <row r="450" spans="1:25">
      <c r="A450" s="125" t="s">
        <v>496</v>
      </c>
      <c r="B450" s="128">
        <v>2</v>
      </c>
      <c r="C450" s="128">
        <v>5</v>
      </c>
      <c r="D450" s="107">
        <f ca="1">IF(OFFSET('IWP23'!UnitsOfServicePeriod2, 4, 0, 1, 1)=DATE(1900,1,0), DATE(1900,1,1),OFFSET('IWP23'!UnitsOfServicePeriod2, 4, 0, 1, 1))</f>
        <v>1</v>
      </c>
      <c r="E450" s="107">
        <f ca="1">IF(OFFSET('IWP23'!UnitsOfServicePeriod2, 4, 1, 1, 1)=DATE(1900,1,0), DATE(1900,1,1),OFFSET('IWP23'!UnitsOfServicePeriod2, 4, 1, 1, 1))</f>
        <v>1</v>
      </c>
      <c r="F450" s="128">
        <f ca="1">OFFSET('IWP23'!UnitsOfServicePeriod2, 4, 2, 1, 1)</f>
        <v>0</v>
      </c>
      <c r="G450" s="128">
        <f ca="1">IF(OFFSET('IWP23'!UnitsOfServicePeriod2, 4, 3, 1, 1) = "", 0, OFFSET('IWP23'!UnitsOfServicePeriod2, 4, 3, 1, 1))</f>
        <v>0</v>
      </c>
      <c r="H450" s="128">
        <f ca="1">OFFSET('IWP23'!UnitsOfServicePeriod2, 4, 4, 1, 1)</f>
        <v>0</v>
      </c>
      <c r="I450" s="128">
        <f ca="1">IF(OFFSET('IWP23'!UnitsOfServicePeriod2, 4, 5, 1, 1) = "", 0, OFFSET('IWP23'!UnitsOfServicePeriod2, 4, 5, 1, 1))</f>
        <v>0</v>
      </c>
      <c r="J450" s="128">
        <f ca="1">OFFSET('IWP23'!UnitsOfServicePeriod2, 4, 6, 1, 1)</f>
        <v>0</v>
      </c>
      <c r="K450" s="128">
        <f ca="1">IF(OFFSET('IWP23'!UnitsOfServicePeriod2, 4, 7, 1, 1) = "", 0, OFFSET('IWP23'!UnitsOfServicePeriod2, 4, 7, 1, 1))</f>
        <v>0</v>
      </c>
      <c r="L450" s="128">
        <f ca="1">OFFSET('IWP23'!UnitsOfServicePeriod2, 4, 8, 1, 1)</f>
        <v>0</v>
      </c>
      <c r="M450" s="128">
        <f ca="1">IF(OFFSET('IWP23'!UnitsOfServicePeriod2, 4, 9, 1, 1) = "", 0, OFFSET('IWP23'!UnitsOfServicePeriod2, 4, 9, 1, 1))</f>
        <v>0</v>
      </c>
      <c r="N450" s="128">
        <f ca="1">OFFSET('IWP23'!UnitsOfServicePeriod2, 4, 10, 1, 1)</f>
        <v>0</v>
      </c>
      <c r="O450" s="128">
        <f ca="1">IF(OFFSET('IWP23'!UnitsOfServicePeriod2, 4, 11, 1, 1) = "", 0, OFFSET('IWP23'!UnitsOfServicePeriod2, 4, 11, 1, 1))</f>
        <v>0</v>
      </c>
      <c r="P450" s="128">
        <f ca="1">OFFSET('IWP23'!UnitsOfServicePeriod2, 4, 12, 1, 1)</f>
        <v>0</v>
      </c>
      <c r="Q450" s="128">
        <f ca="1">IF(OFFSET('IWP23'!UnitsOfServicePeriod2, 4, 13, 1, 1) = "", 0, OFFSET('IWP23'!UnitsOfServicePeriod2, 4, 13, 1, 1))</f>
        <v>0</v>
      </c>
      <c r="R450" s="128">
        <f ca="1">OFFSET('IWP23'!UnitsOfServicePeriod2, 4, 14, 1, 1)</f>
        <v>0</v>
      </c>
      <c r="S450" s="128">
        <f ca="1">IF(OFFSET('IWP23'!UnitsOfServicePeriod2, 4, 15, 1, 1) = "", 0, OFFSET('IWP23'!UnitsOfServicePeriod2, 4, 15, 1, 1))</f>
        <v>0</v>
      </c>
      <c r="T450" s="128">
        <f ca="1">IF(OFFSET('IWP23'!UnitsOfServicePeriod2, 4, 16, 1, 1) = "", 0, OFFSET('IWP23'!UnitsOfServicePeriod2, 4, 16, 1, 1))</f>
        <v>0</v>
      </c>
      <c r="U450" s="128">
        <f ca="1">OFFSET('IWP23'!UnitsOfServicePeriod2, 4, 17, 1, 1)</f>
        <v>0</v>
      </c>
      <c r="V450" s="128">
        <f ca="1">IF(OFFSET('IWP23'!UnitsOfServicePeriod2, 4, 19, 1, 1) = "", 0, OFFSET('IWP23'!UnitsOfServicePeriod2, 4, 19, 1, 1))</f>
        <v>0</v>
      </c>
      <c r="W450" s="128">
        <f ca="1">OFFSET('IWP23'!UnitsOfServicePeriod2, 4, 20, 1, 1)</f>
        <v>0</v>
      </c>
      <c r="X450" s="128">
        <f ca="1">IF(OFFSET('IWP23'!UnitsOfServicePeriod2, 4, 21, 1, 1) = "", 0, OFFSET('IWP23'!UnitsOfServicePeriod2, 4, 21, 1, 1))</f>
        <v>0</v>
      </c>
      <c r="Y450" s="137">
        <f ca="1">OFFSET('IWP23'!UnitsOfServicePeriod2, 4, 22, 1, 1)</f>
        <v>0</v>
      </c>
    </row>
    <row r="451" spans="1:25">
      <c r="A451" s="125" t="s">
        <v>496</v>
      </c>
      <c r="B451" s="128">
        <v>2</v>
      </c>
      <c r="C451" s="128">
        <v>6</v>
      </c>
      <c r="D451" s="107">
        <f ca="1">IF(OFFSET('IWP23'!UnitsOfServicePeriod2, 5, 0, 1, 1)=DATE(1900,1,0), DATE(1900,1,1),OFFSET('IWP23'!UnitsOfServicePeriod2, 5, 0, 1, 1))</f>
        <v>1</v>
      </c>
      <c r="E451" s="107">
        <f ca="1">IF(OFFSET('IWP23'!UnitsOfServicePeriod2, 5, 1, 1, 1)=DATE(1900,1,0), DATE(1900,1,1),OFFSET('IWP23'!UnitsOfServicePeriod2, 5, 1, 1, 1))</f>
        <v>1</v>
      </c>
      <c r="F451" s="128">
        <f ca="1">OFFSET('IWP23'!UnitsOfServicePeriod2, 5, 2, 1, 1)</f>
        <v>0</v>
      </c>
      <c r="G451" s="128">
        <f ca="1">IF(OFFSET('IWP23'!UnitsOfServicePeriod2, 5, 3, 1, 1) = "", 0, OFFSET('IWP23'!UnitsOfServicePeriod2, 5, 3, 1, 1))</f>
        <v>0</v>
      </c>
      <c r="H451" s="128">
        <f ca="1">OFFSET('IWP23'!UnitsOfServicePeriod2, 5, 4, 1, 1)</f>
        <v>0</v>
      </c>
      <c r="I451" s="128">
        <f ca="1">IF(OFFSET('IWP23'!UnitsOfServicePeriod2, 5, 5, 1, 1) = "", 0, OFFSET('IWP23'!UnitsOfServicePeriod2, 5, 5, 1, 1))</f>
        <v>0</v>
      </c>
      <c r="J451" s="128">
        <f ca="1">OFFSET('IWP23'!UnitsOfServicePeriod2, 5, 6, 1, 1)</f>
        <v>0</v>
      </c>
      <c r="K451" s="128">
        <f ca="1">IF(OFFSET('IWP23'!UnitsOfServicePeriod2, 5, 7, 1, 1) = "", 0, OFFSET('IWP23'!UnitsOfServicePeriod2, 5, 7, 1, 1))</f>
        <v>0</v>
      </c>
      <c r="L451" s="128">
        <f ca="1">OFFSET('IWP23'!UnitsOfServicePeriod2, 5, 8, 1, 1)</f>
        <v>0</v>
      </c>
      <c r="M451" s="128">
        <f ca="1">IF(OFFSET('IWP23'!UnitsOfServicePeriod2, 5, 9, 1, 1) = "", 0, OFFSET('IWP23'!UnitsOfServicePeriod2, 5, 9, 1, 1))</f>
        <v>0</v>
      </c>
      <c r="N451" s="128">
        <f ca="1">OFFSET('IWP23'!UnitsOfServicePeriod2, 5, 10, 1, 1)</f>
        <v>0</v>
      </c>
      <c r="O451" s="128">
        <f ca="1">IF(OFFSET('IWP23'!UnitsOfServicePeriod2, 5, 11, 1, 1) = "", 0, OFFSET('IWP23'!UnitsOfServicePeriod2, 5, 11, 1, 1))</f>
        <v>0</v>
      </c>
      <c r="P451" s="128">
        <f ca="1">OFFSET('IWP23'!UnitsOfServicePeriod2, 5, 12, 1, 1)</f>
        <v>0</v>
      </c>
      <c r="Q451" s="128">
        <f ca="1">IF(OFFSET('IWP23'!UnitsOfServicePeriod2, 5, 13, 1, 1) = "", 0, OFFSET('IWP23'!UnitsOfServicePeriod2, 5, 13, 1, 1))</f>
        <v>0</v>
      </c>
      <c r="R451" s="128">
        <f ca="1">OFFSET('IWP23'!UnitsOfServicePeriod2, 5, 14, 1, 1)</f>
        <v>0</v>
      </c>
      <c r="S451" s="128">
        <f ca="1">IF(OFFSET('IWP23'!UnitsOfServicePeriod2, 5, 15, 1, 1) = "", 0, OFFSET('IWP23'!UnitsOfServicePeriod2, 5, 15, 1, 1))</f>
        <v>0</v>
      </c>
      <c r="T451" s="128">
        <f ca="1">IF(OFFSET('IWP23'!UnitsOfServicePeriod2, 5, 16, 1, 1) = "", 0, OFFSET('IWP23'!UnitsOfServicePeriod2, 5, 16, 1, 1))</f>
        <v>0</v>
      </c>
      <c r="U451" s="128">
        <f ca="1">OFFSET('IWP23'!UnitsOfServicePeriod2, 5, 17, 1, 1)</f>
        <v>0</v>
      </c>
      <c r="V451" s="128">
        <f ca="1">IF(OFFSET('IWP23'!UnitsOfServicePeriod2, 5, 19, 1, 1) = "", 0, OFFSET('IWP23'!UnitsOfServicePeriod2, 5, 19, 1, 1))</f>
        <v>0</v>
      </c>
      <c r="W451" s="128">
        <f ca="1">OFFSET('IWP23'!UnitsOfServicePeriod2, 5, 20, 1, 1)</f>
        <v>0</v>
      </c>
      <c r="X451" s="128">
        <f ca="1">IF(OFFSET('IWP23'!UnitsOfServicePeriod2, 5, 21, 1, 1) = "", 0, OFFSET('IWP23'!UnitsOfServicePeriod2, 5, 21, 1, 1))</f>
        <v>0</v>
      </c>
      <c r="Y451" s="137">
        <f ca="1">OFFSET('IWP23'!UnitsOfServicePeriod2, 5, 22, 1, 1)</f>
        <v>0</v>
      </c>
    </row>
    <row r="452" spans="1:25">
      <c r="A452" s="125" t="s">
        <v>497</v>
      </c>
      <c r="B452" s="128">
        <v>1</v>
      </c>
      <c r="C452" s="128">
        <v>1</v>
      </c>
      <c r="D452" s="107">
        <f ca="1">IF(OFFSET('IWP24'!UnitsOfServicePeriod1, 0, 0, 1, 1)=DATE(1900,1,0), DATE(1900,1,1),OFFSET('IWP24'!UnitsOfServicePeriod1, 0, 0, 1, 1))</f>
        <v>1</v>
      </c>
      <c r="E452" s="107">
        <f ca="1">IF(OFFSET('IWP24'!UnitsOfServicePeriod1, 0, 1, 1, 1)=DATE(1900,1,0), DATE(1900,1,1),OFFSET('IWP24'!UnitsOfServicePeriod1, 0, 1, 1, 1))</f>
        <v>1</v>
      </c>
      <c r="F452" s="128">
        <f ca="1">OFFSET('IWP24'!UnitsOfServicePeriod1, 0, 2, 1, 1)</f>
        <v>0</v>
      </c>
      <c r="G452" s="128">
        <f ca="1">IF(OFFSET('IWP24'!UnitsOfServicePeriod1, 0, 3, 1, 1) = "", 0, OFFSET('IWP24'!UnitsOfServicePeriod1, 0, 3, 1, 1))</f>
        <v>0</v>
      </c>
      <c r="H452" s="128">
        <f ca="1">OFFSET('IWP24'!UnitsOfServicePeriod1, 0, 4, 1, 1)</f>
        <v>0</v>
      </c>
      <c r="I452" s="128">
        <f ca="1">IF(OFFSET('IWP24'!UnitsOfServicePeriod1, 0, 5, 1, 1) = "", 0, OFFSET('IWP24'!UnitsOfServicePeriod1, 0, 5, 1, 1))</f>
        <v>0</v>
      </c>
      <c r="J452" s="128">
        <f ca="1">OFFSET('IWP24'!UnitsOfServicePeriod1, 0, 6, 1, 1)</f>
        <v>0</v>
      </c>
      <c r="K452" s="128">
        <f ca="1">IF(OFFSET('IWP24'!UnitsOfServicePeriod1, 0, 7, 1, 1) = "", 0, OFFSET('IWP24'!UnitsOfServicePeriod1, 0, 7, 1, 1))</f>
        <v>0</v>
      </c>
      <c r="L452" s="128">
        <f ca="1">OFFSET('IWP24'!UnitsOfServicePeriod1, 0, 8, 1, 1)</f>
        <v>0</v>
      </c>
      <c r="M452" s="128">
        <f ca="1">IF(OFFSET('IWP24'!UnitsOfServicePeriod1, 0, 9, 1, 1) = "", 0, OFFSET('IWP24'!UnitsOfServicePeriod1, 0, 9, 1, 1))</f>
        <v>0</v>
      </c>
      <c r="N452" s="128">
        <f ca="1">OFFSET('IWP24'!UnitsOfServicePeriod1, 0, 10, 1, 1)</f>
        <v>0</v>
      </c>
      <c r="O452" s="128">
        <f ca="1">IF(OFFSET('IWP24'!UnitsOfServicePeriod1, 0, 11, 1, 1) = "", 0, OFFSET('IWP24'!UnitsOfServicePeriod1, 0, 11, 1, 1))</f>
        <v>0</v>
      </c>
      <c r="P452" s="128">
        <f ca="1">OFFSET('IWP24'!UnitsOfServicePeriod1, 0, 12, 1, 1)</f>
        <v>0</v>
      </c>
      <c r="Q452" s="128">
        <f ca="1">IF(OFFSET('IWP24'!UnitsOfServicePeriod1, 0, 13, 1, 1) = "", 0, OFFSET('IWP24'!UnitsOfServicePeriod1, 0, 13, 1, 1))</f>
        <v>0</v>
      </c>
      <c r="R452" s="128">
        <f ca="1">OFFSET('IWP24'!UnitsOfServicePeriod1, 0, 14, 1, 1)</f>
        <v>0</v>
      </c>
      <c r="S452" s="128">
        <f ca="1">IF(OFFSET('IWP24'!UnitsOfServicePeriod1, 0, 15, 1, 1) = "", 0, OFFSET('IWP24'!UnitsOfServicePeriod1, 0, 15, 1, 1))</f>
        <v>0</v>
      </c>
      <c r="T452" s="128">
        <f ca="1">IF(OFFSET('IWP24'!UnitsOfServicePeriod1, 0, 16, 1, 1) = "", 0, OFFSET('IWP24'!UnitsOfServicePeriod1, 0, 16, 1, 1))</f>
        <v>0</v>
      </c>
      <c r="U452" s="128">
        <f ca="1">OFFSET('IWP24'!UnitsOfServicePeriod1, 0, 17, 1, 1)</f>
        <v>0</v>
      </c>
      <c r="V452" s="128">
        <f ca="1">IF(OFFSET('IWP24'!UnitsOfServicePeriod1, 0, 19, 1, 1) = "", 0, OFFSET('IWP24'!UnitsOfServicePeriod1, 0, 19, 1, 1))</f>
        <v>0</v>
      </c>
      <c r="W452" s="128">
        <f ca="1">OFFSET('IWP24'!UnitsOfServicePeriod1, 0, 20, 1, 1)</f>
        <v>0</v>
      </c>
      <c r="X452" s="128">
        <f ca="1">IF(OFFSET('IWP24'!UnitsOfServicePeriod1, 0, 21, 1, 1) = "", 0, OFFSET('IWP24'!UnitsOfServicePeriod1, 0, 21, 1, 1))</f>
        <v>0</v>
      </c>
      <c r="Y452" s="137">
        <f ca="1">OFFSET('IWP24'!UnitsOfServicePeriod1, 0, 22, 1, 1)</f>
        <v>0</v>
      </c>
    </row>
    <row r="453" spans="1:25">
      <c r="A453" s="125" t="s">
        <v>497</v>
      </c>
      <c r="B453" s="128">
        <v>1</v>
      </c>
      <c r="C453" s="128">
        <v>2</v>
      </c>
      <c r="D453" s="107">
        <f ca="1">IF(OFFSET('IWP24'!UnitsOfServicePeriod1, 1, 0, 1, 1)=DATE(1900,1,0), DATE(1900,1,1),OFFSET('IWP24'!UnitsOfServicePeriod1, 1, 0, 1, 1))</f>
        <v>1</v>
      </c>
      <c r="E453" s="107">
        <f ca="1">IF(OFFSET('IWP24'!UnitsOfServicePeriod1, 1, 1, 1, 1)=DATE(1900,1,0), DATE(1900,1,1),OFFSET('IWP24'!UnitsOfServicePeriod1, 1, 1, 1, 1))</f>
        <v>1</v>
      </c>
      <c r="F453" s="128">
        <f ca="1">OFFSET('IWP24'!UnitsOfServicePeriod1, 1, 2, 1, 1)</f>
        <v>0</v>
      </c>
      <c r="G453" s="128">
        <f ca="1">IF(OFFSET('IWP24'!UnitsOfServicePeriod1, 1, 3, 1, 1) = "", 0, OFFSET('IWP24'!UnitsOfServicePeriod1, 1, 3, 1, 1))</f>
        <v>0</v>
      </c>
      <c r="H453" s="128">
        <f ca="1">OFFSET('IWP24'!UnitsOfServicePeriod1, 1, 4, 1, 1)</f>
        <v>0</v>
      </c>
      <c r="I453" s="128">
        <f ca="1">IF(OFFSET('IWP24'!UnitsOfServicePeriod1, 1, 5, 1, 1) = "", 0, OFFSET('IWP24'!UnitsOfServicePeriod1, 1, 5, 1, 1))</f>
        <v>0</v>
      </c>
      <c r="J453" s="128">
        <f ca="1">OFFSET('IWP24'!UnitsOfServicePeriod1, 1, 6, 1, 1)</f>
        <v>0</v>
      </c>
      <c r="K453" s="128">
        <f ca="1">IF(OFFSET('IWP24'!UnitsOfServicePeriod1, 1, 7, 1, 1) = "", 0, OFFSET('IWP24'!UnitsOfServicePeriod1, 1, 7, 1, 1))</f>
        <v>0</v>
      </c>
      <c r="L453" s="128">
        <f ca="1">OFFSET('IWP24'!UnitsOfServicePeriod1, 1, 8, 1, 1)</f>
        <v>0</v>
      </c>
      <c r="M453" s="128">
        <f ca="1">IF(OFFSET('IWP24'!UnitsOfServicePeriod1, 1, 9, 1, 1) = "", 0, OFFSET('IWP24'!UnitsOfServicePeriod1, 1, 9, 1, 1))</f>
        <v>0</v>
      </c>
      <c r="N453" s="128">
        <f ca="1">OFFSET('IWP24'!UnitsOfServicePeriod1, 1, 10, 1, 1)</f>
        <v>0</v>
      </c>
      <c r="O453" s="128">
        <f ca="1">IF(OFFSET('IWP24'!UnitsOfServicePeriod1, 1, 11, 1, 1) = "", 0, OFFSET('IWP24'!UnitsOfServicePeriod1, 1, 11, 1, 1))</f>
        <v>0</v>
      </c>
      <c r="P453" s="128">
        <f ca="1">OFFSET('IWP24'!UnitsOfServicePeriod1, 1, 12, 1, 1)</f>
        <v>0</v>
      </c>
      <c r="Q453" s="128">
        <f ca="1">IF(OFFSET('IWP24'!UnitsOfServicePeriod1, 1, 13, 1, 1) = "", 0, OFFSET('IWP24'!UnitsOfServicePeriod1, 1, 13, 1, 1))</f>
        <v>0</v>
      </c>
      <c r="R453" s="128">
        <f ca="1">OFFSET('IWP24'!UnitsOfServicePeriod1, 1, 14, 1, 1)</f>
        <v>0</v>
      </c>
      <c r="S453" s="128">
        <f ca="1">IF(OFFSET('IWP24'!UnitsOfServicePeriod1, 1, 15, 1, 1) = "", 0, OFFSET('IWP24'!UnitsOfServicePeriod1, 1, 15, 1, 1))</f>
        <v>0</v>
      </c>
      <c r="T453" s="128">
        <f ca="1">IF(OFFSET('IWP24'!UnitsOfServicePeriod1, 1, 16, 1, 1) = "", 0, OFFSET('IWP24'!UnitsOfServicePeriod1, 1, 16, 1, 1))</f>
        <v>0</v>
      </c>
      <c r="U453" s="128">
        <f ca="1">OFFSET('IWP24'!UnitsOfServicePeriod1, 1, 17, 1, 1)</f>
        <v>0</v>
      </c>
      <c r="V453" s="128">
        <f ca="1">IF(OFFSET('IWP24'!UnitsOfServicePeriod1, 1, 19, 1, 1) = "", 0, OFFSET('IWP24'!UnitsOfServicePeriod1, 1, 19, 1, 1))</f>
        <v>0</v>
      </c>
      <c r="W453" s="128">
        <f ca="1">OFFSET('IWP24'!UnitsOfServicePeriod1, 1, 20, 1, 1)</f>
        <v>0</v>
      </c>
      <c r="X453" s="128">
        <f ca="1">IF(OFFSET('IWP24'!UnitsOfServicePeriod1, 1, 21, 1, 1) = "", 0, OFFSET('IWP24'!UnitsOfServicePeriod1, 1, 21, 1, 1))</f>
        <v>0</v>
      </c>
      <c r="Y453" s="137">
        <f ca="1">OFFSET('IWP24'!UnitsOfServicePeriod1, 1, 22, 1, 1)</f>
        <v>0</v>
      </c>
    </row>
    <row r="454" spans="1:25">
      <c r="A454" s="125" t="s">
        <v>497</v>
      </c>
      <c r="B454" s="128">
        <v>1</v>
      </c>
      <c r="C454" s="128">
        <v>3</v>
      </c>
      <c r="D454" s="107">
        <f ca="1">IF(OFFSET('IWP24'!UnitsOfServicePeriod1, 2, 0, 1, 1)=DATE(1900,1,0), DATE(1900,1,1),OFFSET('IWP24'!UnitsOfServicePeriod1, 2, 0, 1, 1))</f>
        <v>1</v>
      </c>
      <c r="E454" s="107">
        <f ca="1">IF(OFFSET('IWP24'!UnitsOfServicePeriod1, 2, 1, 1, 1)=DATE(1900,1,0), DATE(1900,1,1),OFFSET('IWP24'!UnitsOfServicePeriod1, 2, 1, 1, 1))</f>
        <v>1</v>
      </c>
      <c r="F454" s="128">
        <f ca="1">OFFSET('IWP24'!UnitsOfServicePeriod1, 2, 2, 1, 1)</f>
        <v>0</v>
      </c>
      <c r="G454" s="128">
        <f ca="1">IF(OFFSET('IWP24'!UnitsOfServicePeriod1, 2, 3, 1, 1) = "", 0, OFFSET('IWP24'!UnitsOfServicePeriod1, 2, 3, 1, 1))</f>
        <v>0</v>
      </c>
      <c r="H454" s="128">
        <f ca="1">OFFSET('IWP24'!UnitsOfServicePeriod1, 2, 4, 1, 1)</f>
        <v>0</v>
      </c>
      <c r="I454" s="128">
        <f ca="1">IF(OFFSET('IWP24'!UnitsOfServicePeriod1, 2, 5, 1, 1) = "", 0, OFFSET('IWP24'!UnitsOfServicePeriod1, 2, 5, 1, 1))</f>
        <v>0</v>
      </c>
      <c r="J454" s="128">
        <f ca="1">OFFSET('IWP24'!UnitsOfServicePeriod1, 2, 6, 1, 1)</f>
        <v>0</v>
      </c>
      <c r="K454" s="128">
        <f ca="1">IF(OFFSET('IWP24'!UnitsOfServicePeriod1, 2, 7, 1, 1) = "", 0, OFFSET('IWP24'!UnitsOfServicePeriod1, 2, 7, 1, 1))</f>
        <v>0</v>
      </c>
      <c r="L454" s="128">
        <f ca="1">OFFSET('IWP24'!UnitsOfServicePeriod1, 2, 8, 1, 1)</f>
        <v>0</v>
      </c>
      <c r="M454" s="128">
        <f ca="1">IF(OFFSET('IWP24'!UnitsOfServicePeriod1, 2, 9, 1, 1) = "", 0, OFFSET('IWP24'!UnitsOfServicePeriod1, 2, 9, 1, 1))</f>
        <v>0</v>
      </c>
      <c r="N454" s="128">
        <f ca="1">OFFSET('IWP24'!UnitsOfServicePeriod1, 2, 10, 1, 1)</f>
        <v>0</v>
      </c>
      <c r="O454" s="128">
        <f ca="1">IF(OFFSET('IWP24'!UnitsOfServicePeriod1, 2, 11, 1, 1) = "", 0, OFFSET('IWP24'!UnitsOfServicePeriod1, 2, 11, 1, 1))</f>
        <v>0</v>
      </c>
      <c r="P454" s="128">
        <f ca="1">OFFSET('IWP24'!UnitsOfServicePeriod1, 2, 12, 1, 1)</f>
        <v>0</v>
      </c>
      <c r="Q454" s="128">
        <f ca="1">IF(OFFSET('IWP24'!UnitsOfServicePeriod1, 2, 13, 1, 1) = "", 0, OFFSET('IWP24'!UnitsOfServicePeriod1, 2, 13, 1, 1))</f>
        <v>0</v>
      </c>
      <c r="R454" s="128">
        <f ca="1">OFFSET('IWP24'!UnitsOfServicePeriod1, 2, 14, 1, 1)</f>
        <v>0</v>
      </c>
      <c r="S454" s="128">
        <f ca="1">IF(OFFSET('IWP24'!UnitsOfServicePeriod1, 2, 15, 1, 1) = "", 0, OFFSET('IWP24'!UnitsOfServicePeriod1, 2, 15, 1, 1))</f>
        <v>0</v>
      </c>
      <c r="T454" s="128">
        <f ca="1">IF(OFFSET('IWP24'!UnitsOfServicePeriod1, 2, 16, 1, 1) = "", 0, OFFSET('IWP24'!UnitsOfServicePeriod1, 2, 16, 1, 1))</f>
        <v>0</v>
      </c>
      <c r="U454" s="128">
        <f ca="1">OFFSET('IWP24'!UnitsOfServicePeriod1, 2, 17, 1, 1)</f>
        <v>0</v>
      </c>
      <c r="V454" s="128">
        <f ca="1">IF(OFFSET('IWP24'!UnitsOfServicePeriod1, 2, 19, 1, 1) = "", 0, OFFSET('IWP24'!UnitsOfServicePeriod1, 2, 19, 1, 1))</f>
        <v>0</v>
      </c>
      <c r="W454" s="128">
        <f ca="1">OFFSET('IWP24'!UnitsOfServicePeriod1, 2, 20, 1, 1)</f>
        <v>0</v>
      </c>
      <c r="X454" s="128">
        <f ca="1">IF(OFFSET('IWP24'!UnitsOfServicePeriod1, 2, 21, 1, 1) = "", 0, OFFSET('IWP24'!UnitsOfServicePeriod1, 2, 21, 1, 1))</f>
        <v>0</v>
      </c>
      <c r="Y454" s="137">
        <f ca="1">OFFSET('IWP24'!UnitsOfServicePeriod1, 2, 22, 1, 1)</f>
        <v>0</v>
      </c>
    </row>
    <row r="455" spans="1:25">
      <c r="A455" s="125" t="s">
        <v>497</v>
      </c>
      <c r="B455" s="128">
        <v>1</v>
      </c>
      <c r="C455" s="128">
        <v>4</v>
      </c>
      <c r="D455" s="107">
        <f ca="1">IF(OFFSET('IWP24'!UnitsOfServicePeriod1, 3, 0, 1, 1)=DATE(1900,1,0), DATE(1900,1,1),OFFSET('IWP24'!UnitsOfServicePeriod1, 3, 0, 1, 1))</f>
        <v>1</v>
      </c>
      <c r="E455" s="107">
        <f ca="1">IF(OFFSET('IWP24'!UnitsOfServicePeriod1, 3, 1, 1, 1)=DATE(1900,1,0), DATE(1900,1,1),OFFSET('IWP24'!UnitsOfServicePeriod1, 3, 1, 1, 1))</f>
        <v>1</v>
      </c>
      <c r="F455" s="128">
        <f ca="1">OFFSET('IWP24'!UnitsOfServicePeriod1, 3, 2, 1, 1)</f>
        <v>0</v>
      </c>
      <c r="G455" s="128">
        <f ca="1">IF(OFFSET('IWP24'!UnitsOfServicePeriod1, 3, 3, 1, 1) = "", 0, OFFSET('IWP24'!UnitsOfServicePeriod1, 3, 3, 1, 1))</f>
        <v>0</v>
      </c>
      <c r="H455" s="128">
        <f ca="1">OFFSET('IWP24'!UnitsOfServicePeriod1, 3, 4, 1, 1)</f>
        <v>0</v>
      </c>
      <c r="I455" s="128">
        <f ca="1">IF(OFFSET('IWP24'!UnitsOfServicePeriod1, 3, 5, 1, 1) = "", 0, OFFSET('IWP24'!UnitsOfServicePeriod1, 3, 5, 1, 1))</f>
        <v>0</v>
      </c>
      <c r="J455" s="128">
        <f ca="1">OFFSET('IWP24'!UnitsOfServicePeriod1, 3, 6, 1, 1)</f>
        <v>0</v>
      </c>
      <c r="K455" s="128">
        <f ca="1">IF(OFFSET('IWP24'!UnitsOfServicePeriod1, 3, 7, 1, 1) = "", 0, OFFSET('IWP24'!UnitsOfServicePeriod1, 3, 7, 1, 1))</f>
        <v>0</v>
      </c>
      <c r="L455" s="128">
        <f ca="1">OFFSET('IWP24'!UnitsOfServicePeriod1, 3, 8, 1, 1)</f>
        <v>0</v>
      </c>
      <c r="M455" s="128">
        <f ca="1">IF(OFFSET('IWP24'!UnitsOfServicePeriod1, 3, 9, 1, 1) = "", 0, OFFSET('IWP24'!UnitsOfServicePeriod1, 3, 9, 1, 1))</f>
        <v>0</v>
      </c>
      <c r="N455" s="128">
        <f ca="1">OFFSET('IWP24'!UnitsOfServicePeriod1, 3, 10, 1, 1)</f>
        <v>0</v>
      </c>
      <c r="O455" s="128">
        <f ca="1">IF(OFFSET('IWP24'!UnitsOfServicePeriod1, 3, 11, 1, 1) = "", 0, OFFSET('IWP24'!UnitsOfServicePeriod1, 3, 11, 1, 1))</f>
        <v>0</v>
      </c>
      <c r="P455" s="128">
        <f ca="1">OFFSET('IWP24'!UnitsOfServicePeriod1, 3, 12, 1, 1)</f>
        <v>0</v>
      </c>
      <c r="Q455" s="128">
        <f ca="1">IF(OFFSET('IWP24'!UnitsOfServicePeriod1, 3, 13, 1, 1) = "", 0, OFFSET('IWP24'!UnitsOfServicePeriod1, 3, 13, 1, 1))</f>
        <v>0</v>
      </c>
      <c r="R455" s="128">
        <f ca="1">OFFSET('IWP24'!UnitsOfServicePeriod1, 3, 14, 1, 1)</f>
        <v>0</v>
      </c>
      <c r="S455" s="128">
        <f ca="1">IF(OFFSET('IWP24'!UnitsOfServicePeriod1, 3, 15, 1, 1) = "", 0, OFFSET('IWP24'!UnitsOfServicePeriod1, 3, 15, 1, 1))</f>
        <v>0</v>
      </c>
      <c r="T455" s="128">
        <f ca="1">IF(OFFSET('IWP24'!UnitsOfServicePeriod1, 3, 16, 1, 1) = "", 0, OFFSET('IWP24'!UnitsOfServicePeriod1, 3, 16, 1, 1))</f>
        <v>0</v>
      </c>
      <c r="U455" s="128">
        <f ca="1">OFFSET('IWP24'!UnitsOfServicePeriod1, 3, 17, 1, 1)</f>
        <v>0</v>
      </c>
      <c r="V455" s="128">
        <f ca="1">IF(OFFSET('IWP24'!UnitsOfServicePeriod1, 3, 19, 1, 1) = "", 0, OFFSET('IWP24'!UnitsOfServicePeriod1, 3, 19, 1, 1))</f>
        <v>0</v>
      </c>
      <c r="W455" s="128">
        <f ca="1">OFFSET('IWP24'!UnitsOfServicePeriod1, 3, 20, 1, 1)</f>
        <v>0</v>
      </c>
      <c r="X455" s="128">
        <f ca="1">IF(OFFSET('IWP24'!UnitsOfServicePeriod1, 3, 21, 1, 1) = "", 0, OFFSET('IWP24'!UnitsOfServicePeriod1, 3, 21, 1, 1))</f>
        <v>0</v>
      </c>
      <c r="Y455" s="137">
        <f ca="1">OFFSET('IWP24'!UnitsOfServicePeriod1, 3, 22, 1, 1)</f>
        <v>0</v>
      </c>
    </row>
    <row r="456" spans="1:25">
      <c r="A456" s="125" t="s">
        <v>497</v>
      </c>
      <c r="B456" s="128">
        <v>1</v>
      </c>
      <c r="C456" s="128">
        <v>5</v>
      </c>
      <c r="D456" s="107">
        <f ca="1">IF(OFFSET('IWP24'!UnitsOfServicePeriod1, 4, 0, 1, 1)=DATE(1900,1,0), DATE(1900,1,1),OFFSET('IWP24'!UnitsOfServicePeriod1, 4, 0, 1, 1))</f>
        <v>1</v>
      </c>
      <c r="E456" s="107">
        <f ca="1">IF(OFFSET('IWP24'!UnitsOfServicePeriod1, 4, 1, 1, 1)=DATE(1900,1,0), DATE(1900,1,1),OFFSET('IWP24'!UnitsOfServicePeriod1, 4, 1, 1, 1))</f>
        <v>1</v>
      </c>
      <c r="F456" s="128">
        <f ca="1">OFFSET('IWP24'!UnitsOfServicePeriod1, 4, 2, 1, 1)</f>
        <v>0</v>
      </c>
      <c r="G456" s="128">
        <f ca="1">IF(OFFSET('IWP24'!UnitsOfServicePeriod1, 4, 3, 1, 1) = "", 0, OFFSET('IWP24'!UnitsOfServicePeriod1, 4, 3, 1, 1))</f>
        <v>0</v>
      </c>
      <c r="H456" s="128">
        <f ca="1">OFFSET('IWP24'!UnitsOfServicePeriod1, 4, 4, 1, 1)</f>
        <v>0</v>
      </c>
      <c r="I456" s="128">
        <f ca="1">IF(OFFSET('IWP24'!UnitsOfServicePeriod1, 4, 5, 1, 1) = "", 0, OFFSET('IWP24'!UnitsOfServicePeriod1, 4, 5, 1, 1))</f>
        <v>0</v>
      </c>
      <c r="J456" s="128">
        <f ca="1">OFFSET('IWP24'!UnitsOfServicePeriod1, 4, 6, 1, 1)</f>
        <v>0</v>
      </c>
      <c r="K456" s="128">
        <f ca="1">IF(OFFSET('IWP24'!UnitsOfServicePeriod1, 4, 7, 1, 1) = "", 0, OFFSET('IWP24'!UnitsOfServicePeriod1, 4, 7, 1, 1))</f>
        <v>0</v>
      </c>
      <c r="L456" s="128">
        <f ca="1">OFFSET('IWP24'!UnitsOfServicePeriod1, 4, 8, 1, 1)</f>
        <v>0</v>
      </c>
      <c r="M456" s="128">
        <f ca="1">IF(OFFSET('IWP24'!UnitsOfServicePeriod1, 4, 9, 1, 1) = "", 0, OFFSET('IWP24'!UnitsOfServicePeriod1, 4, 9, 1, 1))</f>
        <v>0</v>
      </c>
      <c r="N456" s="128">
        <f ca="1">OFFSET('IWP24'!UnitsOfServicePeriod1, 4, 10, 1, 1)</f>
        <v>0</v>
      </c>
      <c r="O456" s="128">
        <f ca="1">IF(OFFSET('IWP24'!UnitsOfServicePeriod1, 4, 11, 1, 1) = "", 0, OFFSET('IWP24'!UnitsOfServicePeriod1, 4, 11, 1, 1))</f>
        <v>0</v>
      </c>
      <c r="P456" s="128">
        <f ca="1">OFFSET('IWP24'!UnitsOfServicePeriod1, 4, 12, 1, 1)</f>
        <v>0</v>
      </c>
      <c r="Q456" s="128">
        <f ca="1">IF(OFFSET('IWP24'!UnitsOfServicePeriod1, 4, 13, 1, 1) = "", 0, OFFSET('IWP24'!UnitsOfServicePeriod1, 4, 13, 1, 1))</f>
        <v>0</v>
      </c>
      <c r="R456" s="128">
        <f ca="1">OFFSET('IWP24'!UnitsOfServicePeriod1, 4, 14, 1, 1)</f>
        <v>0</v>
      </c>
      <c r="S456" s="128">
        <f ca="1">IF(OFFSET('IWP24'!UnitsOfServicePeriod1, 4, 15, 1, 1) = "", 0, OFFSET('IWP24'!UnitsOfServicePeriod1, 4, 15, 1, 1))</f>
        <v>0</v>
      </c>
      <c r="T456" s="128">
        <f ca="1">IF(OFFSET('IWP24'!UnitsOfServicePeriod1, 4, 16, 1, 1) = "", 0, OFFSET('IWP24'!UnitsOfServicePeriod1, 4, 16, 1, 1))</f>
        <v>0</v>
      </c>
      <c r="U456" s="128">
        <f ca="1">OFFSET('IWP24'!UnitsOfServicePeriod1, 4, 17, 1, 1)</f>
        <v>0</v>
      </c>
      <c r="V456" s="128">
        <f ca="1">IF(OFFSET('IWP24'!UnitsOfServicePeriod1, 4, 19, 1, 1) = "", 0, OFFSET('IWP24'!UnitsOfServicePeriod1, 4, 19, 1, 1))</f>
        <v>0</v>
      </c>
      <c r="W456" s="128">
        <f ca="1">OFFSET('IWP24'!UnitsOfServicePeriod1, 4, 20, 1, 1)</f>
        <v>0</v>
      </c>
      <c r="X456" s="128">
        <f ca="1">IF(OFFSET('IWP24'!UnitsOfServicePeriod1, 4, 21, 1, 1) = "", 0, OFFSET('IWP24'!UnitsOfServicePeriod1, 4, 21, 1, 1))</f>
        <v>0</v>
      </c>
      <c r="Y456" s="137">
        <f ca="1">OFFSET('IWP24'!UnitsOfServicePeriod1, 4, 22, 1, 1)</f>
        <v>0</v>
      </c>
    </row>
    <row r="457" spans="1:25">
      <c r="A457" s="125" t="s">
        <v>497</v>
      </c>
      <c r="B457" s="128">
        <v>1</v>
      </c>
      <c r="C457" s="128">
        <v>6</v>
      </c>
      <c r="D457" s="107">
        <f ca="1">IF(OFFSET('IWP24'!UnitsOfServicePeriod1, 5, 0, 1, 1)=DATE(1900,1,0), DATE(1900,1,1),OFFSET('IWP24'!UnitsOfServicePeriod1, 5, 0, 1, 1))</f>
        <v>1</v>
      </c>
      <c r="E457" s="107">
        <f ca="1">IF(OFFSET('IWP24'!UnitsOfServicePeriod1, 5, 1, 1, 1)=DATE(1900,1,0), DATE(1900,1,1),OFFSET('IWP24'!UnitsOfServicePeriod1, 5, 1, 1, 1))</f>
        <v>1</v>
      </c>
      <c r="F457" s="128">
        <f ca="1">OFFSET('IWP24'!UnitsOfServicePeriod1, 5, 2, 1, 1)</f>
        <v>0</v>
      </c>
      <c r="G457" s="128">
        <f ca="1">IF(OFFSET('IWP24'!UnitsOfServicePeriod1, 5, 3, 1, 1) = "", 0, OFFSET('IWP24'!UnitsOfServicePeriod1, 5, 3, 1, 1))</f>
        <v>0</v>
      </c>
      <c r="H457" s="128">
        <f ca="1">OFFSET('IWP24'!UnitsOfServicePeriod1, 5, 4, 1, 1)</f>
        <v>0</v>
      </c>
      <c r="I457" s="128">
        <f ca="1">IF(OFFSET('IWP24'!UnitsOfServicePeriod1, 5, 5, 1, 1) = "", 0, OFFSET('IWP24'!UnitsOfServicePeriod1, 5, 5, 1, 1))</f>
        <v>0</v>
      </c>
      <c r="J457" s="128">
        <f ca="1">OFFSET('IWP24'!UnitsOfServicePeriod1, 5, 6, 1, 1)</f>
        <v>0</v>
      </c>
      <c r="K457" s="128">
        <f ca="1">IF(OFFSET('IWP24'!UnitsOfServicePeriod1, 5, 7, 1, 1) = "", 0, OFFSET('IWP24'!UnitsOfServicePeriod1, 5, 7, 1, 1))</f>
        <v>0</v>
      </c>
      <c r="L457" s="128">
        <f ca="1">OFFSET('IWP24'!UnitsOfServicePeriod1, 5, 8, 1, 1)</f>
        <v>0</v>
      </c>
      <c r="M457" s="128">
        <f ca="1">IF(OFFSET('IWP24'!UnitsOfServicePeriod1, 5, 9, 1, 1) = "", 0, OFFSET('IWP24'!UnitsOfServicePeriod1, 5, 9, 1, 1))</f>
        <v>0</v>
      </c>
      <c r="N457" s="128">
        <f ca="1">OFFSET('IWP24'!UnitsOfServicePeriod1, 5, 10, 1, 1)</f>
        <v>0</v>
      </c>
      <c r="O457" s="128">
        <f ca="1">IF(OFFSET('IWP24'!UnitsOfServicePeriod1, 5, 11, 1, 1) = "", 0, OFFSET('IWP24'!UnitsOfServicePeriod1, 5, 11, 1, 1))</f>
        <v>0</v>
      </c>
      <c r="P457" s="128">
        <f ca="1">OFFSET('IWP24'!UnitsOfServicePeriod1, 5, 12, 1, 1)</f>
        <v>0</v>
      </c>
      <c r="Q457" s="128">
        <f ca="1">IF(OFFSET('IWP24'!UnitsOfServicePeriod1, 5, 13, 1, 1) = "", 0, OFFSET('IWP24'!UnitsOfServicePeriod1, 5, 13, 1, 1))</f>
        <v>0</v>
      </c>
      <c r="R457" s="128">
        <f ca="1">OFFSET('IWP24'!UnitsOfServicePeriod1, 5, 14, 1, 1)</f>
        <v>0</v>
      </c>
      <c r="S457" s="128">
        <f ca="1">IF(OFFSET('IWP24'!UnitsOfServicePeriod1, 5, 15, 1, 1) = "", 0, OFFSET('IWP24'!UnitsOfServicePeriod1, 5, 15, 1, 1))</f>
        <v>0</v>
      </c>
      <c r="T457" s="128">
        <f ca="1">IF(OFFSET('IWP24'!UnitsOfServicePeriod1, 5, 16, 1, 1) = "", 0, OFFSET('IWP24'!UnitsOfServicePeriod1, 5, 16, 1, 1))</f>
        <v>0</v>
      </c>
      <c r="U457" s="128">
        <f ca="1">OFFSET('IWP24'!UnitsOfServicePeriod1, 5, 17, 1, 1)</f>
        <v>0</v>
      </c>
      <c r="V457" s="128">
        <f ca="1">IF(OFFSET('IWP24'!UnitsOfServicePeriod1, 5, 19, 1, 1) = "", 0, OFFSET('IWP24'!UnitsOfServicePeriod1, 5, 19, 1, 1))</f>
        <v>0</v>
      </c>
      <c r="W457" s="128">
        <f ca="1">OFFSET('IWP24'!UnitsOfServicePeriod1, 5, 20, 1, 1)</f>
        <v>0</v>
      </c>
      <c r="X457" s="128">
        <f ca="1">IF(OFFSET('IWP24'!UnitsOfServicePeriod1, 5, 21, 1, 1) = "", 0, OFFSET('IWP24'!UnitsOfServicePeriod1, 5, 21, 1, 1))</f>
        <v>0</v>
      </c>
      <c r="Y457" s="137">
        <f ca="1">OFFSET('IWP24'!UnitsOfServicePeriod1, 5, 22, 1, 1)</f>
        <v>0</v>
      </c>
    </row>
    <row r="458" spans="1:25">
      <c r="A458" s="125" t="s">
        <v>497</v>
      </c>
      <c r="B458" s="128">
        <v>2</v>
      </c>
      <c r="C458" s="128">
        <v>1</v>
      </c>
      <c r="D458" s="107">
        <f ca="1">IF(OFFSET('IWP24'!UnitsOfServicePeriod2, 0, 0, 1, 1)=DATE(1900,1,0), DATE(1900,1,1),OFFSET('IWP24'!UnitsOfServicePeriod2, 0, 0, 1, 1))</f>
        <v>1</v>
      </c>
      <c r="E458" s="107">
        <f ca="1">IF(OFFSET('IWP24'!UnitsOfServicePeriod2, 0, 1, 1, 1)=DATE(1900,1,0), DATE(1900,1,1),OFFSET('IWP24'!UnitsOfServicePeriod2, 0, 1, 1, 1))</f>
        <v>1</v>
      </c>
      <c r="F458" s="128">
        <f ca="1">OFFSET('IWP24'!UnitsOfServicePeriod2, 0, 2, 1, 1)</f>
        <v>0</v>
      </c>
      <c r="G458" s="128">
        <f ca="1">IF(OFFSET('IWP24'!UnitsOfServicePeriod2, 0, 3, 1, 1) = "", 0, OFFSET('IWP24'!UnitsOfServicePeriod2, 0, 3, 1, 1))</f>
        <v>0</v>
      </c>
      <c r="H458" s="128">
        <f ca="1">OFFSET('IWP24'!UnitsOfServicePeriod2, 0, 4, 1, 1)</f>
        <v>0</v>
      </c>
      <c r="I458" s="128">
        <f ca="1">IF(OFFSET('IWP24'!UnitsOfServicePeriod2, 0, 5, 1, 1) = "", 0, OFFSET('IWP24'!UnitsOfServicePeriod2, 0, 5, 1, 1))</f>
        <v>0</v>
      </c>
      <c r="J458" s="128">
        <f ca="1">OFFSET('IWP24'!UnitsOfServicePeriod2, 0, 6, 1, 1)</f>
        <v>0</v>
      </c>
      <c r="K458" s="128">
        <f ca="1">IF(OFFSET('IWP24'!UnitsOfServicePeriod2, 0, 7, 1, 1) = "", 0, OFFSET('IWP24'!UnitsOfServicePeriod2, 0, 7, 1, 1))</f>
        <v>0</v>
      </c>
      <c r="L458" s="128">
        <f ca="1">OFFSET('IWP24'!UnitsOfServicePeriod2, 0, 8, 1, 1)</f>
        <v>0</v>
      </c>
      <c r="M458" s="128">
        <f ca="1">IF(OFFSET('IWP24'!UnitsOfServicePeriod2, 0, 9, 1, 1) = "", 0, OFFSET('IWP24'!UnitsOfServicePeriod2, 0, 9, 1, 1))</f>
        <v>0</v>
      </c>
      <c r="N458" s="128">
        <f ca="1">OFFSET('IWP24'!UnitsOfServicePeriod2, 0, 10, 1, 1)</f>
        <v>0</v>
      </c>
      <c r="O458" s="128">
        <f ca="1">IF(OFFSET('IWP24'!UnitsOfServicePeriod2, 0, 11, 1, 1) = "", 0, OFFSET('IWP24'!UnitsOfServicePeriod2, 0, 11, 1, 1))</f>
        <v>0</v>
      </c>
      <c r="P458" s="128">
        <f ca="1">OFFSET('IWP24'!UnitsOfServicePeriod2, 0, 12, 1, 1)</f>
        <v>0</v>
      </c>
      <c r="Q458" s="128">
        <f ca="1">IF(OFFSET('IWP24'!UnitsOfServicePeriod2, 0, 13, 1, 1) = "", 0, OFFSET('IWP24'!UnitsOfServicePeriod2, 0, 13, 1, 1))</f>
        <v>0</v>
      </c>
      <c r="R458" s="128">
        <f ca="1">OFFSET('IWP24'!UnitsOfServicePeriod2, 0, 14, 1, 1)</f>
        <v>0</v>
      </c>
      <c r="S458" s="128">
        <f ca="1">IF(OFFSET('IWP24'!UnitsOfServicePeriod2, 0, 15, 1, 1) = "", 0, OFFSET('IWP24'!UnitsOfServicePeriod2, 0, 15, 1, 1))</f>
        <v>0</v>
      </c>
      <c r="T458" s="128">
        <f ca="1">IF(OFFSET('IWP24'!UnitsOfServicePeriod2, 0, 16, 1, 1) = "", 0, OFFSET('IWP24'!UnitsOfServicePeriod2, 0, 16, 1, 1))</f>
        <v>0</v>
      </c>
      <c r="U458" s="128">
        <f ca="1">OFFSET('IWP24'!UnitsOfServicePeriod2, 0, 17, 1, 1)</f>
        <v>0</v>
      </c>
      <c r="V458" s="128">
        <f ca="1">IF(OFFSET('IWP24'!UnitsOfServicePeriod2, 0, 19, 1, 1) = "", 0, OFFSET('IWP24'!UnitsOfServicePeriod2, 0, 19, 1, 1))</f>
        <v>0</v>
      </c>
      <c r="W458" s="128">
        <f ca="1">OFFSET('IWP24'!UnitsOfServicePeriod2, 0, 20, 1, 1)</f>
        <v>0</v>
      </c>
      <c r="X458" s="128">
        <f ca="1">IF(OFFSET('IWP24'!UnitsOfServicePeriod2, 0, 21, 1, 1) = "", 0, OFFSET('IWP24'!UnitsOfServicePeriod2, 0, 21, 1, 1))</f>
        <v>0</v>
      </c>
      <c r="Y458" s="137">
        <f ca="1">OFFSET('IWP24'!UnitsOfServicePeriod2, 0, 22, 1, 1)</f>
        <v>0</v>
      </c>
    </row>
    <row r="459" spans="1:25">
      <c r="A459" s="125" t="s">
        <v>497</v>
      </c>
      <c r="B459" s="128">
        <v>2</v>
      </c>
      <c r="C459" s="128">
        <v>2</v>
      </c>
      <c r="D459" s="107">
        <f ca="1">IF(OFFSET('IWP24'!UnitsOfServicePeriod2, 1, 0, 1, 1)=DATE(1900,1,0), DATE(1900,1,1),OFFSET('IWP24'!UnitsOfServicePeriod2, 1, 0, 1, 1))</f>
        <v>1</v>
      </c>
      <c r="E459" s="107">
        <f ca="1">IF(OFFSET('IWP24'!UnitsOfServicePeriod2, 1, 1, 1, 1)=DATE(1900,1,0), DATE(1900,1,1),OFFSET('IWP24'!UnitsOfServicePeriod2, 1, 1, 1, 1))</f>
        <v>1</v>
      </c>
      <c r="F459" s="128">
        <f ca="1">OFFSET('IWP24'!UnitsOfServicePeriod2, 1, 2, 1, 1)</f>
        <v>0</v>
      </c>
      <c r="G459" s="128">
        <f ca="1">IF(OFFSET('IWP24'!UnitsOfServicePeriod2, 1, 3, 1, 1) = "", 0, OFFSET('IWP24'!UnitsOfServicePeriod2, 1, 3, 1, 1))</f>
        <v>0</v>
      </c>
      <c r="H459" s="128">
        <f ca="1">OFFSET('IWP24'!UnitsOfServicePeriod2, 1, 4, 1, 1)</f>
        <v>0</v>
      </c>
      <c r="I459" s="128">
        <f ca="1">IF(OFFSET('IWP24'!UnitsOfServicePeriod2, 1, 5, 1, 1) = "", 0, OFFSET('IWP24'!UnitsOfServicePeriod2, 1, 5, 1, 1))</f>
        <v>0</v>
      </c>
      <c r="J459" s="128">
        <f ca="1">OFFSET('IWP24'!UnitsOfServicePeriod2, 1, 6, 1, 1)</f>
        <v>0</v>
      </c>
      <c r="K459" s="128">
        <f ca="1">IF(OFFSET('IWP24'!UnitsOfServicePeriod2, 1, 7, 1, 1) = "", 0, OFFSET('IWP24'!UnitsOfServicePeriod2, 1, 7, 1, 1))</f>
        <v>0</v>
      </c>
      <c r="L459" s="128">
        <f ca="1">OFFSET('IWP24'!UnitsOfServicePeriod2, 1, 8, 1, 1)</f>
        <v>0</v>
      </c>
      <c r="M459" s="128">
        <f ca="1">IF(OFFSET('IWP24'!UnitsOfServicePeriod2, 1, 9, 1, 1) = "", 0, OFFSET('IWP24'!UnitsOfServicePeriod2, 1, 9, 1, 1))</f>
        <v>0</v>
      </c>
      <c r="N459" s="128">
        <f ca="1">OFFSET('IWP24'!UnitsOfServicePeriod2, 1, 10, 1, 1)</f>
        <v>0</v>
      </c>
      <c r="O459" s="128">
        <f ca="1">IF(OFFSET('IWP24'!UnitsOfServicePeriod2, 1, 11, 1, 1) = "", 0, OFFSET('IWP24'!UnitsOfServicePeriod2, 1, 11, 1, 1))</f>
        <v>0</v>
      </c>
      <c r="P459" s="128">
        <f ca="1">OFFSET('IWP24'!UnitsOfServicePeriod2, 1, 12, 1, 1)</f>
        <v>0</v>
      </c>
      <c r="Q459" s="128">
        <f ca="1">IF(OFFSET('IWP24'!UnitsOfServicePeriod2, 1, 13, 1, 1) = "", 0, OFFSET('IWP24'!UnitsOfServicePeriod2, 1, 13, 1, 1))</f>
        <v>0</v>
      </c>
      <c r="R459" s="128">
        <f ca="1">OFFSET('IWP24'!UnitsOfServicePeriod2, 1, 14, 1, 1)</f>
        <v>0</v>
      </c>
      <c r="S459" s="128">
        <f ca="1">IF(OFFSET('IWP24'!UnitsOfServicePeriod2, 1, 15, 1, 1) = "", 0, OFFSET('IWP24'!UnitsOfServicePeriod2, 1, 15, 1, 1))</f>
        <v>0</v>
      </c>
      <c r="T459" s="128">
        <f ca="1">IF(OFFSET('IWP24'!UnitsOfServicePeriod2, 1, 16, 1, 1) = "", 0, OFFSET('IWP24'!UnitsOfServicePeriod2, 1, 16, 1, 1))</f>
        <v>0</v>
      </c>
      <c r="U459" s="128">
        <f ca="1">OFFSET('IWP24'!UnitsOfServicePeriod2, 1, 17, 1, 1)</f>
        <v>0</v>
      </c>
      <c r="V459" s="128">
        <f ca="1">IF(OFFSET('IWP24'!UnitsOfServicePeriod2, 1, 19, 1, 1) = "", 0, OFFSET('IWP24'!UnitsOfServicePeriod2, 1, 19, 1, 1))</f>
        <v>0</v>
      </c>
      <c r="W459" s="128">
        <f ca="1">OFFSET('IWP24'!UnitsOfServicePeriod2, 1, 20, 1, 1)</f>
        <v>0</v>
      </c>
      <c r="X459" s="128">
        <f ca="1">IF(OFFSET('IWP24'!UnitsOfServicePeriod2, 1, 21, 1, 1) = "", 0, OFFSET('IWP24'!UnitsOfServicePeriod2, 1, 21, 1, 1))</f>
        <v>0</v>
      </c>
      <c r="Y459" s="137">
        <f ca="1">OFFSET('IWP24'!UnitsOfServicePeriod2, 1, 22, 1, 1)</f>
        <v>0</v>
      </c>
    </row>
    <row r="460" spans="1:25">
      <c r="A460" s="125" t="s">
        <v>497</v>
      </c>
      <c r="B460" s="128">
        <v>2</v>
      </c>
      <c r="C460" s="128">
        <v>3</v>
      </c>
      <c r="D460" s="107">
        <f ca="1">IF(OFFSET('IWP24'!UnitsOfServicePeriod2, 2, 0, 1, 1)=DATE(1900,1,0), DATE(1900,1,1),OFFSET('IWP24'!UnitsOfServicePeriod2, 2, 0, 1, 1))</f>
        <v>1</v>
      </c>
      <c r="E460" s="107">
        <f ca="1">IF(OFFSET('IWP24'!UnitsOfServicePeriod2, 2, 1, 1, 1)=DATE(1900,1,0), DATE(1900,1,1),OFFSET('IWP24'!UnitsOfServicePeriod2, 2, 1, 1, 1))</f>
        <v>1</v>
      </c>
      <c r="F460" s="128">
        <f ca="1">OFFSET('IWP24'!UnitsOfServicePeriod2, 2, 2, 1, 1)</f>
        <v>0</v>
      </c>
      <c r="G460" s="128">
        <f ca="1">IF(OFFSET('IWP24'!UnitsOfServicePeriod2, 2, 3, 1, 1) = "", 0, OFFSET('IWP24'!UnitsOfServicePeriod2, 2, 3, 1, 1))</f>
        <v>0</v>
      </c>
      <c r="H460" s="128">
        <f ca="1">OFFSET('IWP24'!UnitsOfServicePeriod2, 2, 4, 1, 1)</f>
        <v>0</v>
      </c>
      <c r="I460" s="128">
        <f ca="1">IF(OFFSET('IWP24'!UnitsOfServicePeriod2, 2, 5, 1, 1) = "", 0, OFFSET('IWP24'!UnitsOfServicePeriod2, 2, 5, 1, 1))</f>
        <v>0</v>
      </c>
      <c r="J460" s="128">
        <f ca="1">OFFSET('IWP24'!UnitsOfServicePeriod2, 2, 6, 1, 1)</f>
        <v>0</v>
      </c>
      <c r="K460" s="128">
        <f ca="1">IF(OFFSET('IWP24'!UnitsOfServicePeriod2, 2, 7, 1, 1) = "", 0, OFFSET('IWP24'!UnitsOfServicePeriod2, 2, 7, 1, 1))</f>
        <v>0</v>
      </c>
      <c r="L460" s="128">
        <f ca="1">OFFSET('IWP24'!UnitsOfServicePeriod2, 2, 8, 1, 1)</f>
        <v>0</v>
      </c>
      <c r="M460" s="128">
        <f ca="1">IF(OFFSET('IWP24'!UnitsOfServicePeriod2, 2, 9, 1, 1) = "", 0, OFFSET('IWP24'!UnitsOfServicePeriod2, 2, 9, 1, 1))</f>
        <v>0</v>
      </c>
      <c r="N460" s="128">
        <f ca="1">OFFSET('IWP24'!UnitsOfServicePeriod2, 2, 10, 1, 1)</f>
        <v>0</v>
      </c>
      <c r="O460" s="128">
        <f ca="1">IF(OFFSET('IWP24'!UnitsOfServicePeriod2, 2, 11, 1, 1) = "", 0, OFFSET('IWP24'!UnitsOfServicePeriod2, 2, 11, 1, 1))</f>
        <v>0</v>
      </c>
      <c r="P460" s="128">
        <f ca="1">OFFSET('IWP24'!UnitsOfServicePeriod2, 2, 12, 1, 1)</f>
        <v>0</v>
      </c>
      <c r="Q460" s="128">
        <f ca="1">IF(OFFSET('IWP24'!UnitsOfServicePeriod2, 2, 13, 1, 1) = "", 0, OFFSET('IWP24'!UnitsOfServicePeriod2, 2, 13, 1, 1))</f>
        <v>0</v>
      </c>
      <c r="R460" s="128">
        <f ca="1">OFFSET('IWP24'!UnitsOfServicePeriod2, 2, 14, 1, 1)</f>
        <v>0</v>
      </c>
      <c r="S460" s="128">
        <f ca="1">IF(OFFSET('IWP24'!UnitsOfServicePeriod2, 2, 15, 1, 1) = "", 0, OFFSET('IWP24'!UnitsOfServicePeriod2, 2, 15, 1, 1))</f>
        <v>0</v>
      </c>
      <c r="T460" s="128">
        <f ca="1">IF(OFFSET('IWP24'!UnitsOfServicePeriod2, 2, 16, 1, 1) = "", 0, OFFSET('IWP24'!UnitsOfServicePeriod2, 2, 16, 1, 1))</f>
        <v>0</v>
      </c>
      <c r="U460" s="128">
        <f ca="1">OFFSET('IWP24'!UnitsOfServicePeriod2, 2, 17, 1, 1)</f>
        <v>0</v>
      </c>
      <c r="V460" s="128">
        <f ca="1">IF(OFFSET('IWP24'!UnitsOfServicePeriod2, 2, 19, 1, 1) = "", 0, OFFSET('IWP24'!UnitsOfServicePeriod2, 2, 19, 1, 1))</f>
        <v>0</v>
      </c>
      <c r="W460" s="128">
        <f ca="1">OFFSET('IWP24'!UnitsOfServicePeriod2, 2, 20, 1, 1)</f>
        <v>0</v>
      </c>
      <c r="X460" s="128">
        <f ca="1">IF(OFFSET('IWP24'!UnitsOfServicePeriod2, 2, 21, 1, 1) = "", 0, OFFSET('IWP24'!UnitsOfServicePeriod2, 2, 21, 1, 1))</f>
        <v>0</v>
      </c>
      <c r="Y460" s="137">
        <f ca="1">OFFSET('IWP24'!UnitsOfServicePeriod2, 2, 22, 1, 1)</f>
        <v>0</v>
      </c>
    </row>
    <row r="461" spans="1:25">
      <c r="A461" s="125" t="s">
        <v>497</v>
      </c>
      <c r="B461" s="128">
        <v>2</v>
      </c>
      <c r="C461" s="128">
        <v>4</v>
      </c>
      <c r="D461" s="107">
        <f ca="1">IF(OFFSET('IWP24'!UnitsOfServicePeriod2, 3, 0, 1, 1)=DATE(1900,1,0), DATE(1900,1,1),OFFSET('IWP24'!UnitsOfServicePeriod2, 3, 0, 1, 1))</f>
        <v>1</v>
      </c>
      <c r="E461" s="107">
        <f ca="1">IF(OFFSET('IWP24'!UnitsOfServicePeriod2, 3, 1, 1, 1)=DATE(1900,1,0), DATE(1900,1,1),OFFSET('IWP24'!UnitsOfServicePeriod2, 3, 1, 1, 1))</f>
        <v>1</v>
      </c>
      <c r="F461" s="128">
        <f ca="1">OFFSET('IWP24'!UnitsOfServicePeriod2, 3, 2, 1, 1)</f>
        <v>0</v>
      </c>
      <c r="G461" s="128">
        <f ca="1">IF(OFFSET('IWP24'!UnitsOfServicePeriod2, 3, 3, 1, 1) = "", 0, OFFSET('IWP24'!UnitsOfServicePeriod2, 3, 3, 1, 1))</f>
        <v>0</v>
      </c>
      <c r="H461" s="128">
        <f ca="1">OFFSET('IWP24'!UnitsOfServicePeriod2, 3, 4, 1, 1)</f>
        <v>0</v>
      </c>
      <c r="I461" s="128">
        <f ca="1">IF(OFFSET('IWP24'!UnitsOfServicePeriod2, 3, 5, 1, 1) = "", 0, OFFSET('IWP24'!UnitsOfServicePeriod2, 3, 5, 1, 1))</f>
        <v>0</v>
      </c>
      <c r="J461" s="128">
        <f ca="1">OFFSET('IWP24'!UnitsOfServicePeriod2, 3, 6, 1, 1)</f>
        <v>0</v>
      </c>
      <c r="K461" s="128">
        <f ca="1">IF(OFFSET('IWP24'!UnitsOfServicePeriod2, 3, 7, 1, 1) = "", 0, OFFSET('IWP24'!UnitsOfServicePeriod2, 3, 7, 1, 1))</f>
        <v>0</v>
      </c>
      <c r="L461" s="128">
        <f ca="1">OFFSET('IWP24'!UnitsOfServicePeriod2, 3, 8, 1, 1)</f>
        <v>0</v>
      </c>
      <c r="M461" s="128">
        <f ca="1">IF(OFFSET('IWP24'!UnitsOfServicePeriod2, 3, 9, 1, 1) = "", 0, OFFSET('IWP24'!UnitsOfServicePeriod2, 3, 9, 1, 1))</f>
        <v>0</v>
      </c>
      <c r="N461" s="128">
        <f ca="1">OFFSET('IWP24'!UnitsOfServicePeriod2, 3, 10, 1, 1)</f>
        <v>0</v>
      </c>
      <c r="O461" s="128">
        <f ca="1">IF(OFFSET('IWP24'!UnitsOfServicePeriod2, 3, 11, 1, 1) = "", 0, OFFSET('IWP24'!UnitsOfServicePeriod2, 3, 11, 1, 1))</f>
        <v>0</v>
      </c>
      <c r="P461" s="128">
        <f ca="1">OFFSET('IWP24'!UnitsOfServicePeriod2, 3, 12, 1, 1)</f>
        <v>0</v>
      </c>
      <c r="Q461" s="128">
        <f ca="1">IF(OFFSET('IWP24'!UnitsOfServicePeriod2, 3, 13, 1, 1) = "", 0, OFFSET('IWP24'!UnitsOfServicePeriod2, 3, 13, 1, 1))</f>
        <v>0</v>
      </c>
      <c r="R461" s="128">
        <f ca="1">OFFSET('IWP24'!UnitsOfServicePeriod2, 3, 14, 1, 1)</f>
        <v>0</v>
      </c>
      <c r="S461" s="128">
        <f ca="1">IF(OFFSET('IWP24'!UnitsOfServicePeriod2, 3, 15, 1, 1) = "", 0, OFFSET('IWP24'!UnitsOfServicePeriod2, 3, 15, 1, 1))</f>
        <v>0</v>
      </c>
      <c r="T461" s="128">
        <f ca="1">IF(OFFSET('IWP24'!UnitsOfServicePeriod2, 3, 16, 1, 1) = "", 0, OFFSET('IWP24'!UnitsOfServicePeriod2, 3, 16, 1, 1))</f>
        <v>0</v>
      </c>
      <c r="U461" s="128">
        <f ca="1">OFFSET('IWP24'!UnitsOfServicePeriod2, 3, 17, 1, 1)</f>
        <v>0</v>
      </c>
      <c r="V461" s="128">
        <f ca="1">IF(OFFSET('IWP24'!UnitsOfServicePeriod2, 3, 19, 1, 1) = "", 0, OFFSET('IWP24'!UnitsOfServicePeriod2, 3, 19, 1, 1))</f>
        <v>0</v>
      </c>
      <c r="W461" s="128">
        <f ca="1">OFFSET('IWP24'!UnitsOfServicePeriod2, 3, 20, 1, 1)</f>
        <v>0</v>
      </c>
      <c r="X461" s="128">
        <f ca="1">IF(OFFSET('IWP24'!UnitsOfServicePeriod2, 3, 21, 1, 1) = "", 0, OFFSET('IWP24'!UnitsOfServicePeriod2, 3, 21, 1, 1))</f>
        <v>0</v>
      </c>
      <c r="Y461" s="137">
        <f ca="1">OFFSET('IWP24'!UnitsOfServicePeriod2, 3, 22, 1, 1)</f>
        <v>0</v>
      </c>
    </row>
    <row r="462" spans="1:25">
      <c r="A462" s="125" t="s">
        <v>497</v>
      </c>
      <c r="B462" s="128">
        <v>2</v>
      </c>
      <c r="C462" s="128">
        <v>5</v>
      </c>
      <c r="D462" s="107">
        <f ca="1">IF(OFFSET('IWP24'!UnitsOfServicePeriod2, 4, 0, 1, 1)=DATE(1900,1,0), DATE(1900,1,1),OFFSET('IWP24'!UnitsOfServicePeriod2, 4, 0, 1, 1))</f>
        <v>1</v>
      </c>
      <c r="E462" s="107">
        <f ca="1">IF(OFFSET('IWP24'!UnitsOfServicePeriod2, 4, 1, 1, 1)=DATE(1900,1,0), DATE(1900,1,1),OFFSET('IWP24'!UnitsOfServicePeriod2, 4, 1, 1, 1))</f>
        <v>1</v>
      </c>
      <c r="F462" s="128">
        <f ca="1">OFFSET('IWP24'!UnitsOfServicePeriod2, 4, 2, 1, 1)</f>
        <v>0</v>
      </c>
      <c r="G462" s="128">
        <f ca="1">IF(OFFSET('IWP24'!UnitsOfServicePeriod2, 4, 3, 1, 1) = "", 0, OFFSET('IWP24'!UnitsOfServicePeriod2, 4, 3, 1, 1))</f>
        <v>0</v>
      </c>
      <c r="H462" s="128">
        <f ca="1">OFFSET('IWP24'!UnitsOfServicePeriod2, 4, 4, 1, 1)</f>
        <v>0</v>
      </c>
      <c r="I462" s="128">
        <f ca="1">IF(OFFSET('IWP24'!UnitsOfServicePeriod2, 4, 5, 1, 1) = "", 0, OFFSET('IWP24'!UnitsOfServicePeriod2, 4, 5, 1, 1))</f>
        <v>0</v>
      </c>
      <c r="J462" s="128">
        <f ca="1">OFFSET('IWP24'!UnitsOfServicePeriod2, 4, 6, 1, 1)</f>
        <v>0</v>
      </c>
      <c r="K462" s="128">
        <f ca="1">IF(OFFSET('IWP24'!UnitsOfServicePeriod2, 4, 7, 1, 1) = "", 0, OFFSET('IWP24'!UnitsOfServicePeriod2, 4, 7, 1, 1))</f>
        <v>0</v>
      </c>
      <c r="L462" s="128">
        <f ca="1">OFFSET('IWP24'!UnitsOfServicePeriod2, 4, 8, 1, 1)</f>
        <v>0</v>
      </c>
      <c r="M462" s="128">
        <f ca="1">IF(OFFSET('IWP24'!UnitsOfServicePeriod2, 4, 9, 1, 1) = "", 0, OFFSET('IWP24'!UnitsOfServicePeriod2, 4, 9, 1, 1))</f>
        <v>0</v>
      </c>
      <c r="N462" s="128">
        <f ca="1">OFFSET('IWP24'!UnitsOfServicePeriod2, 4, 10, 1, 1)</f>
        <v>0</v>
      </c>
      <c r="O462" s="128">
        <f ca="1">IF(OFFSET('IWP24'!UnitsOfServicePeriod2, 4, 11, 1, 1) = "", 0, OFFSET('IWP24'!UnitsOfServicePeriod2, 4, 11, 1, 1))</f>
        <v>0</v>
      </c>
      <c r="P462" s="128">
        <f ca="1">OFFSET('IWP24'!UnitsOfServicePeriod2, 4, 12, 1, 1)</f>
        <v>0</v>
      </c>
      <c r="Q462" s="128">
        <f ca="1">IF(OFFSET('IWP24'!UnitsOfServicePeriod2, 4, 13, 1, 1) = "", 0, OFFSET('IWP24'!UnitsOfServicePeriod2, 4, 13, 1, 1))</f>
        <v>0</v>
      </c>
      <c r="R462" s="128">
        <f ca="1">OFFSET('IWP24'!UnitsOfServicePeriod2, 4, 14, 1, 1)</f>
        <v>0</v>
      </c>
      <c r="S462" s="128">
        <f ca="1">IF(OFFSET('IWP24'!UnitsOfServicePeriod2, 4, 15, 1, 1) = "", 0, OFFSET('IWP24'!UnitsOfServicePeriod2, 4, 15, 1, 1))</f>
        <v>0</v>
      </c>
      <c r="T462" s="128">
        <f ca="1">IF(OFFSET('IWP24'!UnitsOfServicePeriod2, 4, 16, 1, 1) = "", 0, OFFSET('IWP24'!UnitsOfServicePeriod2, 4, 16, 1, 1))</f>
        <v>0</v>
      </c>
      <c r="U462" s="128">
        <f ca="1">OFFSET('IWP24'!UnitsOfServicePeriod2, 4, 17, 1, 1)</f>
        <v>0</v>
      </c>
      <c r="V462" s="128">
        <f ca="1">IF(OFFSET('IWP24'!UnitsOfServicePeriod2, 4, 19, 1, 1) = "", 0, OFFSET('IWP24'!UnitsOfServicePeriod2, 4, 19, 1, 1))</f>
        <v>0</v>
      </c>
      <c r="W462" s="128">
        <f ca="1">OFFSET('IWP24'!UnitsOfServicePeriod2, 4, 20, 1, 1)</f>
        <v>0</v>
      </c>
      <c r="X462" s="128">
        <f ca="1">IF(OFFSET('IWP24'!UnitsOfServicePeriod2, 4, 21, 1, 1) = "", 0, OFFSET('IWP24'!UnitsOfServicePeriod2, 4, 21, 1, 1))</f>
        <v>0</v>
      </c>
      <c r="Y462" s="137">
        <f ca="1">OFFSET('IWP24'!UnitsOfServicePeriod2, 4, 22, 1, 1)</f>
        <v>0</v>
      </c>
    </row>
    <row r="463" spans="1:25">
      <c r="A463" s="125" t="s">
        <v>497</v>
      </c>
      <c r="B463" s="128">
        <v>2</v>
      </c>
      <c r="C463" s="128">
        <v>6</v>
      </c>
      <c r="D463" s="107">
        <f ca="1">IF(OFFSET('IWP24'!UnitsOfServicePeriod2, 5, 0, 1, 1)=DATE(1900,1,0), DATE(1900,1,1),OFFSET('IWP24'!UnitsOfServicePeriod2, 5, 0, 1, 1))</f>
        <v>1</v>
      </c>
      <c r="E463" s="107">
        <f ca="1">IF(OFFSET('IWP24'!UnitsOfServicePeriod2, 5, 1, 1, 1)=DATE(1900,1,0), DATE(1900,1,1),OFFSET('IWP24'!UnitsOfServicePeriod2, 5, 1, 1, 1))</f>
        <v>1</v>
      </c>
      <c r="F463" s="128">
        <f ca="1">OFFSET('IWP24'!UnitsOfServicePeriod2, 5, 2, 1, 1)</f>
        <v>0</v>
      </c>
      <c r="G463" s="128">
        <f ca="1">IF(OFFSET('IWP24'!UnitsOfServicePeriod2, 5, 3, 1, 1) = "", 0, OFFSET('IWP24'!UnitsOfServicePeriod2, 5, 3, 1, 1))</f>
        <v>0</v>
      </c>
      <c r="H463" s="128">
        <f ca="1">OFFSET('IWP24'!UnitsOfServicePeriod2, 5, 4, 1, 1)</f>
        <v>0</v>
      </c>
      <c r="I463" s="128">
        <f ca="1">IF(OFFSET('IWP24'!UnitsOfServicePeriod2, 5, 5, 1, 1) = "", 0, OFFSET('IWP24'!UnitsOfServicePeriod2, 5, 5, 1, 1))</f>
        <v>0</v>
      </c>
      <c r="J463" s="128">
        <f ca="1">OFFSET('IWP24'!UnitsOfServicePeriod2, 5, 6, 1, 1)</f>
        <v>0</v>
      </c>
      <c r="K463" s="128">
        <f ca="1">IF(OFFSET('IWP24'!UnitsOfServicePeriod2, 5, 7, 1, 1) = "", 0, OFFSET('IWP24'!UnitsOfServicePeriod2, 5, 7, 1, 1))</f>
        <v>0</v>
      </c>
      <c r="L463" s="128">
        <f ca="1">OFFSET('IWP24'!UnitsOfServicePeriod2, 5, 8, 1, 1)</f>
        <v>0</v>
      </c>
      <c r="M463" s="128">
        <f ca="1">IF(OFFSET('IWP24'!UnitsOfServicePeriod2, 5, 9, 1, 1) = "", 0, OFFSET('IWP24'!UnitsOfServicePeriod2, 5, 9, 1, 1))</f>
        <v>0</v>
      </c>
      <c r="N463" s="128">
        <f ca="1">OFFSET('IWP24'!UnitsOfServicePeriod2, 5, 10, 1, 1)</f>
        <v>0</v>
      </c>
      <c r="O463" s="128">
        <f ca="1">IF(OFFSET('IWP24'!UnitsOfServicePeriod2, 5, 11, 1, 1) = "", 0, OFFSET('IWP24'!UnitsOfServicePeriod2, 5, 11, 1, 1))</f>
        <v>0</v>
      </c>
      <c r="P463" s="128">
        <f ca="1">OFFSET('IWP24'!UnitsOfServicePeriod2, 5, 12, 1, 1)</f>
        <v>0</v>
      </c>
      <c r="Q463" s="128">
        <f ca="1">IF(OFFSET('IWP24'!UnitsOfServicePeriod2, 5, 13, 1, 1) = "", 0, OFFSET('IWP24'!UnitsOfServicePeriod2, 5, 13, 1, 1))</f>
        <v>0</v>
      </c>
      <c r="R463" s="128">
        <f ca="1">OFFSET('IWP24'!UnitsOfServicePeriod2, 5, 14, 1, 1)</f>
        <v>0</v>
      </c>
      <c r="S463" s="128">
        <f ca="1">IF(OFFSET('IWP24'!UnitsOfServicePeriod2, 5, 15, 1, 1) = "", 0, OFFSET('IWP24'!UnitsOfServicePeriod2, 5, 15, 1, 1))</f>
        <v>0</v>
      </c>
      <c r="T463" s="128">
        <f ca="1">IF(OFFSET('IWP24'!UnitsOfServicePeriod2, 5, 16, 1, 1) = "", 0, OFFSET('IWP24'!UnitsOfServicePeriod2, 5, 16, 1, 1))</f>
        <v>0</v>
      </c>
      <c r="U463" s="128">
        <f ca="1">OFFSET('IWP24'!UnitsOfServicePeriod2, 5, 17, 1, 1)</f>
        <v>0</v>
      </c>
      <c r="V463" s="128">
        <f ca="1">IF(OFFSET('IWP24'!UnitsOfServicePeriod2, 5, 19, 1, 1) = "", 0, OFFSET('IWP24'!UnitsOfServicePeriod2, 5, 19, 1, 1))</f>
        <v>0</v>
      </c>
      <c r="W463" s="128">
        <f ca="1">OFFSET('IWP24'!UnitsOfServicePeriod2, 5, 20, 1, 1)</f>
        <v>0</v>
      </c>
      <c r="X463" s="128">
        <f ca="1">IF(OFFSET('IWP24'!UnitsOfServicePeriod2, 5, 21, 1, 1) = "", 0, OFFSET('IWP24'!UnitsOfServicePeriod2, 5, 21, 1, 1))</f>
        <v>0</v>
      </c>
      <c r="Y463" s="137">
        <f ca="1">OFFSET('IWP24'!UnitsOfServicePeriod2, 5, 22, 1, 1)</f>
        <v>0</v>
      </c>
    </row>
    <row r="464" spans="1:25">
      <c r="A464" s="125" t="s">
        <v>498</v>
      </c>
      <c r="B464" s="128">
        <v>1</v>
      </c>
      <c r="C464" s="128">
        <v>1</v>
      </c>
      <c r="D464" s="107">
        <f ca="1">IF(OFFSET('IWP25'!UnitsOfServicePeriod1, 0, 0, 1, 1)=DATE(1900,1,0), DATE(1900,1,1),OFFSET('IWP25'!UnitsOfServicePeriod1, 0, 0, 1, 1))</f>
        <v>1</v>
      </c>
      <c r="E464" s="107">
        <f ca="1">IF(OFFSET('IWP25'!UnitsOfServicePeriod1, 0, 1, 1, 1)=DATE(1900,1,0), DATE(1900,1,1),OFFSET('IWP25'!UnitsOfServicePeriod1, 0, 1, 1, 1))</f>
        <v>1</v>
      </c>
      <c r="F464" s="128">
        <f ca="1">OFFSET('IWP25'!UnitsOfServicePeriod1, 0, 2, 1, 1)</f>
        <v>0</v>
      </c>
      <c r="G464" s="128">
        <f ca="1">IF(OFFSET('IWP25'!UnitsOfServicePeriod1, 0, 3, 1, 1) = "", 0, OFFSET('IWP25'!UnitsOfServicePeriod1, 0, 3, 1, 1))</f>
        <v>0</v>
      </c>
      <c r="H464" s="128">
        <f ca="1">OFFSET('IWP25'!UnitsOfServicePeriod1, 0, 4, 1, 1)</f>
        <v>0</v>
      </c>
      <c r="I464" s="128">
        <f ca="1">IF(OFFSET('IWP25'!UnitsOfServicePeriod1, 0, 5, 1, 1) = "", 0, OFFSET('IWP25'!UnitsOfServicePeriod1, 0, 5, 1, 1))</f>
        <v>0</v>
      </c>
      <c r="J464" s="128">
        <f ca="1">OFFSET('IWP25'!UnitsOfServicePeriod1, 0, 6, 1, 1)</f>
        <v>0</v>
      </c>
      <c r="K464" s="128">
        <f ca="1">IF(OFFSET('IWP25'!UnitsOfServicePeriod1, 0, 7, 1, 1) = "", 0, OFFSET('IWP25'!UnitsOfServicePeriod1, 0, 7, 1, 1))</f>
        <v>0</v>
      </c>
      <c r="L464" s="128">
        <f ca="1">OFFSET('IWP25'!UnitsOfServicePeriod1, 0, 8, 1, 1)</f>
        <v>0</v>
      </c>
      <c r="M464" s="128">
        <f ca="1">IF(OFFSET('IWP25'!UnitsOfServicePeriod1, 0, 9, 1, 1) = "", 0, OFFSET('IWP25'!UnitsOfServicePeriod1, 0, 9, 1, 1))</f>
        <v>0</v>
      </c>
      <c r="N464" s="128">
        <f ca="1">OFFSET('IWP25'!UnitsOfServicePeriod1, 0, 10, 1, 1)</f>
        <v>0</v>
      </c>
      <c r="O464" s="128">
        <f ca="1">IF(OFFSET('IWP25'!UnitsOfServicePeriod1, 0, 11, 1, 1) = "", 0, OFFSET('IWP25'!UnitsOfServicePeriod1, 0, 11, 1, 1))</f>
        <v>0</v>
      </c>
      <c r="P464" s="128">
        <f ca="1">OFFSET('IWP25'!UnitsOfServicePeriod1, 0, 12, 1, 1)</f>
        <v>0</v>
      </c>
      <c r="Q464" s="128">
        <f ca="1">IF(OFFSET('IWP25'!UnitsOfServicePeriod1, 0, 13, 1, 1) = "", 0, OFFSET('IWP25'!UnitsOfServicePeriod1, 0, 13, 1, 1))</f>
        <v>0</v>
      </c>
      <c r="R464" s="128">
        <f ca="1">OFFSET('IWP25'!UnitsOfServicePeriod1, 0, 14, 1, 1)</f>
        <v>0</v>
      </c>
      <c r="S464" s="128">
        <f ca="1">IF(OFFSET('IWP25'!UnitsOfServicePeriod1, 0, 15, 1, 1) = "", 0, OFFSET('IWP25'!UnitsOfServicePeriod1, 0, 15, 1, 1))</f>
        <v>0</v>
      </c>
      <c r="T464" s="128">
        <f ca="1">IF(OFFSET('IWP25'!UnitsOfServicePeriod1, 0, 16, 1, 1) = "", 0, OFFSET('IWP25'!UnitsOfServicePeriod1, 0, 16, 1, 1))</f>
        <v>0</v>
      </c>
      <c r="U464" s="128">
        <f ca="1">OFFSET('IWP25'!UnitsOfServicePeriod1, 0, 17, 1, 1)</f>
        <v>0</v>
      </c>
      <c r="V464" s="128">
        <f ca="1">IF(OFFSET('IWP25'!UnitsOfServicePeriod1, 0, 19, 1, 1) = "", 0, OFFSET('IWP25'!UnitsOfServicePeriod1, 0, 19, 1, 1))</f>
        <v>0</v>
      </c>
      <c r="W464" s="128">
        <f ca="1">OFFSET('IWP25'!UnitsOfServicePeriod1, 0, 20, 1, 1)</f>
        <v>0</v>
      </c>
      <c r="X464" s="128">
        <f ca="1">IF(OFFSET('IWP25'!UnitsOfServicePeriod1, 0, 21, 1, 1) = "", 0, OFFSET('IWP25'!UnitsOfServicePeriod1, 0, 21, 1, 1))</f>
        <v>0</v>
      </c>
      <c r="Y464" s="137">
        <f ca="1">OFFSET('IWP25'!UnitsOfServicePeriod1, 0, 22, 1, 1)</f>
        <v>0</v>
      </c>
    </row>
    <row r="465" spans="1:25">
      <c r="A465" s="125" t="s">
        <v>498</v>
      </c>
      <c r="B465" s="128">
        <v>1</v>
      </c>
      <c r="C465" s="128">
        <v>2</v>
      </c>
      <c r="D465" s="107">
        <f ca="1">IF(OFFSET('IWP25'!UnitsOfServicePeriod1, 1, 0, 1, 1)=DATE(1900,1,0), DATE(1900,1,1),OFFSET('IWP25'!UnitsOfServicePeriod1, 1, 0, 1, 1))</f>
        <v>1</v>
      </c>
      <c r="E465" s="107">
        <f ca="1">IF(OFFSET('IWP25'!UnitsOfServicePeriod1, 1, 1, 1, 1)=DATE(1900,1,0), DATE(1900,1,1),OFFSET('IWP25'!UnitsOfServicePeriod1, 1, 1, 1, 1))</f>
        <v>1</v>
      </c>
      <c r="F465" s="128">
        <f ca="1">OFFSET('IWP25'!UnitsOfServicePeriod1, 1, 2, 1, 1)</f>
        <v>0</v>
      </c>
      <c r="G465" s="128">
        <f ca="1">IF(OFFSET('IWP25'!UnitsOfServicePeriod1, 1, 3, 1, 1) = "", 0, OFFSET('IWP25'!UnitsOfServicePeriod1, 1, 3, 1, 1))</f>
        <v>0</v>
      </c>
      <c r="H465" s="128">
        <f ca="1">OFFSET('IWP25'!UnitsOfServicePeriod1, 1, 4, 1, 1)</f>
        <v>0</v>
      </c>
      <c r="I465" s="128">
        <f ca="1">IF(OFFSET('IWP25'!UnitsOfServicePeriod1, 1, 5, 1, 1) = "", 0, OFFSET('IWP25'!UnitsOfServicePeriod1, 1, 5, 1, 1))</f>
        <v>0</v>
      </c>
      <c r="J465" s="128">
        <f ca="1">OFFSET('IWP25'!UnitsOfServicePeriod1, 1, 6, 1, 1)</f>
        <v>0</v>
      </c>
      <c r="K465" s="128">
        <f ca="1">IF(OFFSET('IWP25'!UnitsOfServicePeriod1, 1, 7, 1, 1) = "", 0, OFFSET('IWP25'!UnitsOfServicePeriod1, 1, 7, 1, 1))</f>
        <v>0</v>
      </c>
      <c r="L465" s="128">
        <f ca="1">OFFSET('IWP25'!UnitsOfServicePeriod1, 1, 8, 1, 1)</f>
        <v>0</v>
      </c>
      <c r="M465" s="128">
        <f ca="1">IF(OFFSET('IWP25'!UnitsOfServicePeriod1, 1, 9, 1, 1) = "", 0, OFFSET('IWP25'!UnitsOfServicePeriod1, 1, 9, 1, 1))</f>
        <v>0</v>
      </c>
      <c r="N465" s="128">
        <f ca="1">OFFSET('IWP25'!UnitsOfServicePeriod1, 1, 10, 1, 1)</f>
        <v>0</v>
      </c>
      <c r="O465" s="128">
        <f ca="1">IF(OFFSET('IWP25'!UnitsOfServicePeriod1, 1, 11, 1, 1) = "", 0, OFFSET('IWP25'!UnitsOfServicePeriod1, 1, 11, 1, 1))</f>
        <v>0</v>
      </c>
      <c r="P465" s="128">
        <f ca="1">OFFSET('IWP25'!UnitsOfServicePeriod1, 1, 12, 1, 1)</f>
        <v>0</v>
      </c>
      <c r="Q465" s="128">
        <f ca="1">IF(OFFSET('IWP25'!UnitsOfServicePeriod1, 1, 13, 1, 1) = "", 0, OFFSET('IWP25'!UnitsOfServicePeriod1, 1, 13, 1, 1))</f>
        <v>0</v>
      </c>
      <c r="R465" s="128">
        <f ca="1">OFFSET('IWP25'!UnitsOfServicePeriod1, 1, 14, 1, 1)</f>
        <v>0</v>
      </c>
      <c r="S465" s="128">
        <f ca="1">IF(OFFSET('IWP25'!UnitsOfServicePeriod1, 1, 15, 1, 1) = "", 0, OFFSET('IWP25'!UnitsOfServicePeriod1, 1, 15, 1, 1))</f>
        <v>0</v>
      </c>
      <c r="T465" s="128">
        <f ca="1">IF(OFFSET('IWP25'!UnitsOfServicePeriod1, 1, 16, 1, 1) = "", 0, OFFSET('IWP25'!UnitsOfServicePeriod1, 1, 16, 1, 1))</f>
        <v>0</v>
      </c>
      <c r="U465" s="128">
        <f ca="1">OFFSET('IWP25'!UnitsOfServicePeriod1, 1, 17, 1, 1)</f>
        <v>0</v>
      </c>
      <c r="V465" s="128">
        <f ca="1">IF(OFFSET('IWP25'!UnitsOfServicePeriod1, 1, 19, 1, 1) = "", 0, OFFSET('IWP25'!UnitsOfServicePeriod1, 1, 19, 1, 1))</f>
        <v>0</v>
      </c>
      <c r="W465" s="128">
        <f ca="1">OFFSET('IWP25'!UnitsOfServicePeriod1, 1, 20, 1, 1)</f>
        <v>0</v>
      </c>
      <c r="X465" s="128">
        <f ca="1">IF(OFFSET('IWP25'!UnitsOfServicePeriod1, 1, 21, 1, 1) = "", 0, OFFSET('IWP25'!UnitsOfServicePeriod1, 1, 21, 1, 1))</f>
        <v>0</v>
      </c>
      <c r="Y465" s="137">
        <f ca="1">OFFSET('IWP25'!UnitsOfServicePeriod1, 1, 22, 1, 1)</f>
        <v>0</v>
      </c>
    </row>
    <row r="466" spans="1:25">
      <c r="A466" s="125" t="s">
        <v>498</v>
      </c>
      <c r="B466" s="128">
        <v>1</v>
      </c>
      <c r="C466" s="128">
        <v>3</v>
      </c>
      <c r="D466" s="107">
        <f ca="1">IF(OFFSET('IWP25'!UnitsOfServicePeriod1, 2, 0, 1, 1)=DATE(1900,1,0), DATE(1900,1,1),OFFSET('IWP25'!UnitsOfServicePeriod1, 2, 0, 1, 1))</f>
        <v>1</v>
      </c>
      <c r="E466" s="107">
        <f ca="1">IF(OFFSET('IWP25'!UnitsOfServicePeriod1, 2, 1, 1, 1)=DATE(1900,1,0), DATE(1900,1,1),OFFSET('IWP25'!UnitsOfServicePeriod1, 2, 1, 1, 1))</f>
        <v>1</v>
      </c>
      <c r="F466" s="128">
        <f ca="1">OFFSET('IWP25'!UnitsOfServicePeriod1, 2, 2, 1, 1)</f>
        <v>0</v>
      </c>
      <c r="G466" s="128">
        <f ca="1">IF(OFFSET('IWP25'!UnitsOfServicePeriod1, 2, 3, 1, 1) = "", 0, OFFSET('IWP25'!UnitsOfServicePeriod1, 2, 3, 1, 1))</f>
        <v>0</v>
      </c>
      <c r="H466" s="128">
        <f ca="1">OFFSET('IWP25'!UnitsOfServicePeriod1, 2, 4, 1, 1)</f>
        <v>0</v>
      </c>
      <c r="I466" s="128">
        <f ca="1">IF(OFFSET('IWP25'!UnitsOfServicePeriod1, 2, 5, 1, 1) = "", 0, OFFSET('IWP25'!UnitsOfServicePeriod1, 2, 5, 1, 1))</f>
        <v>0</v>
      </c>
      <c r="J466" s="128">
        <f ca="1">OFFSET('IWP25'!UnitsOfServicePeriod1, 2, 6, 1, 1)</f>
        <v>0</v>
      </c>
      <c r="K466" s="128">
        <f ca="1">IF(OFFSET('IWP25'!UnitsOfServicePeriod1, 2, 7, 1, 1) = "", 0, OFFSET('IWP25'!UnitsOfServicePeriod1, 2, 7, 1, 1))</f>
        <v>0</v>
      </c>
      <c r="L466" s="128">
        <f ca="1">OFFSET('IWP25'!UnitsOfServicePeriod1, 2, 8, 1, 1)</f>
        <v>0</v>
      </c>
      <c r="M466" s="128">
        <f ca="1">IF(OFFSET('IWP25'!UnitsOfServicePeriod1, 2, 9, 1, 1) = "", 0, OFFSET('IWP25'!UnitsOfServicePeriod1, 2, 9, 1, 1))</f>
        <v>0</v>
      </c>
      <c r="N466" s="128">
        <f ca="1">OFFSET('IWP25'!UnitsOfServicePeriod1, 2, 10, 1, 1)</f>
        <v>0</v>
      </c>
      <c r="O466" s="128">
        <f ca="1">IF(OFFSET('IWP25'!UnitsOfServicePeriod1, 2, 11, 1, 1) = "", 0, OFFSET('IWP25'!UnitsOfServicePeriod1, 2, 11, 1, 1))</f>
        <v>0</v>
      </c>
      <c r="P466" s="128">
        <f ca="1">OFFSET('IWP25'!UnitsOfServicePeriod1, 2, 12, 1, 1)</f>
        <v>0</v>
      </c>
      <c r="Q466" s="128">
        <f ca="1">IF(OFFSET('IWP25'!UnitsOfServicePeriod1, 2, 13, 1, 1) = "", 0, OFFSET('IWP25'!UnitsOfServicePeriod1, 2, 13, 1, 1))</f>
        <v>0</v>
      </c>
      <c r="R466" s="128">
        <f ca="1">OFFSET('IWP25'!UnitsOfServicePeriod1, 2, 14, 1, 1)</f>
        <v>0</v>
      </c>
      <c r="S466" s="128">
        <f ca="1">IF(OFFSET('IWP25'!UnitsOfServicePeriod1, 2, 15, 1, 1) = "", 0, OFFSET('IWP25'!UnitsOfServicePeriod1, 2, 15, 1, 1))</f>
        <v>0</v>
      </c>
      <c r="T466" s="128">
        <f ca="1">IF(OFFSET('IWP25'!UnitsOfServicePeriod1, 2, 16, 1, 1) = "", 0, OFFSET('IWP25'!UnitsOfServicePeriod1, 2, 16, 1, 1))</f>
        <v>0</v>
      </c>
      <c r="U466" s="128">
        <f ca="1">OFFSET('IWP25'!UnitsOfServicePeriod1, 2, 17, 1, 1)</f>
        <v>0</v>
      </c>
      <c r="V466" s="128">
        <f ca="1">IF(OFFSET('IWP25'!UnitsOfServicePeriod1, 2, 19, 1, 1) = "", 0, OFFSET('IWP25'!UnitsOfServicePeriod1, 2, 19, 1, 1))</f>
        <v>0</v>
      </c>
      <c r="W466" s="128">
        <f ca="1">OFFSET('IWP25'!UnitsOfServicePeriod1, 2, 20, 1, 1)</f>
        <v>0</v>
      </c>
      <c r="X466" s="128">
        <f ca="1">IF(OFFSET('IWP25'!UnitsOfServicePeriod1, 2, 21, 1, 1) = "", 0, OFFSET('IWP25'!UnitsOfServicePeriod1, 2, 21, 1, 1))</f>
        <v>0</v>
      </c>
      <c r="Y466" s="137">
        <f ca="1">OFFSET('IWP25'!UnitsOfServicePeriod1, 2, 22, 1, 1)</f>
        <v>0</v>
      </c>
    </row>
    <row r="467" spans="1:25">
      <c r="A467" s="125" t="s">
        <v>498</v>
      </c>
      <c r="B467" s="128">
        <v>1</v>
      </c>
      <c r="C467" s="128">
        <v>4</v>
      </c>
      <c r="D467" s="107">
        <f ca="1">IF(OFFSET('IWP25'!UnitsOfServicePeriod1, 3, 0, 1, 1)=DATE(1900,1,0), DATE(1900,1,1),OFFSET('IWP25'!UnitsOfServicePeriod1, 3, 0, 1, 1))</f>
        <v>1</v>
      </c>
      <c r="E467" s="107">
        <f ca="1">IF(OFFSET('IWP25'!UnitsOfServicePeriod1, 3, 1, 1, 1)=DATE(1900,1,0), DATE(1900,1,1),OFFSET('IWP25'!UnitsOfServicePeriod1, 3, 1, 1, 1))</f>
        <v>1</v>
      </c>
      <c r="F467" s="128">
        <f ca="1">OFFSET('IWP25'!UnitsOfServicePeriod1, 3, 2, 1, 1)</f>
        <v>0</v>
      </c>
      <c r="G467" s="128">
        <f ca="1">IF(OFFSET('IWP25'!UnitsOfServicePeriod1, 3, 3, 1, 1) = "", 0, OFFSET('IWP25'!UnitsOfServicePeriod1, 3, 3, 1, 1))</f>
        <v>0</v>
      </c>
      <c r="H467" s="128">
        <f ca="1">OFFSET('IWP25'!UnitsOfServicePeriod1, 3, 4, 1, 1)</f>
        <v>0</v>
      </c>
      <c r="I467" s="128">
        <f ca="1">IF(OFFSET('IWP25'!UnitsOfServicePeriod1, 3, 5, 1, 1) = "", 0, OFFSET('IWP25'!UnitsOfServicePeriod1, 3, 5, 1, 1))</f>
        <v>0</v>
      </c>
      <c r="J467" s="128">
        <f ca="1">OFFSET('IWP25'!UnitsOfServicePeriod1, 3, 6, 1, 1)</f>
        <v>0</v>
      </c>
      <c r="K467" s="128">
        <f ca="1">IF(OFFSET('IWP25'!UnitsOfServicePeriod1, 3, 7, 1, 1) = "", 0, OFFSET('IWP25'!UnitsOfServicePeriod1, 3, 7, 1, 1))</f>
        <v>0</v>
      </c>
      <c r="L467" s="128">
        <f ca="1">OFFSET('IWP25'!UnitsOfServicePeriod1, 3, 8, 1, 1)</f>
        <v>0</v>
      </c>
      <c r="M467" s="128">
        <f ca="1">IF(OFFSET('IWP25'!UnitsOfServicePeriod1, 3, 9, 1, 1) = "", 0, OFFSET('IWP25'!UnitsOfServicePeriod1, 3, 9, 1, 1))</f>
        <v>0</v>
      </c>
      <c r="N467" s="128">
        <f ca="1">OFFSET('IWP25'!UnitsOfServicePeriod1, 3, 10, 1, 1)</f>
        <v>0</v>
      </c>
      <c r="O467" s="128">
        <f ca="1">IF(OFFSET('IWP25'!UnitsOfServicePeriod1, 3, 11, 1, 1) = "", 0, OFFSET('IWP25'!UnitsOfServicePeriod1, 3, 11, 1, 1))</f>
        <v>0</v>
      </c>
      <c r="P467" s="128">
        <f ca="1">OFFSET('IWP25'!UnitsOfServicePeriod1, 3, 12, 1, 1)</f>
        <v>0</v>
      </c>
      <c r="Q467" s="128">
        <f ca="1">IF(OFFSET('IWP25'!UnitsOfServicePeriod1, 3, 13, 1, 1) = "", 0, OFFSET('IWP25'!UnitsOfServicePeriod1, 3, 13, 1, 1))</f>
        <v>0</v>
      </c>
      <c r="R467" s="128">
        <f ca="1">OFFSET('IWP25'!UnitsOfServicePeriod1, 3, 14, 1, 1)</f>
        <v>0</v>
      </c>
      <c r="S467" s="128">
        <f ca="1">IF(OFFSET('IWP25'!UnitsOfServicePeriod1, 3, 15, 1, 1) = "", 0, OFFSET('IWP25'!UnitsOfServicePeriod1, 3, 15, 1, 1))</f>
        <v>0</v>
      </c>
      <c r="T467" s="128">
        <f ca="1">IF(OFFSET('IWP25'!UnitsOfServicePeriod1, 3, 16, 1, 1) = "", 0, OFFSET('IWP25'!UnitsOfServicePeriod1, 3, 16, 1, 1))</f>
        <v>0</v>
      </c>
      <c r="U467" s="128">
        <f ca="1">OFFSET('IWP25'!UnitsOfServicePeriod1, 3, 17, 1, 1)</f>
        <v>0</v>
      </c>
      <c r="V467" s="128">
        <f ca="1">IF(OFFSET('IWP25'!UnitsOfServicePeriod1, 3, 19, 1, 1) = "", 0, OFFSET('IWP25'!UnitsOfServicePeriod1, 3, 19, 1, 1))</f>
        <v>0</v>
      </c>
      <c r="W467" s="128">
        <f ca="1">OFFSET('IWP25'!UnitsOfServicePeriod1, 3, 20, 1, 1)</f>
        <v>0</v>
      </c>
      <c r="X467" s="128">
        <f ca="1">IF(OFFSET('IWP25'!UnitsOfServicePeriod1, 3, 21, 1, 1) = "", 0, OFFSET('IWP25'!UnitsOfServicePeriod1, 3, 21, 1, 1))</f>
        <v>0</v>
      </c>
      <c r="Y467" s="137">
        <f ca="1">OFFSET('IWP25'!UnitsOfServicePeriod1, 3, 22, 1, 1)</f>
        <v>0</v>
      </c>
    </row>
    <row r="468" spans="1:25">
      <c r="A468" s="125" t="s">
        <v>498</v>
      </c>
      <c r="B468" s="128">
        <v>1</v>
      </c>
      <c r="C468" s="128">
        <v>5</v>
      </c>
      <c r="D468" s="107">
        <f ca="1">IF(OFFSET('IWP25'!UnitsOfServicePeriod1, 4, 0, 1, 1)=DATE(1900,1,0), DATE(1900,1,1),OFFSET('IWP25'!UnitsOfServicePeriod1, 4, 0, 1, 1))</f>
        <v>1</v>
      </c>
      <c r="E468" s="107">
        <f ca="1">IF(OFFSET('IWP25'!UnitsOfServicePeriod1, 4, 1, 1, 1)=DATE(1900,1,0), DATE(1900,1,1),OFFSET('IWP25'!UnitsOfServicePeriod1, 4, 1, 1, 1))</f>
        <v>1</v>
      </c>
      <c r="F468" s="128">
        <f ca="1">OFFSET('IWP25'!UnitsOfServicePeriod1, 4, 2, 1, 1)</f>
        <v>0</v>
      </c>
      <c r="G468" s="128">
        <f ca="1">IF(OFFSET('IWP25'!UnitsOfServicePeriod1, 4, 3, 1, 1) = "", 0, OFFSET('IWP25'!UnitsOfServicePeriod1, 4, 3, 1, 1))</f>
        <v>0</v>
      </c>
      <c r="H468" s="128">
        <f ca="1">OFFSET('IWP25'!UnitsOfServicePeriod1, 4, 4, 1, 1)</f>
        <v>0</v>
      </c>
      <c r="I468" s="128">
        <f ca="1">IF(OFFSET('IWP25'!UnitsOfServicePeriod1, 4, 5, 1, 1) = "", 0, OFFSET('IWP25'!UnitsOfServicePeriod1, 4, 5, 1, 1))</f>
        <v>0</v>
      </c>
      <c r="J468" s="128">
        <f ca="1">OFFSET('IWP25'!UnitsOfServicePeriod1, 4, 6, 1, 1)</f>
        <v>0</v>
      </c>
      <c r="K468" s="128">
        <f ca="1">IF(OFFSET('IWP25'!UnitsOfServicePeriod1, 4, 7, 1, 1) = "", 0, OFFSET('IWP25'!UnitsOfServicePeriod1, 4, 7, 1, 1))</f>
        <v>0</v>
      </c>
      <c r="L468" s="128">
        <f ca="1">OFFSET('IWP25'!UnitsOfServicePeriod1, 4, 8, 1, 1)</f>
        <v>0</v>
      </c>
      <c r="M468" s="128">
        <f ca="1">IF(OFFSET('IWP25'!UnitsOfServicePeriod1, 4, 9, 1, 1) = "", 0, OFFSET('IWP25'!UnitsOfServicePeriod1, 4, 9, 1, 1))</f>
        <v>0</v>
      </c>
      <c r="N468" s="128">
        <f ca="1">OFFSET('IWP25'!UnitsOfServicePeriod1, 4, 10, 1, 1)</f>
        <v>0</v>
      </c>
      <c r="O468" s="128">
        <f ca="1">IF(OFFSET('IWP25'!UnitsOfServicePeriod1, 4, 11, 1, 1) = "", 0, OFFSET('IWP25'!UnitsOfServicePeriod1, 4, 11, 1, 1))</f>
        <v>0</v>
      </c>
      <c r="P468" s="128">
        <f ca="1">OFFSET('IWP25'!UnitsOfServicePeriod1, 4, 12, 1, 1)</f>
        <v>0</v>
      </c>
      <c r="Q468" s="128">
        <f ca="1">IF(OFFSET('IWP25'!UnitsOfServicePeriod1, 4, 13, 1, 1) = "", 0, OFFSET('IWP25'!UnitsOfServicePeriod1, 4, 13, 1, 1))</f>
        <v>0</v>
      </c>
      <c r="R468" s="128">
        <f ca="1">OFFSET('IWP25'!UnitsOfServicePeriod1, 4, 14, 1, 1)</f>
        <v>0</v>
      </c>
      <c r="S468" s="128">
        <f ca="1">IF(OFFSET('IWP25'!UnitsOfServicePeriod1, 4, 15, 1, 1) = "", 0, OFFSET('IWP25'!UnitsOfServicePeriod1, 4, 15, 1, 1))</f>
        <v>0</v>
      </c>
      <c r="T468" s="128">
        <f ca="1">IF(OFFSET('IWP25'!UnitsOfServicePeriod1, 4, 16, 1, 1) = "", 0, OFFSET('IWP25'!UnitsOfServicePeriod1, 4, 16, 1, 1))</f>
        <v>0</v>
      </c>
      <c r="U468" s="128">
        <f ca="1">OFFSET('IWP25'!UnitsOfServicePeriod1, 4, 17, 1, 1)</f>
        <v>0</v>
      </c>
      <c r="V468" s="128">
        <f ca="1">IF(OFFSET('IWP25'!UnitsOfServicePeriod1, 4, 19, 1, 1) = "", 0, OFFSET('IWP25'!UnitsOfServicePeriod1, 4, 19, 1, 1))</f>
        <v>0</v>
      </c>
      <c r="W468" s="128">
        <f ca="1">OFFSET('IWP25'!UnitsOfServicePeriod1, 4, 20, 1, 1)</f>
        <v>0</v>
      </c>
      <c r="X468" s="128">
        <f ca="1">IF(OFFSET('IWP25'!UnitsOfServicePeriod1, 4, 21, 1, 1) = "", 0, OFFSET('IWP25'!UnitsOfServicePeriod1, 4, 21, 1, 1))</f>
        <v>0</v>
      </c>
      <c r="Y468" s="137">
        <f ca="1">OFFSET('IWP25'!UnitsOfServicePeriod1, 4, 22, 1, 1)</f>
        <v>0</v>
      </c>
    </row>
    <row r="469" spans="1:25">
      <c r="A469" s="125" t="s">
        <v>498</v>
      </c>
      <c r="B469" s="128">
        <v>1</v>
      </c>
      <c r="C469" s="128">
        <v>6</v>
      </c>
      <c r="D469" s="107">
        <f ca="1">IF(OFFSET('IWP25'!UnitsOfServicePeriod1, 5, 0, 1, 1)=DATE(1900,1,0), DATE(1900,1,1),OFFSET('IWP25'!UnitsOfServicePeriod1, 5, 0, 1, 1))</f>
        <v>1</v>
      </c>
      <c r="E469" s="107">
        <f ca="1">IF(OFFSET('IWP25'!UnitsOfServicePeriod1, 5, 1, 1, 1)=DATE(1900,1,0), DATE(1900,1,1),OFFSET('IWP25'!UnitsOfServicePeriod1, 5, 1, 1, 1))</f>
        <v>1</v>
      </c>
      <c r="F469" s="128">
        <f ca="1">OFFSET('IWP25'!UnitsOfServicePeriod1, 5, 2, 1, 1)</f>
        <v>0</v>
      </c>
      <c r="G469" s="128">
        <f ca="1">IF(OFFSET('IWP25'!UnitsOfServicePeriod1, 5, 3, 1, 1) = "", 0, OFFSET('IWP25'!UnitsOfServicePeriod1, 5, 3, 1, 1))</f>
        <v>0</v>
      </c>
      <c r="H469" s="128">
        <f ca="1">OFFSET('IWP25'!UnitsOfServicePeriod1, 5, 4, 1, 1)</f>
        <v>0</v>
      </c>
      <c r="I469" s="128">
        <f ca="1">IF(OFFSET('IWP25'!UnitsOfServicePeriod1, 5, 5, 1, 1) = "", 0, OFFSET('IWP25'!UnitsOfServicePeriod1, 5, 5, 1, 1))</f>
        <v>0</v>
      </c>
      <c r="J469" s="128">
        <f ca="1">OFFSET('IWP25'!UnitsOfServicePeriod1, 5, 6, 1, 1)</f>
        <v>0</v>
      </c>
      <c r="K469" s="128">
        <f ca="1">IF(OFFSET('IWP25'!UnitsOfServicePeriod1, 5, 7, 1, 1) = "", 0, OFFSET('IWP25'!UnitsOfServicePeriod1, 5, 7, 1, 1))</f>
        <v>0</v>
      </c>
      <c r="L469" s="128">
        <f ca="1">OFFSET('IWP25'!UnitsOfServicePeriod1, 5, 8, 1, 1)</f>
        <v>0</v>
      </c>
      <c r="M469" s="128">
        <f ca="1">IF(OFFSET('IWP25'!UnitsOfServicePeriod1, 5, 9, 1, 1) = "", 0, OFFSET('IWP25'!UnitsOfServicePeriod1, 5, 9, 1, 1))</f>
        <v>0</v>
      </c>
      <c r="N469" s="128">
        <f ca="1">OFFSET('IWP25'!UnitsOfServicePeriod1, 5, 10, 1, 1)</f>
        <v>0</v>
      </c>
      <c r="O469" s="128">
        <f ca="1">IF(OFFSET('IWP25'!UnitsOfServicePeriod1, 5, 11, 1, 1) = "", 0, OFFSET('IWP25'!UnitsOfServicePeriod1, 5, 11, 1, 1))</f>
        <v>0</v>
      </c>
      <c r="P469" s="128">
        <f ca="1">OFFSET('IWP25'!UnitsOfServicePeriod1, 5, 12, 1, 1)</f>
        <v>0</v>
      </c>
      <c r="Q469" s="128">
        <f ca="1">IF(OFFSET('IWP25'!UnitsOfServicePeriod1, 5, 13, 1, 1) = "", 0, OFFSET('IWP25'!UnitsOfServicePeriod1, 5, 13, 1, 1))</f>
        <v>0</v>
      </c>
      <c r="R469" s="128">
        <f ca="1">OFFSET('IWP25'!UnitsOfServicePeriod1, 5, 14, 1, 1)</f>
        <v>0</v>
      </c>
      <c r="S469" s="128">
        <f ca="1">IF(OFFSET('IWP25'!UnitsOfServicePeriod1, 5, 15, 1, 1) = "", 0, OFFSET('IWP25'!UnitsOfServicePeriod1, 5, 15, 1, 1))</f>
        <v>0</v>
      </c>
      <c r="T469" s="128">
        <f ca="1">IF(OFFSET('IWP25'!UnitsOfServicePeriod1, 5, 16, 1, 1) = "", 0, OFFSET('IWP25'!UnitsOfServicePeriod1, 5, 16, 1, 1))</f>
        <v>0</v>
      </c>
      <c r="U469" s="128">
        <f ca="1">OFFSET('IWP25'!UnitsOfServicePeriod1, 5, 17, 1, 1)</f>
        <v>0</v>
      </c>
      <c r="V469" s="128">
        <f ca="1">IF(OFFSET('IWP25'!UnitsOfServicePeriod1, 5, 19, 1, 1) = "", 0, OFFSET('IWP25'!UnitsOfServicePeriod1, 5, 19, 1, 1))</f>
        <v>0</v>
      </c>
      <c r="W469" s="128">
        <f ca="1">OFFSET('IWP25'!UnitsOfServicePeriod1, 5, 20, 1, 1)</f>
        <v>0</v>
      </c>
      <c r="X469" s="128">
        <f ca="1">IF(OFFSET('IWP25'!UnitsOfServicePeriod1, 5, 21, 1, 1) = "", 0, OFFSET('IWP25'!UnitsOfServicePeriod1, 5, 21, 1, 1))</f>
        <v>0</v>
      </c>
      <c r="Y469" s="137">
        <f ca="1">OFFSET('IWP25'!UnitsOfServicePeriod1, 5, 22, 1, 1)</f>
        <v>0</v>
      </c>
    </row>
    <row r="470" spans="1:25">
      <c r="A470" s="125" t="s">
        <v>498</v>
      </c>
      <c r="B470" s="128">
        <v>2</v>
      </c>
      <c r="C470" s="128">
        <v>1</v>
      </c>
      <c r="D470" s="107">
        <f ca="1">IF(OFFSET('IWP25'!UnitsOfServicePeriod2, 0, 0, 1, 1)=DATE(1900,1,0), DATE(1900,1,1),OFFSET('IWP25'!UnitsOfServicePeriod2, 0, 0, 1, 1))</f>
        <v>1</v>
      </c>
      <c r="E470" s="107">
        <f ca="1">IF(OFFSET('IWP25'!UnitsOfServicePeriod2, 0, 1, 1, 1)=DATE(1900,1,0), DATE(1900,1,1),OFFSET('IWP25'!UnitsOfServicePeriod2, 0, 1, 1, 1))</f>
        <v>1</v>
      </c>
      <c r="F470" s="128">
        <f ca="1">OFFSET('IWP25'!UnitsOfServicePeriod2, 0, 2, 1, 1)</f>
        <v>0</v>
      </c>
      <c r="G470" s="128">
        <f ca="1">IF(OFFSET('IWP25'!UnitsOfServicePeriod2, 0, 3, 1, 1) = "", 0, OFFSET('IWP25'!UnitsOfServicePeriod2, 0, 3, 1, 1))</f>
        <v>0</v>
      </c>
      <c r="H470" s="128">
        <f ca="1">OFFSET('IWP25'!UnitsOfServicePeriod2, 0, 4, 1, 1)</f>
        <v>0</v>
      </c>
      <c r="I470" s="128">
        <f ca="1">IF(OFFSET('IWP25'!UnitsOfServicePeriod2, 0, 5, 1, 1) = "", 0, OFFSET('IWP25'!UnitsOfServicePeriod2, 0, 5, 1, 1))</f>
        <v>0</v>
      </c>
      <c r="J470" s="128">
        <f ca="1">OFFSET('IWP25'!UnitsOfServicePeriod2, 0, 6, 1, 1)</f>
        <v>0</v>
      </c>
      <c r="K470" s="128">
        <f ca="1">IF(OFFSET('IWP25'!UnitsOfServicePeriod2, 0, 7, 1, 1) = "", 0, OFFSET('IWP25'!UnitsOfServicePeriod2, 0, 7, 1, 1))</f>
        <v>0</v>
      </c>
      <c r="L470" s="128">
        <f ca="1">OFFSET('IWP25'!UnitsOfServicePeriod2, 0, 8, 1, 1)</f>
        <v>0</v>
      </c>
      <c r="M470" s="128">
        <f ca="1">IF(OFFSET('IWP25'!UnitsOfServicePeriod2, 0, 9, 1, 1) = "", 0, OFFSET('IWP25'!UnitsOfServicePeriod2, 0, 9, 1, 1))</f>
        <v>0</v>
      </c>
      <c r="N470" s="128">
        <f ca="1">OFFSET('IWP25'!UnitsOfServicePeriod2, 0, 10, 1, 1)</f>
        <v>0</v>
      </c>
      <c r="O470" s="128">
        <f ca="1">IF(OFFSET('IWP25'!UnitsOfServicePeriod2, 0, 11, 1, 1) = "", 0, OFFSET('IWP25'!UnitsOfServicePeriod2, 0, 11, 1, 1))</f>
        <v>0</v>
      </c>
      <c r="P470" s="128">
        <f ca="1">OFFSET('IWP25'!UnitsOfServicePeriod2, 0, 12, 1, 1)</f>
        <v>0</v>
      </c>
      <c r="Q470" s="128">
        <f ca="1">IF(OFFSET('IWP25'!UnitsOfServicePeriod2, 0, 13, 1, 1) = "", 0, OFFSET('IWP25'!UnitsOfServicePeriod2, 0, 13, 1, 1))</f>
        <v>0</v>
      </c>
      <c r="R470" s="128">
        <f ca="1">OFFSET('IWP25'!UnitsOfServicePeriod2, 0, 14, 1, 1)</f>
        <v>0</v>
      </c>
      <c r="S470" s="128">
        <f ca="1">IF(OFFSET('IWP25'!UnitsOfServicePeriod2, 0, 15, 1, 1) = "", 0, OFFSET('IWP25'!UnitsOfServicePeriod2, 0, 15, 1, 1))</f>
        <v>0</v>
      </c>
      <c r="T470" s="128">
        <f ca="1">IF(OFFSET('IWP25'!UnitsOfServicePeriod2, 0, 16, 1, 1) = "", 0, OFFSET('IWP25'!UnitsOfServicePeriod2, 0, 16, 1, 1))</f>
        <v>0</v>
      </c>
      <c r="U470" s="128">
        <f ca="1">OFFSET('IWP25'!UnitsOfServicePeriod2, 0, 17, 1, 1)</f>
        <v>0</v>
      </c>
      <c r="V470" s="128">
        <f ca="1">IF(OFFSET('IWP25'!UnitsOfServicePeriod2, 0, 19, 1, 1) = "", 0, OFFSET('IWP25'!UnitsOfServicePeriod2, 0, 19, 1, 1))</f>
        <v>0</v>
      </c>
      <c r="W470" s="128">
        <f ca="1">OFFSET('IWP25'!UnitsOfServicePeriod2, 0, 20, 1, 1)</f>
        <v>0</v>
      </c>
      <c r="X470" s="128">
        <f ca="1">IF(OFFSET('IWP25'!UnitsOfServicePeriod2, 0, 21, 1, 1) = "", 0, OFFSET('IWP25'!UnitsOfServicePeriod2, 0, 21, 1, 1))</f>
        <v>0</v>
      </c>
      <c r="Y470" s="137">
        <f ca="1">OFFSET('IWP25'!UnitsOfServicePeriod2, 0, 22, 1, 1)</f>
        <v>0</v>
      </c>
    </row>
    <row r="471" spans="1:25">
      <c r="A471" s="125" t="s">
        <v>498</v>
      </c>
      <c r="B471" s="128">
        <v>2</v>
      </c>
      <c r="C471" s="128">
        <v>2</v>
      </c>
      <c r="D471" s="107">
        <f ca="1">IF(OFFSET('IWP25'!UnitsOfServicePeriod2, 1, 0, 1, 1)=DATE(1900,1,0), DATE(1900,1,1),OFFSET('IWP25'!UnitsOfServicePeriod2, 1, 0, 1, 1))</f>
        <v>1</v>
      </c>
      <c r="E471" s="107">
        <f ca="1">IF(OFFSET('IWP25'!UnitsOfServicePeriod2, 1, 1, 1, 1)=DATE(1900,1,0), DATE(1900,1,1),OFFSET('IWP25'!UnitsOfServicePeriod2, 1, 1, 1, 1))</f>
        <v>1</v>
      </c>
      <c r="F471" s="128">
        <f ca="1">OFFSET('IWP25'!UnitsOfServicePeriod2, 1, 2, 1, 1)</f>
        <v>0</v>
      </c>
      <c r="G471" s="128">
        <f ca="1">IF(OFFSET('IWP25'!UnitsOfServicePeriod2, 1, 3, 1, 1) = "", 0, OFFSET('IWP25'!UnitsOfServicePeriod2, 1, 3, 1, 1))</f>
        <v>0</v>
      </c>
      <c r="H471" s="128">
        <f ca="1">OFFSET('IWP25'!UnitsOfServicePeriod2, 1, 4, 1, 1)</f>
        <v>0</v>
      </c>
      <c r="I471" s="128">
        <f ca="1">IF(OFFSET('IWP25'!UnitsOfServicePeriod2, 1, 5, 1, 1) = "", 0, OFFSET('IWP25'!UnitsOfServicePeriod2, 1, 5, 1, 1))</f>
        <v>0</v>
      </c>
      <c r="J471" s="128">
        <f ca="1">OFFSET('IWP25'!UnitsOfServicePeriod2, 1, 6, 1, 1)</f>
        <v>0</v>
      </c>
      <c r="K471" s="128">
        <f ca="1">IF(OFFSET('IWP25'!UnitsOfServicePeriod2, 1, 7, 1, 1) = "", 0, OFFSET('IWP25'!UnitsOfServicePeriod2, 1, 7, 1, 1))</f>
        <v>0</v>
      </c>
      <c r="L471" s="128">
        <f ca="1">OFFSET('IWP25'!UnitsOfServicePeriod2, 1, 8, 1, 1)</f>
        <v>0</v>
      </c>
      <c r="M471" s="128">
        <f ca="1">IF(OFFSET('IWP25'!UnitsOfServicePeriod2, 1, 9, 1, 1) = "", 0, OFFSET('IWP25'!UnitsOfServicePeriod2, 1, 9, 1, 1))</f>
        <v>0</v>
      </c>
      <c r="N471" s="128">
        <f ca="1">OFFSET('IWP25'!UnitsOfServicePeriod2, 1, 10, 1, 1)</f>
        <v>0</v>
      </c>
      <c r="O471" s="128">
        <f ca="1">IF(OFFSET('IWP25'!UnitsOfServicePeriod2, 1, 11, 1, 1) = "", 0, OFFSET('IWP25'!UnitsOfServicePeriod2, 1, 11, 1, 1))</f>
        <v>0</v>
      </c>
      <c r="P471" s="128">
        <f ca="1">OFFSET('IWP25'!UnitsOfServicePeriod2, 1, 12, 1, 1)</f>
        <v>0</v>
      </c>
      <c r="Q471" s="128">
        <f ca="1">IF(OFFSET('IWP25'!UnitsOfServicePeriod2, 1, 13, 1, 1) = "", 0, OFFSET('IWP25'!UnitsOfServicePeriod2, 1, 13, 1, 1))</f>
        <v>0</v>
      </c>
      <c r="R471" s="128">
        <f ca="1">OFFSET('IWP25'!UnitsOfServicePeriod2, 1, 14, 1, 1)</f>
        <v>0</v>
      </c>
      <c r="S471" s="128">
        <f ca="1">IF(OFFSET('IWP25'!UnitsOfServicePeriod2, 1, 15, 1, 1) = "", 0, OFFSET('IWP25'!UnitsOfServicePeriod2, 1, 15, 1, 1))</f>
        <v>0</v>
      </c>
      <c r="T471" s="128">
        <f ca="1">IF(OFFSET('IWP25'!UnitsOfServicePeriod2, 1, 16, 1, 1) = "", 0, OFFSET('IWP25'!UnitsOfServicePeriod2, 1, 16, 1, 1))</f>
        <v>0</v>
      </c>
      <c r="U471" s="128">
        <f ca="1">OFFSET('IWP25'!UnitsOfServicePeriod2, 1, 17, 1, 1)</f>
        <v>0</v>
      </c>
      <c r="V471" s="128">
        <f ca="1">IF(OFFSET('IWP25'!UnitsOfServicePeriod2, 1, 19, 1, 1) = "", 0, OFFSET('IWP25'!UnitsOfServicePeriod2, 1, 19, 1, 1))</f>
        <v>0</v>
      </c>
      <c r="W471" s="128">
        <f ca="1">OFFSET('IWP25'!UnitsOfServicePeriod2, 1, 20, 1, 1)</f>
        <v>0</v>
      </c>
      <c r="X471" s="128">
        <f ca="1">IF(OFFSET('IWP25'!UnitsOfServicePeriod2, 1, 21, 1, 1) = "", 0, OFFSET('IWP25'!UnitsOfServicePeriod2, 1, 21, 1, 1))</f>
        <v>0</v>
      </c>
      <c r="Y471" s="137">
        <f ca="1">OFFSET('IWP25'!UnitsOfServicePeriod2, 1, 22, 1, 1)</f>
        <v>0</v>
      </c>
    </row>
    <row r="472" spans="1:25">
      <c r="A472" s="125" t="s">
        <v>498</v>
      </c>
      <c r="B472" s="128">
        <v>2</v>
      </c>
      <c r="C472" s="128">
        <v>3</v>
      </c>
      <c r="D472" s="107">
        <f ca="1">IF(OFFSET('IWP25'!UnitsOfServicePeriod2, 2, 0, 1, 1)=DATE(1900,1,0), DATE(1900,1,1),OFFSET('IWP25'!UnitsOfServicePeriod2, 2, 0, 1, 1))</f>
        <v>1</v>
      </c>
      <c r="E472" s="107">
        <f ca="1">IF(OFFSET('IWP25'!UnitsOfServicePeriod2, 2, 1, 1, 1)=DATE(1900,1,0), DATE(1900,1,1),OFFSET('IWP25'!UnitsOfServicePeriod2, 2, 1, 1, 1))</f>
        <v>1</v>
      </c>
      <c r="F472" s="128">
        <f ca="1">OFFSET('IWP25'!UnitsOfServicePeriod2, 2, 2, 1, 1)</f>
        <v>0</v>
      </c>
      <c r="G472" s="128">
        <f ca="1">IF(OFFSET('IWP25'!UnitsOfServicePeriod2, 2, 3, 1, 1) = "", 0, OFFSET('IWP25'!UnitsOfServicePeriod2, 2, 3, 1, 1))</f>
        <v>0</v>
      </c>
      <c r="H472" s="128">
        <f ca="1">OFFSET('IWP25'!UnitsOfServicePeriod2, 2, 4, 1, 1)</f>
        <v>0</v>
      </c>
      <c r="I472" s="128">
        <f ca="1">IF(OFFSET('IWP25'!UnitsOfServicePeriod2, 2, 5, 1, 1) = "", 0, OFFSET('IWP25'!UnitsOfServicePeriod2, 2, 5, 1, 1))</f>
        <v>0</v>
      </c>
      <c r="J472" s="128">
        <f ca="1">OFFSET('IWP25'!UnitsOfServicePeriod2, 2, 6, 1, 1)</f>
        <v>0</v>
      </c>
      <c r="K472" s="128">
        <f ca="1">IF(OFFSET('IWP25'!UnitsOfServicePeriod2, 2, 7, 1, 1) = "", 0, OFFSET('IWP25'!UnitsOfServicePeriod2, 2, 7, 1, 1))</f>
        <v>0</v>
      </c>
      <c r="L472" s="128">
        <f ca="1">OFFSET('IWP25'!UnitsOfServicePeriod2, 2, 8, 1, 1)</f>
        <v>0</v>
      </c>
      <c r="M472" s="128">
        <f ca="1">IF(OFFSET('IWP25'!UnitsOfServicePeriod2, 2, 9, 1, 1) = "", 0, OFFSET('IWP25'!UnitsOfServicePeriod2, 2, 9, 1, 1))</f>
        <v>0</v>
      </c>
      <c r="N472" s="128">
        <f ca="1">OFFSET('IWP25'!UnitsOfServicePeriod2, 2, 10, 1, 1)</f>
        <v>0</v>
      </c>
      <c r="O472" s="128">
        <f ca="1">IF(OFFSET('IWP25'!UnitsOfServicePeriod2, 2, 11, 1, 1) = "", 0, OFFSET('IWP25'!UnitsOfServicePeriod2, 2, 11, 1, 1))</f>
        <v>0</v>
      </c>
      <c r="P472" s="128">
        <f ca="1">OFFSET('IWP25'!UnitsOfServicePeriod2, 2, 12, 1, 1)</f>
        <v>0</v>
      </c>
      <c r="Q472" s="128">
        <f ca="1">IF(OFFSET('IWP25'!UnitsOfServicePeriod2, 2, 13, 1, 1) = "", 0, OFFSET('IWP25'!UnitsOfServicePeriod2, 2, 13, 1, 1))</f>
        <v>0</v>
      </c>
      <c r="R472" s="128">
        <f ca="1">OFFSET('IWP25'!UnitsOfServicePeriod2, 2, 14, 1, 1)</f>
        <v>0</v>
      </c>
      <c r="S472" s="128">
        <f ca="1">IF(OFFSET('IWP25'!UnitsOfServicePeriod2, 2, 15, 1, 1) = "", 0, OFFSET('IWP25'!UnitsOfServicePeriod2, 2, 15, 1, 1))</f>
        <v>0</v>
      </c>
      <c r="T472" s="128">
        <f ca="1">IF(OFFSET('IWP25'!UnitsOfServicePeriod2, 2, 16, 1, 1) = "", 0, OFFSET('IWP25'!UnitsOfServicePeriod2, 2, 16, 1, 1))</f>
        <v>0</v>
      </c>
      <c r="U472" s="128">
        <f ca="1">OFFSET('IWP25'!UnitsOfServicePeriod2, 2, 17, 1, 1)</f>
        <v>0</v>
      </c>
      <c r="V472" s="128">
        <f ca="1">IF(OFFSET('IWP25'!UnitsOfServicePeriod2, 2, 19, 1, 1) = "", 0, OFFSET('IWP25'!UnitsOfServicePeriod2, 2, 19, 1, 1))</f>
        <v>0</v>
      </c>
      <c r="W472" s="128">
        <f ca="1">OFFSET('IWP25'!UnitsOfServicePeriod2, 2, 20, 1, 1)</f>
        <v>0</v>
      </c>
      <c r="X472" s="128">
        <f ca="1">IF(OFFSET('IWP25'!UnitsOfServicePeriod2, 2, 21, 1, 1) = "", 0, OFFSET('IWP25'!UnitsOfServicePeriod2, 2, 21, 1, 1))</f>
        <v>0</v>
      </c>
      <c r="Y472" s="137">
        <f ca="1">OFFSET('IWP25'!UnitsOfServicePeriod2, 2, 22, 1, 1)</f>
        <v>0</v>
      </c>
    </row>
    <row r="473" spans="1:25">
      <c r="A473" s="125" t="s">
        <v>498</v>
      </c>
      <c r="B473" s="128">
        <v>2</v>
      </c>
      <c r="C473" s="128">
        <v>4</v>
      </c>
      <c r="D473" s="107">
        <f ca="1">IF(OFFSET('IWP25'!UnitsOfServicePeriod2, 3, 0, 1, 1)=DATE(1900,1,0), DATE(1900,1,1),OFFSET('IWP25'!UnitsOfServicePeriod2, 3, 0, 1, 1))</f>
        <v>1</v>
      </c>
      <c r="E473" s="107">
        <f ca="1">IF(OFFSET('IWP25'!UnitsOfServicePeriod2, 3, 1, 1, 1)=DATE(1900,1,0), DATE(1900,1,1),OFFSET('IWP25'!UnitsOfServicePeriod2, 3, 1, 1, 1))</f>
        <v>1</v>
      </c>
      <c r="F473" s="128">
        <f ca="1">OFFSET('IWP25'!UnitsOfServicePeriod2, 3, 2, 1, 1)</f>
        <v>0</v>
      </c>
      <c r="G473" s="128">
        <f ca="1">IF(OFFSET('IWP25'!UnitsOfServicePeriod2, 3, 3, 1, 1) = "", 0, OFFSET('IWP25'!UnitsOfServicePeriod2, 3, 3, 1, 1))</f>
        <v>0</v>
      </c>
      <c r="H473" s="128">
        <f ca="1">OFFSET('IWP25'!UnitsOfServicePeriod2, 3, 4, 1, 1)</f>
        <v>0</v>
      </c>
      <c r="I473" s="128">
        <f ca="1">IF(OFFSET('IWP25'!UnitsOfServicePeriod2, 3, 5, 1, 1) = "", 0, OFFSET('IWP25'!UnitsOfServicePeriod2, 3, 5, 1, 1))</f>
        <v>0</v>
      </c>
      <c r="J473" s="128">
        <f ca="1">OFFSET('IWP25'!UnitsOfServicePeriod2, 3, 6, 1, 1)</f>
        <v>0</v>
      </c>
      <c r="K473" s="128">
        <f ca="1">IF(OFFSET('IWP25'!UnitsOfServicePeriod2, 3, 7, 1, 1) = "", 0, OFFSET('IWP25'!UnitsOfServicePeriod2, 3, 7, 1, 1))</f>
        <v>0</v>
      </c>
      <c r="L473" s="128">
        <f ca="1">OFFSET('IWP25'!UnitsOfServicePeriod2, 3, 8, 1, 1)</f>
        <v>0</v>
      </c>
      <c r="M473" s="128">
        <f ca="1">IF(OFFSET('IWP25'!UnitsOfServicePeriod2, 3, 9, 1, 1) = "", 0, OFFSET('IWP25'!UnitsOfServicePeriod2, 3, 9, 1, 1))</f>
        <v>0</v>
      </c>
      <c r="N473" s="128">
        <f ca="1">OFFSET('IWP25'!UnitsOfServicePeriod2, 3, 10, 1, 1)</f>
        <v>0</v>
      </c>
      <c r="O473" s="128">
        <f ca="1">IF(OFFSET('IWP25'!UnitsOfServicePeriod2, 3, 11, 1, 1) = "", 0, OFFSET('IWP25'!UnitsOfServicePeriod2, 3, 11, 1, 1))</f>
        <v>0</v>
      </c>
      <c r="P473" s="128">
        <f ca="1">OFFSET('IWP25'!UnitsOfServicePeriod2, 3, 12, 1, 1)</f>
        <v>0</v>
      </c>
      <c r="Q473" s="128">
        <f ca="1">IF(OFFSET('IWP25'!UnitsOfServicePeriod2, 3, 13, 1, 1) = "", 0, OFFSET('IWP25'!UnitsOfServicePeriod2, 3, 13, 1, 1))</f>
        <v>0</v>
      </c>
      <c r="R473" s="128">
        <f ca="1">OFFSET('IWP25'!UnitsOfServicePeriod2, 3, 14, 1, 1)</f>
        <v>0</v>
      </c>
      <c r="S473" s="128">
        <f ca="1">IF(OFFSET('IWP25'!UnitsOfServicePeriod2, 3, 15, 1, 1) = "", 0, OFFSET('IWP25'!UnitsOfServicePeriod2, 3, 15, 1, 1))</f>
        <v>0</v>
      </c>
      <c r="T473" s="128">
        <f ca="1">IF(OFFSET('IWP25'!UnitsOfServicePeriod2, 3, 16, 1, 1) = "", 0, OFFSET('IWP25'!UnitsOfServicePeriod2, 3, 16, 1, 1))</f>
        <v>0</v>
      </c>
      <c r="U473" s="128">
        <f ca="1">OFFSET('IWP25'!UnitsOfServicePeriod2, 3, 17, 1, 1)</f>
        <v>0</v>
      </c>
      <c r="V473" s="128">
        <f ca="1">IF(OFFSET('IWP25'!UnitsOfServicePeriod2, 3, 19, 1, 1) = "", 0, OFFSET('IWP25'!UnitsOfServicePeriod2, 3, 19, 1, 1))</f>
        <v>0</v>
      </c>
      <c r="W473" s="128">
        <f ca="1">OFFSET('IWP25'!UnitsOfServicePeriod2, 3, 20, 1, 1)</f>
        <v>0</v>
      </c>
      <c r="X473" s="128">
        <f ca="1">IF(OFFSET('IWP25'!UnitsOfServicePeriod2, 3, 21, 1, 1) = "", 0, OFFSET('IWP25'!UnitsOfServicePeriod2, 3, 21, 1, 1))</f>
        <v>0</v>
      </c>
      <c r="Y473" s="137">
        <f ca="1">OFFSET('IWP25'!UnitsOfServicePeriod2, 3, 22, 1, 1)</f>
        <v>0</v>
      </c>
    </row>
    <row r="474" spans="1:25">
      <c r="A474" s="125" t="s">
        <v>498</v>
      </c>
      <c r="B474" s="128">
        <v>2</v>
      </c>
      <c r="C474" s="128">
        <v>5</v>
      </c>
      <c r="D474" s="107">
        <f ca="1">IF(OFFSET('IWP25'!UnitsOfServicePeriod2, 4, 0, 1, 1)=DATE(1900,1,0), DATE(1900,1,1),OFFSET('IWP25'!UnitsOfServicePeriod2, 4, 0, 1, 1))</f>
        <v>1</v>
      </c>
      <c r="E474" s="107">
        <f ca="1">IF(OFFSET('IWP25'!UnitsOfServicePeriod2, 4, 1, 1, 1)=DATE(1900,1,0), DATE(1900,1,1),OFFSET('IWP25'!UnitsOfServicePeriod2, 4, 1, 1, 1))</f>
        <v>1</v>
      </c>
      <c r="F474" s="128">
        <f ca="1">OFFSET('IWP25'!UnitsOfServicePeriod2, 4, 2, 1, 1)</f>
        <v>0</v>
      </c>
      <c r="G474" s="128">
        <f ca="1">IF(OFFSET('IWP25'!UnitsOfServicePeriod2, 4, 3, 1, 1) = "", 0, OFFSET('IWP25'!UnitsOfServicePeriod2, 4, 3, 1, 1))</f>
        <v>0</v>
      </c>
      <c r="H474" s="128">
        <f ca="1">OFFSET('IWP25'!UnitsOfServicePeriod2, 4, 4, 1, 1)</f>
        <v>0</v>
      </c>
      <c r="I474" s="128">
        <f ca="1">IF(OFFSET('IWP25'!UnitsOfServicePeriod2, 4, 5, 1, 1) = "", 0, OFFSET('IWP25'!UnitsOfServicePeriod2, 4, 5, 1, 1))</f>
        <v>0</v>
      </c>
      <c r="J474" s="128">
        <f ca="1">OFFSET('IWP25'!UnitsOfServicePeriod2, 4, 6, 1, 1)</f>
        <v>0</v>
      </c>
      <c r="K474" s="128">
        <f ca="1">IF(OFFSET('IWP25'!UnitsOfServicePeriod2, 4, 7, 1, 1) = "", 0, OFFSET('IWP25'!UnitsOfServicePeriod2, 4, 7, 1, 1))</f>
        <v>0</v>
      </c>
      <c r="L474" s="128">
        <f ca="1">OFFSET('IWP25'!UnitsOfServicePeriod2, 4, 8, 1, 1)</f>
        <v>0</v>
      </c>
      <c r="M474" s="128">
        <f ca="1">IF(OFFSET('IWP25'!UnitsOfServicePeriod2, 4, 9, 1, 1) = "", 0, OFFSET('IWP25'!UnitsOfServicePeriod2, 4, 9, 1, 1))</f>
        <v>0</v>
      </c>
      <c r="N474" s="128">
        <f ca="1">OFFSET('IWP25'!UnitsOfServicePeriod2, 4, 10, 1, 1)</f>
        <v>0</v>
      </c>
      <c r="O474" s="128">
        <f ca="1">IF(OFFSET('IWP25'!UnitsOfServicePeriod2, 4, 11, 1, 1) = "", 0, OFFSET('IWP25'!UnitsOfServicePeriod2, 4, 11, 1, 1))</f>
        <v>0</v>
      </c>
      <c r="P474" s="128">
        <f ca="1">OFFSET('IWP25'!UnitsOfServicePeriod2, 4, 12, 1, 1)</f>
        <v>0</v>
      </c>
      <c r="Q474" s="128">
        <f ca="1">IF(OFFSET('IWP25'!UnitsOfServicePeriod2, 4, 13, 1, 1) = "", 0, OFFSET('IWP25'!UnitsOfServicePeriod2, 4, 13, 1, 1))</f>
        <v>0</v>
      </c>
      <c r="R474" s="128">
        <f ca="1">OFFSET('IWP25'!UnitsOfServicePeriod2, 4, 14, 1, 1)</f>
        <v>0</v>
      </c>
      <c r="S474" s="128">
        <f ca="1">IF(OFFSET('IWP25'!UnitsOfServicePeriod2, 4, 15, 1, 1) = "", 0, OFFSET('IWP25'!UnitsOfServicePeriod2, 4, 15, 1, 1))</f>
        <v>0</v>
      </c>
      <c r="T474" s="128">
        <f ca="1">IF(OFFSET('IWP25'!UnitsOfServicePeriod2, 4, 16, 1, 1) = "", 0, OFFSET('IWP25'!UnitsOfServicePeriod2, 4, 16, 1, 1))</f>
        <v>0</v>
      </c>
      <c r="U474" s="128">
        <f ca="1">OFFSET('IWP25'!UnitsOfServicePeriod2, 4, 17, 1, 1)</f>
        <v>0</v>
      </c>
      <c r="V474" s="128">
        <f ca="1">IF(OFFSET('IWP25'!UnitsOfServicePeriod2, 4, 19, 1, 1) = "", 0, OFFSET('IWP25'!UnitsOfServicePeriod2, 4, 19, 1, 1))</f>
        <v>0</v>
      </c>
      <c r="W474" s="128">
        <f ca="1">OFFSET('IWP25'!UnitsOfServicePeriod2, 4, 20, 1, 1)</f>
        <v>0</v>
      </c>
      <c r="X474" s="128">
        <f ca="1">IF(OFFSET('IWP25'!UnitsOfServicePeriod2, 4, 21, 1, 1) = "", 0, OFFSET('IWP25'!UnitsOfServicePeriod2, 4, 21, 1, 1))</f>
        <v>0</v>
      </c>
      <c r="Y474" s="137">
        <f ca="1">OFFSET('IWP25'!UnitsOfServicePeriod2, 4, 22, 1, 1)</f>
        <v>0</v>
      </c>
    </row>
    <row r="475" spans="1:25">
      <c r="A475" s="125" t="s">
        <v>498</v>
      </c>
      <c r="B475" s="128">
        <v>2</v>
      </c>
      <c r="C475" s="128">
        <v>6</v>
      </c>
      <c r="D475" s="107">
        <f ca="1">IF(OFFSET('IWP25'!UnitsOfServicePeriod2, 5, 0, 1, 1)=DATE(1900,1,0), DATE(1900,1,1),OFFSET('IWP25'!UnitsOfServicePeriod2, 5, 0, 1, 1))</f>
        <v>1</v>
      </c>
      <c r="E475" s="107">
        <f ca="1">IF(OFFSET('IWP25'!UnitsOfServicePeriod2, 5, 1, 1, 1)=DATE(1900,1,0), DATE(1900,1,1),OFFSET('IWP25'!UnitsOfServicePeriod2, 5, 1, 1, 1))</f>
        <v>1</v>
      </c>
      <c r="F475" s="128">
        <f ca="1">OFFSET('IWP25'!UnitsOfServicePeriod2, 5, 2, 1, 1)</f>
        <v>0</v>
      </c>
      <c r="G475" s="128">
        <f ca="1">IF(OFFSET('IWP25'!UnitsOfServicePeriod2, 5, 3, 1, 1) = "", 0, OFFSET('IWP25'!UnitsOfServicePeriod2, 5, 3, 1, 1))</f>
        <v>0</v>
      </c>
      <c r="H475" s="128">
        <f ca="1">OFFSET('IWP25'!UnitsOfServicePeriod2, 5, 4, 1, 1)</f>
        <v>0</v>
      </c>
      <c r="I475" s="128">
        <f ca="1">IF(OFFSET('IWP25'!UnitsOfServicePeriod2, 5, 5, 1, 1) = "", 0, OFFSET('IWP25'!UnitsOfServicePeriod2, 5, 5, 1, 1))</f>
        <v>0</v>
      </c>
      <c r="J475" s="128">
        <f ca="1">OFFSET('IWP25'!UnitsOfServicePeriod2, 5, 6, 1, 1)</f>
        <v>0</v>
      </c>
      <c r="K475" s="128">
        <f ca="1">IF(OFFSET('IWP25'!UnitsOfServicePeriod2, 5, 7, 1, 1) = "", 0, OFFSET('IWP25'!UnitsOfServicePeriod2, 5, 7, 1, 1))</f>
        <v>0</v>
      </c>
      <c r="L475" s="128">
        <f ca="1">OFFSET('IWP25'!UnitsOfServicePeriod2, 5, 8, 1, 1)</f>
        <v>0</v>
      </c>
      <c r="M475" s="128">
        <f ca="1">IF(OFFSET('IWP25'!UnitsOfServicePeriod2, 5, 9, 1, 1) = "", 0, OFFSET('IWP25'!UnitsOfServicePeriod2, 5, 9, 1, 1))</f>
        <v>0</v>
      </c>
      <c r="N475" s="128">
        <f ca="1">OFFSET('IWP25'!UnitsOfServicePeriod2, 5, 10, 1, 1)</f>
        <v>0</v>
      </c>
      <c r="O475" s="128">
        <f ca="1">IF(OFFSET('IWP25'!UnitsOfServicePeriod2, 5, 11, 1, 1) = "", 0, OFFSET('IWP25'!UnitsOfServicePeriod2, 5, 11, 1, 1))</f>
        <v>0</v>
      </c>
      <c r="P475" s="128">
        <f ca="1">OFFSET('IWP25'!UnitsOfServicePeriod2, 5, 12, 1, 1)</f>
        <v>0</v>
      </c>
      <c r="Q475" s="128">
        <f ca="1">IF(OFFSET('IWP25'!UnitsOfServicePeriod2, 5, 13, 1, 1) = "", 0, OFFSET('IWP25'!UnitsOfServicePeriod2, 5, 13, 1, 1))</f>
        <v>0</v>
      </c>
      <c r="R475" s="128">
        <f ca="1">OFFSET('IWP25'!UnitsOfServicePeriod2, 5, 14, 1, 1)</f>
        <v>0</v>
      </c>
      <c r="S475" s="128">
        <f ca="1">IF(OFFSET('IWP25'!UnitsOfServicePeriod2, 5, 15, 1, 1) = "", 0, OFFSET('IWP25'!UnitsOfServicePeriod2, 5, 15, 1, 1))</f>
        <v>0</v>
      </c>
      <c r="T475" s="128">
        <f ca="1">IF(OFFSET('IWP25'!UnitsOfServicePeriod2, 5, 16, 1, 1) = "", 0, OFFSET('IWP25'!UnitsOfServicePeriod2, 5, 16, 1, 1))</f>
        <v>0</v>
      </c>
      <c r="U475" s="128">
        <f ca="1">OFFSET('IWP25'!UnitsOfServicePeriod2, 5, 17, 1, 1)</f>
        <v>0</v>
      </c>
      <c r="V475" s="128">
        <f ca="1">IF(OFFSET('IWP25'!UnitsOfServicePeriod2, 5, 19, 1, 1) = "", 0, OFFSET('IWP25'!UnitsOfServicePeriod2, 5, 19, 1, 1))</f>
        <v>0</v>
      </c>
      <c r="W475" s="128">
        <f ca="1">OFFSET('IWP25'!UnitsOfServicePeriod2, 5, 20, 1, 1)</f>
        <v>0</v>
      </c>
      <c r="X475" s="128">
        <f ca="1">IF(OFFSET('IWP25'!UnitsOfServicePeriod2, 5, 21, 1, 1) = "", 0, OFFSET('IWP25'!UnitsOfServicePeriod2, 5, 21, 1, 1))</f>
        <v>0</v>
      </c>
      <c r="Y475" s="137">
        <f ca="1">OFFSET('IWP25'!UnitsOfServicePeriod2, 5, 22, 1, 1)</f>
        <v>0</v>
      </c>
    </row>
    <row r="476" spans="1:25">
      <c r="A476" s="125" t="s">
        <v>499</v>
      </c>
      <c r="B476" s="128">
        <v>1</v>
      </c>
      <c r="C476" s="128">
        <v>1</v>
      </c>
      <c r="D476" s="107">
        <f ca="1">IF(OFFSET('IWP26'!UnitsOfServicePeriod1, 0, 0, 1, 1)=DATE(1900,1,0), DATE(1900,1,1),OFFSET('IWP26'!UnitsOfServicePeriod1, 0, 0, 1, 1))</f>
        <v>1</v>
      </c>
      <c r="E476" s="107">
        <f ca="1">IF(OFFSET('IWP26'!UnitsOfServicePeriod1, 0, 1, 1, 1)=DATE(1900,1,0), DATE(1900,1,1),OFFSET('IWP26'!UnitsOfServicePeriod1, 0, 1, 1, 1))</f>
        <v>1</v>
      </c>
      <c r="F476" s="128">
        <f ca="1">OFFSET('IWP26'!UnitsOfServicePeriod1, 0, 2, 1, 1)</f>
        <v>0</v>
      </c>
      <c r="G476" s="128">
        <f ca="1">IF(OFFSET('IWP26'!UnitsOfServicePeriod1, 0, 3, 1, 1) = "", 0, OFFSET('IWP26'!UnitsOfServicePeriod1, 0, 3, 1, 1))</f>
        <v>0</v>
      </c>
      <c r="H476" s="128">
        <f ca="1">OFFSET('IWP26'!UnitsOfServicePeriod1, 0, 4, 1, 1)</f>
        <v>0</v>
      </c>
      <c r="I476" s="128">
        <f ca="1">IF(OFFSET('IWP26'!UnitsOfServicePeriod1, 0, 5, 1, 1) = "", 0, OFFSET('IWP26'!UnitsOfServicePeriod1, 0, 5, 1, 1))</f>
        <v>0</v>
      </c>
      <c r="J476" s="128">
        <f ca="1">OFFSET('IWP26'!UnitsOfServicePeriod1, 0, 6, 1, 1)</f>
        <v>0</v>
      </c>
      <c r="K476" s="128">
        <f ca="1">IF(OFFSET('IWP26'!UnitsOfServicePeriod1, 0, 7, 1, 1) = "", 0, OFFSET('IWP26'!UnitsOfServicePeriod1, 0, 7, 1, 1))</f>
        <v>0</v>
      </c>
      <c r="L476" s="128">
        <f ca="1">OFFSET('IWP26'!UnitsOfServicePeriod1, 0, 8, 1, 1)</f>
        <v>0</v>
      </c>
      <c r="M476" s="128">
        <f ca="1">IF(OFFSET('IWP26'!UnitsOfServicePeriod1, 0, 9, 1, 1) = "", 0, OFFSET('IWP26'!UnitsOfServicePeriod1, 0, 9, 1, 1))</f>
        <v>0</v>
      </c>
      <c r="N476" s="128">
        <f ca="1">OFFSET('IWP26'!UnitsOfServicePeriod1, 0, 10, 1, 1)</f>
        <v>0</v>
      </c>
      <c r="O476" s="128">
        <f ca="1">IF(OFFSET('IWP26'!UnitsOfServicePeriod1, 0, 11, 1, 1) = "", 0, OFFSET('IWP26'!UnitsOfServicePeriod1, 0, 11, 1, 1))</f>
        <v>0</v>
      </c>
      <c r="P476" s="128">
        <f ca="1">OFFSET('IWP26'!UnitsOfServicePeriod1, 0, 12, 1, 1)</f>
        <v>0</v>
      </c>
      <c r="Q476" s="128">
        <f ca="1">IF(OFFSET('IWP26'!UnitsOfServicePeriod1, 0, 13, 1, 1) = "", 0, OFFSET('IWP26'!UnitsOfServicePeriod1, 0, 13, 1, 1))</f>
        <v>0</v>
      </c>
      <c r="R476" s="128">
        <f ca="1">OFFSET('IWP26'!UnitsOfServicePeriod1, 0, 14, 1, 1)</f>
        <v>0</v>
      </c>
      <c r="S476" s="128">
        <f ca="1">IF(OFFSET('IWP26'!UnitsOfServicePeriod1, 0, 15, 1, 1) = "", 0, OFFSET('IWP26'!UnitsOfServicePeriod1, 0, 15, 1, 1))</f>
        <v>0</v>
      </c>
      <c r="T476" s="128">
        <f ca="1">IF(OFFSET('IWP26'!UnitsOfServicePeriod1, 0, 16, 1, 1) = "", 0, OFFSET('IWP26'!UnitsOfServicePeriod1, 0, 16, 1, 1))</f>
        <v>0</v>
      </c>
      <c r="U476" s="128">
        <f ca="1">OFFSET('IWP26'!UnitsOfServicePeriod1, 0, 17, 1, 1)</f>
        <v>0</v>
      </c>
      <c r="V476" s="128">
        <f ca="1">IF(OFFSET('IWP26'!UnitsOfServicePeriod1, 0, 19, 1, 1) = "", 0, OFFSET('IWP26'!UnitsOfServicePeriod1, 0, 19, 1, 1))</f>
        <v>0</v>
      </c>
      <c r="W476" s="128">
        <f ca="1">OFFSET('IWP26'!UnitsOfServicePeriod1, 0, 20, 1, 1)</f>
        <v>0</v>
      </c>
      <c r="X476" s="128">
        <f ca="1">IF(OFFSET('IWP26'!UnitsOfServicePeriod1, 0, 21, 1, 1) = "", 0, OFFSET('IWP26'!UnitsOfServicePeriod1, 0, 21, 1, 1))</f>
        <v>0</v>
      </c>
      <c r="Y476" s="137">
        <f ca="1">OFFSET('IWP26'!UnitsOfServicePeriod1, 0, 22, 1, 1)</f>
        <v>0</v>
      </c>
    </row>
    <row r="477" spans="1:25">
      <c r="A477" s="125" t="s">
        <v>499</v>
      </c>
      <c r="B477" s="128">
        <v>1</v>
      </c>
      <c r="C477" s="128">
        <v>2</v>
      </c>
      <c r="D477" s="107">
        <f ca="1">IF(OFFSET('IWP26'!UnitsOfServicePeriod1, 1, 0, 1, 1)=DATE(1900,1,0), DATE(1900,1,1),OFFSET('IWP26'!UnitsOfServicePeriod1, 1, 0, 1, 1))</f>
        <v>1</v>
      </c>
      <c r="E477" s="107">
        <f ca="1">IF(OFFSET('IWP26'!UnitsOfServicePeriod1, 1, 1, 1, 1)=DATE(1900,1,0), DATE(1900,1,1),OFFSET('IWP26'!UnitsOfServicePeriod1, 1, 1, 1, 1))</f>
        <v>1</v>
      </c>
      <c r="F477" s="128">
        <f ca="1">OFFSET('IWP26'!UnitsOfServicePeriod1, 1, 2, 1, 1)</f>
        <v>0</v>
      </c>
      <c r="G477" s="128">
        <f ca="1">IF(OFFSET('IWP26'!UnitsOfServicePeriod1, 1, 3, 1, 1) = "", 0, OFFSET('IWP26'!UnitsOfServicePeriod1, 1, 3, 1, 1))</f>
        <v>0</v>
      </c>
      <c r="H477" s="128">
        <f ca="1">OFFSET('IWP26'!UnitsOfServicePeriod1, 1, 4, 1, 1)</f>
        <v>0</v>
      </c>
      <c r="I477" s="128">
        <f ca="1">IF(OFFSET('IWP26'!UnitsOfServicePeriod1, 1, 5, 1, 1) = "", 0, OFFSET('IWP26'!UnitsOfServicePeriod1, 1, 5, 1, 1))</f>
        <v>0</v>
      </c>
      <c r="J477" s="128">
        <f ca="1">OFFSET('IWP26'!UnitsOfServicePeriod1, 1, 6, 1, 1)</f>
        <v>0</v>
      </c>
      <c r="K477" s="128">
        <f ca="1">IF(OFFSET('IWP26'!UnitsOfServicePeriod1, 1, 7, 1, 1) = "", 0, OFFSET('IWP26'!UnitsOfServicePeriod1, 1, 7, 1, 1))</f>
        <v>0</v>
      </c>
      <c r="L477" s="128">
        <f ca="1">OFFSET('IWP26'!UnitsOfServicePeriod1, 1, 8, 1, 1)</f>
        <v>0</v>
      </c>
      <c r="M477" s="128">
        <f ca="1">IF(OFFSET('IWP26'!UnitsOfServicePeriod1, 1, 9, 1, 1) = "", 0, OFFSET('IWP26'!UnitsOfServicePeriod1, 1, 9, 1, 1))</f>
        <v>0</v>
      </c>
      <c r="N477" s="128">
        <f ca="1">OFFSET('IWP26'!UnitsOfServicePeriod1, 1, 10, 1, 1)</f>
        <v>0</v>
      </c>
      <c r="O477" s="128">
        <f ca="1">IF(OFFSET('IWP26'!UnitsOfServicePeriod1, 1, 11, 1, 1) = "", 0, OFFSET('IWP26'!UnitsOfServicePeriod1, 1, 11, 1, 1))</f>
        <v>0</v>
      </c>
      <c r="P477" s="128">
        <f ca="1">OFFSET('IWP26'!UnitsOfServicePeriod1, 1, 12, 1, 1)</f>
        <v>0</v>
      </c>
      <c r="Q477" s="128">
        <f ca="1">IF(OFFSET('IWP26'!UnitsOfServicePeriod1, 1, 13, 1, 1) = "", 0, OFFSET('IWP26'!UnitsOfServicePeriod1, 1, 13, 1, 1))</f>
        <v>0</v>
      </c>
      <c r="R477" s="128">
        <f ca="1">OFFSET('IWP26'!UnitsOfServicePeriod1, 1, 14, 1, 1)</f>
        <v>0</v>
      </c>
      <c r="S477" s="128">
        <f ca="1">IF(OFFSET('IWP26'!UnitsOfServicePeriod1, 1, 15, 1, 1) = "", 0, OFFSET('IWP26'!UnitsOfServicePeriod1, 1, 15, 1, 1))</f>
        <v>0</v>
      </c>
      <c r="T477" s="128">
        <f ca="1">IF(OFFSET('IWP26'!UnitsOfServicePeriod1, 1, 16, 1, 1) = "", 0, OFFSET('IWP26'!UnitsOfServicePeriod1, 1, 16, 1, 1))</f>
        <v>0</v>
      </c>
      <c r="U477" s="128">
        <f ca="1">OFFSET('IWP26'!UnitsOfServicePeriod1, 1, 17, 1, 1)</f>
        <v>0</v>
      </c>
      <c r="V477" s="128">
        <f ca="1">IF(OFFSET('IWP26'!UnitsOfServicePeriod1, 1, 19, 1, 1) = "", 0, OFFSET('IWP26'!UnitsOfServicePeriod1, 1, 19, 1, 1))</f>
        <v>0</v>
      </c>
      <c r="W477" s="128">
        <f ca="1">OFFSET('IWP26'!UnitsOfServicePeriod1, 1, 20, 1, 1)</f>
        <v>0</v>
      </c>
      <c r="X477" s="128">
        <f ca="1">IF(OFFSET('IWP26'!UnitsOfServicePeriod1, 1, 21, 1, 1) = "", 0, OFFSET('IWP26'!UnitsOfServicePeriod1, 1, 21, 1, 1))</f>
        <v>0</v>
      </c>
      <c r="Y477" s="137">
        <f ca="1">OFFSET('IWP26'!UnitsOfServicePeriod1, 1, 22, 1, 1)</f>
        <v>0</v>
      </c>
    </row>
    <row r="478" spans="1:25">
      <c r="A478" s="125" t="s">
        <v>499</v>
      </c>
      <c r="B478" s="128">
        <v>1</v>
      </c>
      <c r="C478" s="128">
        <v>3</v>
      </c>
      <c r="D478" s="107">
        <f ca="1">IF(OFFSET('IWP26'!UnitsOfServicePeriod1, 2, 0, 1, 1)=DATE(1900,1,0), DATE(1900,1,1),OFFSET('IWP26'!UnitsOfServicePeriod1, 2, 0, 1, 1))</f>
        <v>1</v>
      </c>
      <c r="E478" s="107">
        <f ca="1">IF(OFFSET('IWP26'!UnitsOfServicePeriod1, 2, 1, 1, 1)=DATE(1900,1,0), DATE(1900,1,1),OFFSET('IWP26'!UnitsOfServicePeriod1, 2, 1, 1, 1))</f>
        <v>1</v>
      </c>
      <c r="F478" s="128">
        <f ca="1">OFFSET('IWP26'!UnitsOfServicePeriod1, 2, 2, 1, 1)</f>
        <v>0</v>
      </c>
      <c r="G478" s="128">
        <f ca="1">IF(OFFSET('IWP26'!UnitsOfServicePeriod1, 2, 3, 1, 1) = "", 0, OFFSET('IWP26'!UnitsOfServicePeriod1, 2, 3, 1, 1))</f>
        <v>0</v>
      </c>
      <c r="H478" s="128">
        <f ca="1">OFFSET('IWP26'!UnitsOfServicePeriod1, 2, 4, 1, 1)</f>
        <v>0</v>
      </c>
      <c r="I478" s="128">
        <f ca="1">IF(OFFSET('IWP26'!UnitsOfServicePeriod1, 2, 5, 1, 1) = "", 0, OFFSET('IWP26'!UnitsOfServicePeriod1, 2, 5, 1, 1))</f>
        <v>0</v>
      </c>
      <c r="J478" s="128">
        <f ca="1">OFFSET('IWP26'!UnitsOfServicePeriod1, 2, 6, 1, 1)</f>
        <v>0</v>
      </c>
      <c r="K478" s="128">
        <f ca="1">IF(OFFSET('IWP26'!UnitsOfServicePeriod1, 2, 7, 1, 1) = "", 0, OFFSET('IWP26'!UnitsOfServicePeriod1, 2, 7, 1, 1))</f>
        <v>0</v>
      </c>
      <c r="L478" s="128">
        <f ca="1">OFFSET('IWP26'!UnitsOfServicePeriod1, 2, 8, 1, 1)</f>
        <v>0</v>
      </c>
      <c r="M478" s="128">
        <f ca="1">IF(OFFSET('IWP26'!UnitsOfServicePeriod1, 2, 9, 1, 1) = "", 0, OFFSET('IWP26'!UnitsOfServicePeriod1, 2, 9, 1, 1))</f>
        <v>0</v>
      </c>
      <c r="N478" s="128">
        <f ca="1">OFFSET('IWP26'!UnitsOfServicePeriod1, 2, 10, 1, 1)</f>
        <v>0</v>
      </c>
      <c r="O478" s="128">
        <f ca="1">IF(OFFSET('IWP26'!UnitsOfServicePeriod1, 2, 11, 1, 1) = "", 0, OFFSET('IWP26'!UnitsOfServicePeriod1, 2, 11, 1, 1))</f>
        <v>0</v>
      </c>
      <c r="P478" s="128">
        <f ca="1">OFFSET('IWP26'!UnitsOfServicePeriod1, 2, 12, 1, 1)</f>
        <v>0</v>
      </c>
      <c r="Q478" s="128">
        <f ca="1">IF(OFFSET('IWP26'!UnitsOfServicePeriod1, 2, 13, 1, 1) = "", 0, OFFSET('IWP26'!UnitsOfServicePeriod1, 2, 13, 1, 1))</f>
        <v>0</v>
      </c>
      <c r="R478" s="128">
        <f ca="1">OFFSET('IWP26'!UnitsOfServicePeriod1, 2, 14, 1, 1)</f>
        <v>0</v>
      </c>
      <c r="S478" s="128">
        <f ca="1">IF(OFFSET('IWP26'!UnitsOfServicePeriod1, 2, 15, 1, 1) = "", 0, OFFSET('IWP26'!UnitsOfServicePeriod1, 2, 15, 1, 1))</f>
        <v>0</v>
      </c>
      <c r="T478" s="128">
        <f ca="1">IF(OFFSET('IWP26'!UnitsOfServicePeriod1, 2, 16, 1, 1) = "", 0, OFFSET('IWP26'!UnitsOfServicePeriod1, 2, 16, 1, 1))</f>
        <v>0</v>
      </c>
      <c r="U478" s="128">
        <f ca="1">OFFSET('IWP26'!UnitsOfServicePeriod1, 2, 17, 1, 1)</f>
        <v>0</v>
      </c>
      <c r="V478" s="128">
        <f ca="1">IF(OFFSET('IWP26'!UnitsOfServicePeriod1, 2, 19, 1, 1) = "", 0, OFFSET('IWP26'!UnitsOfServicePeriod1, 2, 19, 1, 1))</f>
        <v>0</v>
      </c>
      <c r="W478" s="128">
        <f ca="1">OFFSET('IWP26'!UnitsOfServicePeriod1, 2, 20, 1, 1)</f>
        <v>0</v>
      </c>
      <c r="X478" s="128">
        <f ca="1">IF(OFFSET('IWP26'!UnitsOfServicePeriod1, 2, 21, 1, 1) = "", 0, OFFSET('IWP26'!UnitsOfServicePeriod1, 2, 21, 1, 1))</f>
        <v>0</v>
      </c>
      <c r="Y478" s="137">
        <f ca="1">OFFSET('IWP26'!UnitsOfServicePeriod1, 2, 22, 1, 1)</f>
        <v>0</v>
      </c>
    </row>
    <row r="479" spans="1:25">
      <c r="A479" s="125" t="s">
        <v>499</v>
      </c>
      <c r="B479" s="128">
        <v>1</v>
      </c>
      <c r="C479" s="128">
        <v>4</v>
      </c>
      <c r="D479" s="107">
        <f ca="1">IF(OFFSET('IWP26'!UnitsOfServicePeriod1, 3, 0, 1, 1)=DATE(1900,1,0), DATE(1900,1,1),OFFSET('IWP26'!UnitsOfServicePeriod1, 3, 0, 1, 1))</f>
        <v>1</v>
      </c>
      <c r="E479" s="107">
        <f ca="1">IF(OFFSET('IWP26'!UnitsOfServicePeriod1, 3, 1, 1, 1)=DATE(1900,1,0), DATE(1900,1,1),OFFSET('IWP26'!UnitsOfServicePeriod1, 3, 1, 1, 1))</f>
        <v>1</v>
      </c>
      <c r="F479" s="128">
        <f ca="1">OFFSET('IWP26'!UnitsOfServicePeriod1, 3, 2, 1, 1)</f>
        <v>0</v>
      </c>
      <c r="G479" s="128">
        <f ca="1">IF(OFFSET('IWP26'!UnitsOfServicePeriod1, 3, 3, 1, 1) = "", 0, OFFSET('IWP26'!UnitsOfServicePeriod1, 3, 3, 1, 1))</f>
        <v>0</v>
      </c>
      <c r="H479" s="128">
        <f ca="1">OFFSET('IWP26'!UnitsOfServicePeriod1, 3, 4, 1, 1)</f>
        <v>0</v>
      </c>
      <c r="I479" s="128">
        <f ca="1">IF(OFFSET('IWP26'!UnitsOfServicePeriod1, 3, 5, 1, 1) = "", 0, OFFSET('IWP26'!UnitsOfServicePeriod1, 3, 5, 1, 1))</f>
        <v>0</v>
      </c>
      <c r="J479" s="128">
        <f ca="1">OFFSET('IWP26'!UnitsOfServicePeriod1, 3, 6, 1, 1)</f>
        <v>0</v>
      </c>
      <c r="K479" s="128">
        <f ca="1">IF(OFFSET('IWP26'!UnitsOfServicePeriod1, 3, 7, 1, 1) = "", 0, OFFSET('IWP26'!UnitsOfServicePeriod1, 3, 7, 1, 1))</f>
        <v>0</v>
      </c>
      <c r="L479" s="128">
        <f ca="1">OFFSET('IWP26'!UnitsOfServicePeriod1, 3, 8, 1, 1)</f>
        <v>0</v>
      </c>
      <c r="M479" s="128">
        <f ca="1">IF(OFFSET('IWP26'!UnitsOfServicePeriod1, 3, 9, 1, 1) = "", 0, OFFSET('IWP26'!UnitsOfServicePeriod1, 3, 9, 1, 1))</f>
        <v>0</v>
      </c>
      <c r="N479" s="128">
        <f ca="1">OFFSET('IWP26'!UnitsOfServicePeriod1, 3, 10, 1, 1)</f>
        <v>0</v>
      </c>
      <c r="O479" s="128">
        <f ca="1">IF(OFFSET('IWP26'!UnitsOfServicePeriod1, 3, 11, 1, 1) = "", 0, OFFSET('IWP26'!UnitsOfServicePeriod1, 3, 11, 1, 1))</f>
        <v>0</v>
      </c>
      <c r="P479" s="128">
        <f ca="1">OFFSET('IWP26'!UnitsOfServicePeriod1, 3, 12, 1, 1)</f>
        <v>0</v>
      </c>
      <c r="Q479" s="128">
        <f ca="1">IF(OFFSET('IWP26'!UnitsOfServicePeriod1, 3, 13, 1, 1) = "", 0, OFFSET('IWP26'!UnitsOfServicePeriod1, 3, 13, 1, 1))</f>
        <v>0</v>
      </c>
      <c r="R479" s="128">
        <f ca="1">OFFSET('IWP26'!UnitsOfServicePeriod1, 3, 14, 1, 1)</f>
        <v>0</v>
      </c>
      <c r="S479" s="128">
        <f ca="1">IF(OFFSET('IWP26'!UnitsOfServicePeriod1, 3, 15, 1, 1) = "", 0, OFFSET('IWP26'!UnitsOfServicePeriod1, 3, 15, 1, 1))</f>
        <v>0</v>
      </c>
      <c r="T479" s="128">
        <f ca="1">IF(OFFSET('IWP26'!UnitsOfServicePeriod1, 3, 16, 1, 1) = "", 0, OFFSET('IWP26'!UnitsOfServicePeriod1, 3, 16, 1, 1))</f>
        <v>0</v>
      </c>
      <c r="U479" s="128">
        <f ca="1">OFFSET('IWP26'!UnitsOfServicePeriod1, 3, 17, 1, 1)</f>
        <v>0</v>
      </c>
      <c r="V479" s="128">
        <f ca="1">IF(OFFSET('IWP26'!UnitsOfServicePeriod1, 3, 19, 1, 1) = "", 0, OFFSET('IWP26'!UnitsOfServicePeriod1, 3, 19, 1, 1))</f>
        <v>0</v>
      </c>
      <c r="W479" s="128">
        <f ca="1">OFFSET('IWP26'!UnitsOfServicePeriod1, 3, 20, 1, 1)</f>
        <v>0</v>
      </c>
      <c r="X479" s="128">
        <f ca="1">IF(OFFSET('IWP26'!UnitsOfServicePeriod1, 3, 21, 1, 1) = "", 0, OFFSET('IWP26'!UnitsOfServicePeriod1, 3, 21, 1, 1))</f>
        <v>0</v>
      </c>
      <c r="Y479" s="137">
        <f ca="1">OFFSET('IWP26'!UnitsOfServicePeriod1, 3, 22, 1, 1)</f>
        <v>0</v>
      </c>
    </row>
    <row r="480" spans="1:25">
      <c r="A480" s="125" t="s">
        <v>499</v>
      </c>
      <c r="B480" s="128">
        <v>1</v>
      </c>
      <c r="C480" s="128">
        <v>5</v>
      </c>
      <c r="D480" s="107">
        <f ca="1">IF(OFFSET('IWP26'!UnitsOfServicePeriod1, 4, 0, 1, 1)=DATE(1900,1,0), DATE(1900,1,1),OFFSET('IWP26'!UnitsOfServicePeriod1, 4, 0, 1, 1))</f>
        <v>1</v>
      </c>
      <c r="E480" s="107">
        <f ca="1">IF(OFFSET('IWP26'!UnitsOfServicePeriod1, 4, 1, 1, 1)=DATE(1900,1,0), DATE(1900,1,1),OFFSET('IWP26'!UnitsOfServicePeriod1, 4, 1, 1, 1))</f>
        <v>1</v>
      </c>
      <c r="F480" s="128">
        <f ca="1">OFFSET('IWP26'!UnitsOfServicePeriod1, 4, 2, 1, 1)</f>
        <v>0</v>
      </c>
      <c r="G480" s="128">
        <f ca="1">IF(OFFSET('IWP26'!UnitsOfServicePeriod1, 4, 3, 1, 1) = "", 0, OFFSET('IWP26'!UnitsOfServicePeriod1, 4, 3, 1, 1))</f>
        <v>0</v>
      </c>
      <c r="H480" s="128">
        <f ca="1">OFFSET('IWP26'!UnitsOfServicePeriod1, 4, 4, 1, 1)</f>
        <v>0</v>
      </c>
      <c r="I480" s="128">
        <f ca="1">IF(OFFSET('IWP26'!UnitsOfServicePeriod1, 4, 5, 1, 1) = "", 0, OFFSET('IWP26'!UnitsOfServicePeriod1, 4, 5, 1, 1))</f>
        <v>0</v>
      </c>
      <c r="J480" s="128">
        <f ca="1">OFFSET('IWP26'!UnitsOfServicePeriod1, 4, 6, 1, 1)</f>
        <v>0</v>
      </c>
      <c r="K480" s="128">
        <f ca="1">IF(OFFSET('IWP26'!UnitsOfServicePeriod1, 4, 7, 1, 1) = "", 0, OFFSET('IWP26'!UnitsOfServicePeriod1, 4, 7, 1, 1))</f>
        <v>0</v>
      </c>
      <c r="L480" s="128">
        <f ca="1">OFFSET('IWP26'!UnitsOfServicePeriod1, 4, 8, 1, 1)</f>
        <v>0</v>
      </c>
      <c r="M480" s="128">
        <f ca="1">IF(OFFSET('IWP26'!UnitsOfServicePeriod1, 4, 9, 1, 1) = "", 0, OFFSET('IWP26'!UnitsOfServicePeriod1, 4, 9, 1, 1))</f>
        <v>0</v>
      </c>
      <c r="N480" s="128">
        <f ca="1">OFFSET('IWP26'!UnitsOfServicePeriod1, 4, 10, 1, 1)</f>
        <v>0</v>
      </c>
      <c r="O480" s="128">
        <f ca="1">IF(OFFSET('IWP26'!UnitsOfServicePeriod1, 4, 11, 1, 1) = "", 0, OFFSET('IWP26'!UnitsOfServicePeriod1, 4, 11, 1, 1))</f>
        <v>0</v>
      </c>
      <c r="P480" s="128">
        <f ca="1">OFFSET('IWP26'!UnitsOfServicePeriod1, 4, 12, 1, 1)</f>
        <v>0</v>
      </c>
      <c r="Q480" s="128">
        <f ca="1">IF(OFFSET('IWP26'!UnitsOfServicePeriod1, 4, 13, 1, 1) = "", 0, OFFSET('IWP26'!UnitsOfServicePeriod1, 4, 13, 1, 1))</f>
        <v>0</v>
      </c>
      <c r="R480" s="128">
        <f ca="1">OFFSET('IWP26'!UnitsOfServicePeriod1, 4, 14, 1, 1)</f>
        <v>0</v>
      </c>
      <c r="S480" s="128">
        <f ca="1">IF(OFFSET('IWP26'!UnitsOfServicePeriod1, 4, 15, 1, 1) = "", 0, OFFSET('IWP26'!UnitsOfServicePeriod1, 4, 15, 1, 1))</f>
        <v>0</v>
      </c>
      <c r="T480" s="128">
        <f ca="1">IF(OFFSET('IWP26'!UnitsOfServicePeriod1, 4, 16, 1, 1) = "", 0, OFFSET('IWP26'!UnitsOfServicePeriod1, 4, 16, 1, 1))</f>
        <v>0</v>
      </c>
      <c r="U480" s="128">
        <f ca="1">OFFSET('IWP26'!UnitsOfServicePeriod1, 4, 17, 1, 1)</f>
        <v>0</v>
      </c>
      <c r="V480" s="128">
        <f ca="1">IF(OFFSET('IWP26'!UnitsOfServicePeriod1, 4, 19, 1, 1) = "", 0, OFFSET('IWP26'!UnitsOfServicePeriod1, 4, 19, 1, 1))</f>
        <v>0</v>
      </c>
      <c r="W480" s="128">
        <f ca="1">OFFSET('IWP26'!UnitsOfServicePeriod1, 4, 20, 1, 1)</f>
        <v>0</v>
      </c>
      <c r="X480" s="128">
        <f ca="1">IF(OFFSET('IWP26'!UnitsOfServicePeriod1, 4, 21, 1, 1) = "", 0, OFFSET('IWP26'!UnitsOfServicePeriod1, 4, 21, 1, 1))</f>
        <v>0</v>
      </c>
      <c r="Y480" s="137">
        <f ca="1">OFFSET('IWP26'!UnitsOfServicePeriod1, 4, 22, 1, 1)</f>
        <v>0</v>
      </c>
    </row>
    <row r="481" spans="1:25">
      <c r="A481" s="125" t="s">
        <v>499</v>
      </c>
      <c r="B481" s="128">
        <v>1</v>
      </c>
      <c r="C481" s="128">
        <v>6</v>
      </c>
      <c r="D481" s="107">
        <f ca="1">IF(OFFSET('IWP26'!UnitsOfServicePeriod1, 5, 0, 1, 1)=DATE(1900,1,0), DATE(1900,1,1),OFFSET('IWP26'!UnitsOfServicePeriod1, 5, 0, 1, 1))</f>
        <v>1</v>
      </c>
      <c r="E481" s="107">
        <f ca="1">IF(OFFSET('IWP26'!UnitsOfServicePeriod1, 5, 1, 1, 1)=DATE(1900,1,0), DATE(1900,1,1),OFFSET('IWP26'!UnitsOfServicePeriod1, 5, 1, 1, 1))</f>
        <v>1</v>
      </c>
      <c r="F481" s="128">
        <f ca="1">OFFSET('IWP26'!UnitsOfServicePeriod1, 5, 2, 1, 1)</f>
        <v>0</v>
      </c>
      <c r="G481" s="128">
        <f ca="1">IF(OFFSET('IWP26'!UnitsOfServicePeriod1, 5, 3, 1, 1) = "", 0, OFFSET('IWP26'!UnitsOfServicePeriod1, 5, 3, 1, 1))</f>
        <v>0</v>
      </c>
      <c r="H481" s="128">
        <f ca="1">OFFSET('IWP26'!UnitsOfServicePeriod1, 5, 4, 1, 1)</f>
        <v>0</v>
      </c>
      <c r="I481" s="128">
        <f ca="1">IF(OFFSET('IWP26'!UnitsOfServicePeriod1, 5, 5, 1, 1) = "", 0, OFFSET('IWP26'!UnitsOfServicePeriod1, 5, 5, 1, 1))</f>
        <v>0</v>
      </c>
      <c r="J481" s="128">
        <f ca="1">OFFSET('IWP26'!UnitsOfServicePeriod1, 5, 6, 1, 1)</f>
        <v>0</v>
      </c>
      <c r="K481" s="128">
        <f ca="1">IF(OFFSET('IWP26'!UnitsOfServicePeriod1, 5, 7, 1, 1) = "", 0, OFFSET('IWP26'!UnitsOfServicePeriod1, 5, 7, 1, 1))</f>
        <v>0</v>
      </c>
      <c r="L481" s="128">
        <f ca="1">OFFSET('IWP26'!UnitsOfServicePeriod1, 5, 8, 1, 1)</f>
        <v>0</v>
      </c>
      <c r="M481" s="128">
        <f ca="1">IF(OFFSET('IWP26'!UnitsOfServicePeriod1, 5, 9, 1, 1) = "", 0, OFFSET('IWP26'!UnitsOfServicePeriod1, 5, 9, 1, 1))</f>
        <v>0</v>
      </c>
      <c r="N481" s="128">
        <f ca="1">OFFSET('IWP26'!UnitsOfServicePeriod1, 5, 10, 1, 1)</f>
        <v>0</v>
      </c>
      <c r="O481" s="128">
        <f ca="1">IF(OFFSET('IWP26'!UnitsOfServicePeriod1, 5, 11, 1, 1) = "", 0, OFFSET('IWP26'!UnitsOfServicePeriod1, 5, 11, 1, 1))</f>
        <v>0</v>
      </c>
      <c r="P481" s="128">
        <f ca="1">OFFSET('IWP26'!UnitsOfServicePeriod1, 5, 12, 1, 1)</f>
        <v>0</v>
      </c>
      <c r="Q481" s="128">
        <f ca="1">IF(OFFSET('IWP26'!UnitsOfServicePeriod1, 5, 13, 1, 1) = "", 0, OFFSET('IWP26'!UnitsOfServicePeriod1, 5, 13, 1, 1))</f>
        <v>0</v>
      </c>
      <c r="R481" s="128">
        <f ca="1">OFFSET('IWP26'!UnitsOfServicePeriod1, 5, 14, 1, 1)</f>
        <v>0</v>
      </c>
      <c r="S481" s="128">
        <f ca="1">IF(OFFSET('IWP26'!UnitsOfServicePeriod1, 5, 15, 1, 1) = "", 0, OFFSET('IWP26'!UnitsOfServicePeriod1, 5, 15, 1, 1))</f>
        <v>0</v>
      </c>
      <c r="T481" s="128">
        <f ca="1">IF(OFFSET('IWP26'!UnitsOfServicePeriod1, 5, 16, 1, 1) = "", 0, OFFSET('IWP26'!UnitsOfServicePeriod1, 5, 16, 1, 1))</f>
        <v>0</v>
      </c>
      <c r="U481" s="128">
        <f ca="1">OFFSET('IWP26'!UnitsOfServicePeriod1, 5, 17, 1, 1)</f>
        <v>0</v>
      </c>
      <c r="V481" s="128">
        <f ca="1">IF(OFFSET('IWP26'!UnitsOfServicePeriod1, 5, 19, 1, 1) = "", 0, OFFSET('IWP26'!UnitsOfServicePeriod1, 5, 19, 1, 1))</f>
        <v>0</v>
      </c>
      <c r="W481" s="128">
        <f ca="1">OFFSET('IWP26'!UnitsOfServicePeriod1, 5, 20, 1, 1)</f>
        <v>0</v>
      </c>
      <c r="X481" s="128">
        <f ca="1">IF(OFFSET('IWP26'!UnitsOfServicePeriod1, 5, 21, 1, 1) = "", 0, OFFSET('IWP26'!UnitsOfServicePeriod1, 5, 21, 1, 1))</f>
        <v>0</v>
      </c>
      <c r="Y481" s="137">
        <f ca="1">OFFSET('IWP26'!UnitsOfServicePeriod1, 5, 22, 1, 1)</f>
        <v>0</v>
      </c>
    </row>
    <row r="482" spans="1:25">
      <c r="A482" s="125" t="s">
        <v>499</v>
      </c>
      <c r="B482" s="128">
        <v>2</v>
      </c>
      <c r="C482" s="128">
        <v>1</v>
      </c>
      <c r="D482" s="107">
        <f ca="1">IF(OFFSET('IWP26'!UnitsOfServicePeriod2, 0, 0, 1, 1)=DATE(1900,1,0), DATE(1900,1,1),OFFSET('IWP26'!UnitsOfServicePeriod2, 0, 0, 1, 1))</f>
        <v>1</v>
      </c>
      <c r="E482" s="107">
        <f ca="1">IF(OFFSET('IWP26'!UnitsOfServicePeriod2, 0, 1, 1, 1)=DATE(1900,1,0), DATE(1900,1,1),OFFSET('IWP26'!UnitsOfServicePeriod2, 0, 1, 1, 1))</f>
        <v>1</v>
      </c>
      <c r="F482" s="128">
        <f ca="1">OFFSET('IWP26'!UnitsOfServicePeriod2, 0, 2, 1, 1)</f>
        <v>0</v>
      </c>
      <c r="G482" s="128">
        <f ca="1">IF(OFFSET('IWP26'!UnitsOfServicePeriod2, 0, 3, 1, 1) = "", 0, OFFSET('IWP26'!UnitsOfServicePeriod2, 0, 3, 1, 1))</f>
        <v>0</v>
      </c>
      <c r="H482" s="128">
        <f ca="1">OFFSET('IWP26'!UnitsOfServicePeriod2, 0, 4, 1, 1)</f>
        <v>0</v>
      </c>
      <c r="I482" s="128">
        <f ca="1">IF(OFFSET('IWP26'!UnitsOfServicePeriod2, 0, 5, 1, 1) = "", 0, OFFSET('IWP26'!UnitsOfServicePeriod2, 0, 5, 1, 1))</f>
        <v>0</v>
      </c>
      <c r="J482" s="128">
        <f ca="1">OFFSET('IWP26'!UnitsOfServicePeriod2, 0, 6, 1, 1)</f>
        <v>0</v>
      </c>
      <c r="K482" s="128">
        <f ca="1">IF(OFFSET('IWP26'!UnitsOfServicePeriod2, 0, 7, 1, 1) = "", 0, OFFSET('IWP26'!UnitsOfServicePeriod2, 0, 7, 1, 1))</f>
        <v>0</v>
      </c>
      <c r="L482" s="128">
        <f ca="1">OFFSET('IWP26'!UnitsOfServicePeriod2, 0, 8, 1, 1)</f>
        <v>0</v>
      </c>
      <c r="M482" s="128">
        <f ca="1">IF(OFFSET('IWP26'!UnitsOfServicePeriod2, 0, 9, 1, 1) = "", 0, OFFSET('IWP26'!UnitsOfServicePeriod2, 0, 9, 1, 1))</f>
        <v>0</v>
      </c>
      <c r="N482" s="128">
        <f ca="1">OFFSET('IWP26'!UnitsOfServicePeriod2, 0, 10, 1, 1)</f>
        <v>0</v>
      </c>
      <c r="O482" s="128">
        <f ca="1">IF(OFFSET('IWP26'!UnitsOfServicePeriod2, 0, 11, 1, 1) = "", 0, OFFSET('IWP26'!UnitsOfServicePeriod2, 0, 11, 1, 1))</f>
        <v>0</v>
      </c>
      <c r="P482" s="128">
        <f ca="1">OFFSET('IWP26'!UnitsOfServicePeriod2, 0, 12, 1, 1)</f>
        <v>0</v>
      </c>
      <c r="Q482" s="128">
        <f ca="1">IF(OFFSET('IWP26'!UnitsOfServicePeriod2, 0, 13, 1, 1) = "", 0, OFFSET('IWP26'!UnitsOfServicePeriod2, 0, 13, 1, 1))</f>
        <v>0</v>
      </c>
      <c r="R482" s="128">
        <f ca="1">OFFSET('IWP26'!UnitsOfServicePeriod2, 0, 14, 1, 1)</f>
        <v>0</v>
      </c>
      <c r="S482" s="128">
        <f ca="1">IF(OFFSET('IWP26'!UnitsOfServicePeriod2, 0, 15, 1, 1) = "", 0, OFFSET('IWP26'!UnitsOfServicePeriod2, 0, 15, 1, 1))</f>
        <v>0</v>
      </c>
      <c r="T482" s="128">
        <f ca="1">IF(OFFSET('IWP26'!UnitsOfServicePeriod2, 0, 16, 1, 1) = "", 0, OFFSET('IWP26'!UnitsOfServicePeriod2, 0, 16, 1, 1))</f>
        <v>0</v>
      </c>
      <c r="U482" s="128">
        <f ca="1">OFFSET('IWP26'!UnitsOfServicePeriod2, 0, 17, 1, 1)</f>
        <v>0</v>
      </c>
      <c r="V482" s="128">
        <f ca="1">IF(OFFSET('IWP26'!UnitsOfServicePeriod2, 0, 19, 1, 1) = "", 0, OFFSET('IWP26'!UnitsOfServicePeriod2, 0, 19, 1, 1))</f>
        <v>0</v>
      </c>
      <c r="W482" s="128">
        <f ca="1">OFFSET('IWP26'!UnitsOfServicePeriod2, 0, 20, 1, 1)</f>
        <v>0</v>
      </c>
      <c r="X482" s="128">
        <f ca="1">IF(OFFSET('IWP26'!UnitsOfServicePeriod2, 0, 21, 1, 1) = "", 0, OFFSET('IWP26'!UnitsOfServicePeriod2, 0, 21, 1, 1))</f>
        <v>0</v>
      </c>
      <c r="Y482" s="137">
        <f ca="1">OFFSET('IWP26'!UnitsOfServicePeriod2, 0, 22, 1, 1)</f>
        <v>0</v>
      </c>
    </row>
    <row r="483" spans="1:25">
      <c r="A483" s="125" t="s">
        <v>499</v>
      </c>
      <c r="B483" s="128">
        <v>2</v>
      </c>
      <c r="C483" s="128">
        <v>2</v>
      </c>
      <c r="D483" s="107">
        <f ca="1">IF(OFFSET('IWP26'!UnitsOfServicePeriod2, 1, 0, 1, 1)=DATE(1900,1,0), DATE(1900,1,1),OFFSET('IWP26'!UnitsOfServicePeriod2, 1, 0, 1, 1))</f>
        <v>1</v>
      </c>
      <c r="E483" s="107">
        <f ca="1">IF(OFFSET('IWP26'!UnitsOfServicePeriod2, 1, 1, 1, 1)=DATE(1900,1,0), DATE(1900,1,1),OFFSET('IWP26'!UnitsOfServicePeriod2, 1, 1, 1, 1))</f>
        <v>1</v>
      </c>
      <c r="F483" s="128">
        <f ca="1">OFFSET('IWP26'!UnitsOfServicePeriod2, 1, 2, 1, 1)</f>
        <v>0</v>
      </c>
      <c r="G483" s="128">
        <f ca="1">IF(OFFSET('IWP26'!UnitsOfServicePeriod2, 1, 3, 1, 1) = "", 0, OFFSET('IWP26'!UnitsOfServicePeriod2, 1, 3, 1, 1))</f>
        <v>0</v>
      </c>
      <c r="H483" s="128">
        <f ca="1">OFFSET('IWP26'!UnitsOfServicePeriod2, 1, 4, 1, 1)</f>
        <v>0</v>
      </c>
      <c r="I483" s="128">
        <f ca="1">IF(OFFSET('IWP26'!UnitsOfServicePeriod2, 1, 5, 1, 1) = "", 0, OFFSET('IWP26'!UnitsOfServicePeriod2, 1, 5, 1, 1))</f>
        <v>0</v>
      </c>
      <c r="J483" s="128">
        <f ca="1">OFFSET('IWP26'!UnitsOfServicePeriod2, 1, 6, 1, 1)</f>
        <v>0</v>
      </c>
      <c r="K483" s="128">
        <f ca="1">IF(OFFSET('IWP26'!UnitsOfServicePeriod2, 1, 7, 1, 1) = "", 0, OFFSET('IWP26'!UnitsOfServicePeriod2, 1, 7, 1, 1))</f>
        <v>0</v>
      </c>
      <c r="L483" s="128">
        <f ca="1">OFFSET('IWP26'!UnitsOfServicePeriod2, 1, 8, 1, 1)</f>
        <v>0</v>
      </c>
      <c r="M483" s="128">
        <f ca="1">IF(OFFSET('IWP26'!UnitsOfServicePeriod2, 1, 9, 1, 1) = "", 0, OFFSET('IWP26'!UnitsOfServicePeriod2, 1, 9, 1, 1))</f>
        <v>0</v>
      </c>
      <c r="N483" s="128">
        <f ca="1">OFFSET('IWP26'!UnitsOfServicePeriod2, 1, 10, 1, 1)</f>
        <v>0</v>
      </c>
      <c r="O483" s="128">
        <f ca="1">IF(OFFSET('IWP26'!UnitsOfServicePeriod2, 1, 11, 1, 1) = "", 0, OFFSET('IWP26'!UnitsOfServicePeriod2, 1, 11, 1, 1))</f>
        <v>0</v>
      </c>
      <c r="P483" s="128">
        <f ca="1">OFFSET('IWP26'!UnitsOfServicePeriod2, 1, 12, 1, 1)</f>
        <v>0</v>
      </c>
      <c r="Q483" s="128">
        <f ca="1">IF(OFFSET('IWP26'!UnitsOfServicePeriod2, 1, 13, 1, 1) = "", 0, OFFSET('IWP26'!UnitsOfServicePeriod2, 1, 13, 1, 1))</f>
        <v>0</v>
      </c>
      <c r="R483" s="128">
        <f ca="1">OFFSET('IWP26'!UnitsOfServicePeriod2, 1, 14, 1, 1)</f>
        <v>0</v>
      </c>
      <c r="S483" s="128">
        <f ca="1">IF(OFFSET('IWP26'!UnitsOfServicePeriod2, 1, 15, 1, 1) = "", 0, OFFSET('IWP26'!UnitsOfServicePeriod2, 1, 15, 1, 1))</f>
        <v>0</v>
      </c>
      <c r="T483" s="128">
        <f ca="1">IF(OFFSET('IWP26'!UnitsOfServicePeriod2, 1, 16, 1, 1) = "", 0, OFFSET('IWP26'!UnitsOfServicePeriod2, 1, 16, 1, 1))</f>
        <v>0</v>
      </c>
      <c r="U483" s="128">
        <f ca="1">OFFSET('IWP26'!UnitsOfServicePeriod2, 1, 17, 1, 1)</f>
        <v>0</v>
      </c>
      <c r="V483" s="128">
        <f ca="1">IF(OFFSET('IWP26'!UnitsOfServicePeriod2, 1, 19, 1, 1) = "", 0, OFFSET('IWP26'!UnitsOfServicePeriod2, 1, 19, 1, 1))</f>
        <v>0</v>
      </c>
      <c r="W483" s="128">
        <f ca="1">OFFSET('IWP26'!UnitsOfServicePeriod2, 1, 20, 1, 1)</f>
        <v>0</v>
      </c>
      <c r="X483" s="128">
        <f ca="1">IF(OFFSET('IWP26'!UnitsOfServicePeriod2, 1, 21, 1, 1) = "", 0, OFFSET('IWP26'!UnitsOfServicePeriod2, 1, 21, 1, 1))</f>
        <v>0</v>
      </c>
      <c r="Y483" s="137">
        <f ca="1">OFFSET('IWP26'!UnitsOfServicePeriod2, 1, 22, 1, 1)</f>
        <v>0</v>
      </c>
    </row>
    <row r="484" spans="1:25">
      <c r="A484" s="125" t="s">
        <v>499</v>
      </c>
      <c r="B484" s="128">
        <v>2</v>
      </c>
      <c r="C484" s="128">
        <v>3</v>
      </c>
      <c r="D484" s="107">
        <f ca="1">IF(OFFSET('IWP26'!UnitsOfServicePeriod2, 2, 0, 1, 1)=DATE(1900,1,0), DATE(1900,1,1),OFFSET('IWP26'!UnitsOfServicePeriod2, 2, 0, 1, 1))</f>
        <v>1</v>
      </c>
      <c r="E484" s="107">
        <f ca="1">IF(OFFSET('IWP26'!UnitsOfServicePeriod2, 2, 1, 1, 1)=DATE(1900,1,0), DATE(1900,1,1),OFFSET('IWP26'!UnitsOfServicePeriod2, 2, 1, 1, 1))</f>
        <v>1</v>
      </c>
      <c r="F484" s="128">
        <f ca="1">OFFSET('IWP26'!UnitsOfServicePeriod2, 2, 2, 1, 1)</f>
        <v>0</v>
      </c>
      <c r="G484" s="128">
        <f ca="1">IF(OFFSET('IWP26'!UnitsOfServicePeriod2, 2, 3, 1, 1) = "", 0, OFFSET('IWP26'!UnitsOfServicePeriod2, 2, 3, 1, 1))</f>
        <v>0</v>
      </c>
      <c r="H484" s="128">
        <f ca="1">OFFSET('IWP26'!UnitsOfServicePeriod2, 2, 4, 1, 1)</f>
        <v>0</v>
      </c>
      <c r="I484" s="128">
        <f ca="1">IF(OFFSET('IWP26'!UnitsOfServicePeriod2, 2, 5, 1, 1) = "", 0, OFFSET('IWP26'!UnitsOfServicePeriod2, 2, 5, 1, 1))</f>
        <v>0</v>
      </c>
      <c r="J484" s="128">
        <f ca="1">OFFSET('IWP26'!UnitsOfServicePeriod2, 2, 6, 1, 1)</f>
        <v>0</v>
      </c>
      <c r="K484" s="128">
        <f ca="1">IF(OFFSET('IWP26'!UnitsOfServicePeriod2, 2, 7, 1, 1) = "", 0, OFFSET('IWP26'!UnitsOfServicePeriod2, 2, 7, 1, 1))</f>
        <v>0</v>
      </c>
      <c r="L484" s="128">
        <f ca="1">OFFSET('IWP26'!UnitsOfServicePeriod2, 2, 8, 1, 1)</f>
        <v>0</v>
      </c>
      <c r="M484" s="128">
        <f ca="1">IF(OFFSET('IWP26'!UnitsOfServicePeriod2, 2, 9, 1, 1) = "", 0, OFFSET('IWP26'!UnitsOfServicePeriod2, 2, 9, 1, 1))</f>
        <v>0</v>
      </c>
      <c r="N484" s="128">
        <f ca="1">OFFSET('IWP26'!UnitsOfServicePeriod2, 2, 10, 1, 1)</f>
        <v>0</v>
      </c>
      <c r="O484" s="128">
        <f ca="1">IF(OFFSET('IWP26'!UnitsOfServicePeriod2, 2, 11, 1, 1) = "", 0, OFFSET('IWP26'!UnitsOfServicePeriod2, 2, 11, 1, 1))</f>
        <v>0</v>
      </c>
      <c r="P484" s="128">
        <f ca="1">OFFSET('IWP26'!UnitsOfServicePeriod2, 2, 12, 1, 1)</f>
        <v>0</v>
      </c>
      <c r="Q484" s="128">
        <f ca="1">IF(OFFSET('IWP26'!UnitsOfServicePeriod2, 2, 13, 1, 1) = "", 0, OFFSET('IWP26'!UnitsOfServicePeriod2, 2, 13, 1, 1))</f>
        <v>0</v>
      </c>
      <c r="R484" s="128">
        <f ca="1">OFFSET('IWP26'!UnitsOfServicePeriod2, 2, 14, 1, 1)</f>
        <v>0</v>
      </c>
      <c r="S484" s="128">
        <f ca="1">IF(OFFSET('IWP26'!UnitsOfServicePeriod2, 2, 15, 1, 1) = "", 0, OFFSET('IWP26'!UnitsOfServicePeriod2, 2, 15, 1, 1))</f>
        <v>0</v>
      </c>
      <c r="T484" s="128">
        <f ca="1">IF(OFFSET('IWP26'!UnitsOfServicePeriod2, 2, 16, 1, 1) = "", 0, OFFSET('IWP26'!UnitsOfServicePeriod2, 2, 16, 1, 1))</f>
        <v>0</v>
      </c>
      <c r="U484" s="128">
        <f ca="1">OFFSET('IWP26'!UnitsOfServicePeriod2, 2, 17, 1, 1)</f>
        <v>0</v>
      </c>
      <c r="V484" s="128">
        <f ca="1">IF(OFFSET('IWP26'!UnitsOfServicePeriod2, 2, 19, 1, 1) = "", 0, OFFSET('IWP26'!UnitsOfServicePeriod2, 2, 19, 1, 1))</f>
        <v>0</v>
      </c>
      <c r="W484" s="128">
        <f ca="1">OFFSET('IWP26'!UnitsOfServicePeriod2, 2, 20, 1, 1)</f>
        <v>0</v>
      </c>
      <c r="X484" s="128">
        <f ca="1">IF(OFFSET('IWP26'!UnitsOfServicePeriod2, 2, 21, 1, 1) = "", 0, OFFSET('IWP26'!UnitsOfServicePeriod2, 2, 21, 1, 1))</f>
        <v>0</v>
      </c>
      <c r="Y484" s="137">
        <f ca="1">OFFSET('IWP26'!UnitsOfServicePeriod2, 2, 22, 1, 1)</f>
        <v>0</v>
      </c>
    </row>
    <row r="485" spans="1:25">
      <c r="A485" s="125" t="s">
        <v>499</v>
      </c>
      <c r="B485" s="128">
        <v>2</v>
      </c>
      <c r="C485" s="128">
        <v>4</v>
      </c>
      <c r="D485" s="107">
        <f ca="1">IF(OFFSET('IWP26'!UnitsOfServicePeriod2, 3, 0, 1, 1)=DATE(1900,1,0), DATE(1900,1,1),OFFSET('IWP26'!UnitsOfServicePeriod2, 3, 0, 1, 1))</f>
        <v>1</v>
      </c>
      <c r="E485" s="107">
        <f ca="1">IF(OFFSET('IWP26'!UnitsOfServicePeriod2, 3, 1, 1, 1)=DATE(1900,1,0), DATE(1900,1,1),OFFSET('IWP26'!UnitsOfServicePeriod2, 3, 1, 1, 1))</f>
        <v>1</v>
      </c>
      <c r="F485" s="128">
        <f ca="1">OFFSET('IWP26'!UnitsOfServicePeriod2, 3, 2, 1, 1)</f>
        <v>0</v>
      </c>
      <c r="G485" s="128">
        <f ca="1">IF(OFFSET('IWP26'!UnitsOfServicePeriod2, 3, 3, 1, 1) = "", 0, OFFSET('IWP26'!UnitsOfServicePeriod2, 3, 3, 1, 1))</f>
        <v>0</v>
      </c>
      <c r="H485" s="128">
        <f ca="1">OFFSET('IWP26'!UnitsOfServicePeriod2, 3, 4, 1, 1)</f>
        <v>0</v>
      </c>
      <c r="I485" s="128">
        <f ca="1">IF(OFFSET('IWP26'!UnitsOfServicePeriod2, 3, 5, 1, 1) = "", 0, OFFSET('IWP26'!UnitsOfServicePeriod2, 3, 5, 1, 1))</f>
        <v>0</v>
      </c>
      <c r="J485" s="128">
        <f ca="1">OFFSET('IWP26'!UnitsOfServicePeriod2, 3, 6, 1, 1)</f>
        <v>0</v>
      </c>
      <c r="K485" s="128">
        <f ca="1">IF(OFFSET('IWP26'!UnitsOfServicePeriod2, 3, 7, 1, 1) = "", 0, OFFSET('IWP26'!UnitsOfServicePeriod2, 3, 7, 1, 1))</f>
        <v>0</v>
      </c>
      <c r="L485" s="128">
        <f ca="1">OFFSET('IWP26'!UnitsOfServicePeriod2, 3, 8, 1, 1)</f>
        <v>0</v>
      </c>
      <c r="M485" s="128">
        <f ca="1">IF(OFFSET('IWP26'!UnitsOfServicePeriod2, 3, 9, 1, 1) = "", 0, OFFSET('IWP26'!UnitsOfServicePeriod2, 3, 9, 1, 1))</f>
        <v>0</v>
      </c>
      <c r="N485" s="128">
        <f ca="1">OFFSET('IWP26'!UnitsOfServicePeriod2, 3, 10, 1, 1)</f>
        <v>0</v>
      </c>
      <c r="O485" s="128">
        <f ca="1">IF(OFFSET('IWP26'!UnitsOfServicePeriod2, 3, 11, 1, 1) = "", 0, OFFSET('IWP26'!UnitsOfServicePeriod2, 3, 11, 1, 1))</f>
        <v>0</v>
      </c>
      <c r="P485" s="128">
        <f ca="1">OFFSET('IWP26'!UnitsOfServicePeriod2, 3, 12, 1, 1)</f>
        <v>0</v>
      </c>
      <c r="Q485" s="128">
        <f ca="1">IF(OFFSET('IWP26'!UnitsOfServicePeriod2, 3, 13, 1, 1) = "", 0, OFFSET('IWP26'!UnitsOfServicePeriod2, 3, 13, 1, 1))</f>
        <v>0</v>
      </c>
      <c r="R485" s="128">
        <f ca="1">OFFSET('IWP26'!UnitsOfServicePeriod2, 3, 14, 1, 1)</f>
        <v>0</v>
      </c>
      <c r="S485" s="128">
        <f ca="1">IF(OFFSET('IWP26'!UnitsOfServicePeriod2, 3, 15, 1, 1) = "", 0, OFFSET('IWP26'!UnitsOfServicePeriod2, 3, 15, 1, 1))</f>
        <v>0</v>
      </c>
      <c r="T485" s="128">
        <f ca="1">IF(OFFSET('IWP26'!UnitsOfServicePeriod2, 3, 16, 1, 1) = "", 0, OFFSET('IWP26'!UnitsOfServicePeriod2, 3, 16, 1, 1))</f>
        <v>0</v>
      </c>
      <c r="U485" s="128">
        <f ca="1">OFFSET('IWP26'!UnitsOfServicePeriod2, 3, 17, 1, 1)</f>
        <v>0</v>
      </c>
      <c r="V485" s="128">
        <f ca="1">IF(OFFSET('IWP26'!UnitsOfServicePeriod2, 3, 19, 1, 1) = "", 0, OFFSET('IWP26'!UnitsOfServicePeriod2, 3, 19, 1, 1))</f>
        <v>0</v>
      </c>
      <c r="W485" s="128">
        <f ca="1">OFFSET('IWP26'!UnitsOfServicePeriod2, 3, 20, 1, 1)</f>
        <v>0</v>
      </c>
      <c r="X485" s="128">
        <f ca="1">IF(OFFSET('IWP26'!UnitsOfServicePeriod2, 3, 21, 1, 1) = "", 0, OFFSET('IWP26'!UnitsOfServicePeriod2, 3, 21, 1, 1))</f>
        <v>0</v>
      </c>
      <c r="Y485" s="137">
        <f ca="1">OFFSET('IWP26'!UnitsOfServicePeriod2, 3, 22, 1, 1)</f>
        <v>0</v>
      </c>
    </row>
    <row r="486" spans="1:25">
      <c r="A486" s="125" t="s">
        <v>499</v>
      </c>
      <c r="B486" s="128">
        <v>2</v>
      </c>
      <c r="C486" s="128">
        <v>5</v>
      </c>
      <c r="D486" s="107">
        <f ca="1">IF(OFFSET('IWP26'!UnitsOfServicePeriod2, 4, 0, 1, 1)=DATE(1900,1,0), DATE(1900,1,1),OFFSET('IWP26'!UnitsOfServicePeriod2, 4, 0, 1, 1))</f>
        <v>1</v>
      </c>
      <c r="E486" s="107">
        <f ca="1">IF(OFFSET('IWP26'!UnitsOfServicePeriod2, 4, 1, 1, 1)=DATE(1900,1,0), DATE(1900,1,1),OFFSET('IWP26'!UnitsOfServicePeriod2, 4, 1, 1, 1))</f>
        <v>1</v>
      </c>
      <c r="F486" s="128">
        <f ca="1">OFFSET('IWP26'!UnitsOfServicePeriod2, 4, 2, 1, 1)</f>
        <v>0</v>
      </c>
      <c r="G486" s="128">
        <f ca="1">IF(OFFSET('IWP26'!UnitsOfServicePeriod2, 4, 3, 1, 1) = "", 0, OFFSET('IWP26'!UnitsOfServicePeriod2, 4, 3, 1, 1))</f>
        <v>0</v>
      </c>
      <c r="H486" s="128">
        <f ca="1">OFFSET('IWP26'!UnitsOfServicePeriod2, 4, 4, 1, 1)</f>
        <v>0</v>
      </c>
      <c r="I486" s="128">
        <f ca="1">IF(OFFSET('IWP26'!UnitsOfServicePeriod2, 4, 5, 1, 1) = "", 0, OFFSET('IWP26'!UnitsOfServicePeriod2, 4, 5, 1, 1))</f>
        <v>0</v>
      </c>
      <c r="J486" s="128">
        <f ca="1">OFFSET('IWP26'!UnitsOfServicePeriod2, 4, 6, 1, 1)</f>
        <v>0</v>
      </c>
      <c r="K486" s="128">
        <f ca="1">IF(OFFSET('IWP26'!UnitsOfServicePeriod2, 4, 7, 1, 1) = "", 0, OFFSET('IWP26'!UnitsOfServicePeriod2, 4, 7, 1, 1))</f>
        <v>0</v>
      </c>
      <c r="L486" s="128">
        <f ca="1">OFFSET('IWP26'!UnitsOfServicePeriod2, 4, 8, 1, 1)</f>
        <v>0</v>
      </c>
      <c r="M486" s="128">
        <f ca="1">IF(OFFSET('IWP26'!UnitsOfServicePeriod2, 4, 9, 1, 1) = "", 0, OFFSET('IWP26'!UnitsOfServicePeriod2, 4, 9, 1, 1))</f>
        <v>0</v>
      </c>
      <c r="N486" s="128">
        <f ca="1">OFFSET('IWP26'!UnitsOfServicePeriod2, 4, 10, 1, 1)</f>
        <v>0</v>
      </c>
      <c r="O486" s="128">
        <f ca="1">IF(OFFSET('IWP26'!UnitsOfServicePeriod2, 4, 11, 1, 1) = "", 0, OFFSET('IWP26'!UnitsOfServicePeriod2, 4, 11, 1, 1))</f>
        <v>0</v>
      </c>
      <c r="P486" s="128">
        <f ca="1">OFFSET('IWP26'!UnitsOfServicePeriod2, 4, 12, 1, 1)</f>
        <v>0</v>
      </c>
      <c r="Q486" s="128">
        <f ca="1">IF(OFFSET('IWP26'!UnitsOfServicePeriod2, 4, 13, 1, 1) = "", 0, OFFSET('IWP26'!UnitsOfServicePeriod2, 4, 13, 1, 1))</f>
        <v>0</v>
      </c>
      <c r="R486" s="128">
        <f ca="1">OFFSET('IWP26'!UnitsOfServicePeriod2, 4, 14, 1, 1)</f>
        <v>0</v>
      </c>
      <c r="S486" s="128">
        <f ca="1">IF(OFFSET('IWP26'!UnitsOfServicePeriod2, 4, 15, 1, 1) = "", 0, OFFSET('IWP26'!UnitsOfServicePeriod2, 4, 15, 1, 1))</f>
        <v>0</v>
      </c>
      <c r="T486" s="128">
        <f ca="1">IF(OFFSET('IWP26'!UnitsOfServicePeriod2, 4, 16, 1, 1) = "", 0, OFFSET('IWP26'!UnitsOfServicePeriod2, 4, 16, 1, 1))</f>
        <v>0</v>
      </c>
      <c r="U486" s="128">
        <f ca="1">OFFSET('IWP26'!UnitsOfServicePeriod2, 4, 17, 1, 1)</f>
        <v>0</v>
      </c>
      <c r="V486" s="128">
        <f ca="1">IF(OFFSET('IWP26'!UnitsOfServicePeriod2, 4, 19, 1, 1) = "", 0, OFFSET('IWP26'!UnitsOfServicePeriod2, 4, 19, 1, 1))</f>
        <v>0</v>
      </c>
      <c r="W486" s="128">
        <f ca="1">OFFSET('IWP26'!UnitsOfServicePeriod2, 4, 20, 1, 1)</f>
        <v>0</v>
      </c>
      <c r="X486" s="128">
        <f ca="1">IF(OFFSET('IWP26'!UnitsOfServicePeriod2, 4, 21, 1, 1) = "", 0, OFFSET('IWP26'!UnitsOfServicePeriod2, 4, 21, 1, 1))</f>
        <v>0</v>
      </c>
      <c r="Y486" s="137">
        <f ca="1">OFFSET('IWP26'!UnitsOfServicePeriod2, 4, 22, 1, 1)</f>
        <v>0</v>
      </c>
    </row>
    <row r="487" spans="1:25">
      <c r="A487" s="125" t="s">
        <v>499</v>
      </c>
      <c r="B487" s="128">
        <v>2</v>
      </c>
      <c r="C487" s="128">
        <v>6</v>
      </c>
      <c r="D487" s="107">
        <f ca="1">IF(OFFSET('IWP26'!UnitsOfServicePeriod2, 5, 0, 1, 1)=DATE(1900,1,0), DATE(1900,1,1),OFFSET('IWP26'!UnitsOfServicePeriod2, 5, 0, 1, 1))</f>
        <v>1</v>
      </c>
      <c r="E487" s="107">
        <f ca="1">IF(OFFSET('IWP26'!UnitsOfServicePeriod2, 5, 1, 1, 1)=DATE(1900,1,0), DATE(1900,1,1),OFFSET('IWP26'!UnitsOfServicePeriod2, 5, 1, 1, 1))</f>
        <v>1</v>
      </c>
      <c r="F487" s="128">
        <f ca="1">OFFSET('IWP26'!UnitsOfServicePeriod2, 5, 2, 1, 1)</f>
        <v>0</v>
      </c>
      <c r="G487" s="128">
        <f ca="1">IF(OFFSET('IWP26'!UnitsOfServicePeriod2, 5, 3, 1, 1) = "", 0, OFFSET('IWP26'!UnitsOfServicePeriod2, 5, 3, 1, 1))</f>
        <v>0</v>
      </c>
      <c r="H487" s="128">
        <f ca="1">OFFSET('IWP26'!UnitsOfServicePeriod2, 5, 4, 1, 1)</f>
        <v>0</v>
      </c>
      <c r="I487" s="128">
        <f ca="1">IF(OFFSET('IWP26'!UnitsOfServicePeriod2, 5, 5, 1, 1) = "", 0, OFFSET('IWP26'!UnitsOfServicePeriod2, 5, 5, 1, 1))</f>
        <v>0</v>
      </c>
      <c r="J487" s="128">
        <f ca="1">OFFSET('IWP26'!UnitsOfServicePeriod2, 5, 6, 1, 1)</f>
        <v>0</v>
      </c>
      <c r="K487" s="128">
        <f ca="1">IF(OFFSET('IWP26'!UnitsOfServicePeriod2, 5, 7, 1, 1) = "", 0, OFFSET('IWP26'!UnitsOfServicePeriod2, 5, 7, 1, 1))</f>
        <v>0</v>
      </c>
      <c r="L487" s="128">
        <f ca="1">OFFSET('IWP26'!UnitsOfServicePeriod2, 5, 8, 1, 1)</f>
        <v>0</v>
      </c>
      <c r="M487" s="128">
        <f ca="1">IF(OFFSET('IWP26'!UnitsOfServicePeriod2, 5, 9, 1, 1) = "", 0, OFFSET('IWP26'!UnitsOfServicePeriod2, 5, 9, 1, 1))</f>
        <v>0</v>
      </c>
      <c r="N487" s="128">
        <f ca="1">OFFSET('IWP26'!UnitsOfServicePeriod2, 5, 10, 1, 1)</f>
        <v>0</v>
      </c>
      <c r="O487" s="128">
        <f ca="1">IF(OFFSET('IWP26'!UnitsOfServicePeriod2, 5, 11, 1, 1) = "", 0, OFFSET('IWP26'!UnitsOfServicePeriod2, 5, 11, 1, 1))</f>
        <v>0</v>
      </c>
      <c r="P487" s="128">
        <f ca="1">OFFSET('IWP26'!UnitsOfServicePeriod2, 5, 12, 1, 1)</f>
        <v>0</v>
      </c>
      <c r="Q487" s="128">
        <f ca="1">IF(OFFSET('IWP26'!UnitsOfServicePeriod2, 5, 13, 1, 1) = "", 0, OFFSET('IWP26'!UnitsOfServicePeriod2, 5, 13, 1, 1))</f>
        <v>0</v>
      </c>
      <c r="R487" s="128">
        <f ca="1">OFFSET('IWP26'!UnitsOfServicePeriod2, 5, 14, 1, 1)</f>
        <v>0</v>
      </c>
      <c r="S487" s="128">
        <f ca="1">IF(OFFSET('IWP26'!UnitsOfServicePeriod2, 5, 15, 1, 1) = "", 0, OFFSET('IWP26'!UnitsOfServicePeriod2, 5, 15, 1, 1))</f>
        <v>0</v>
      </c>
      <c r="T487" s="128">
        <f ca="1">IF(OFFSET('IWP26'!UnitsOfServicePeriod2, 5, 16, 1, 1) = "", 0, OFFSET('IWP26'!UnitsOfServicePeriod2, 5, 16, 1, 1))</f>
        <v>0</v>
      </c>
      <c r="U487" s="128">
        <f ca="1">OFFSET('IWP26'!UnitsOfServicePeriod2, 5, 17, 1, 1)</f>
        <v>0</v>
      </c>
      <c r="V487" s="128">
        <f ca="1">IF(OFFSET('IWP26'!UnitsOfServicePeriod2, 5, 19, 1, 1) = "", 0, OFFSET('IWP26'!UnitsOfServicePeriod2, 5, 19, 1, 1))</f>
        <v>0</v>
      </c>
      <c r="W487" s="128">
        <f ca="1">OFFSET('IWP26'!UnitsOfServicePeriod2, 5, 20, 1, 1)</f>
        <v>0</v>
      </c>
      <c r="X487" s="128">
        <f ca="1">IF(OFFSET('IWP26'!UnitsOfServicePeriod2, 5, 21, 1, 1) = "", 0, OFFSET('IWP26'!UnitsOfServicePeriod2, 5, 21, 1, 1))</f>
        <v>0</v>
      </c>
      <c r="Y487" s="137">
        <f ca="1">OFFSET('IWP26'!UnitsOfServicePeriod2, 5, 22, 1, 1)</f>
        <v>0</v>
      </c>
    </row>
    <row r="488" spans="1:25">
      <c r="A488" s="125" t="s">
        <v>500</v>
      </c>
      <c r="B488" s="128">
        <v>1</v>
      </c>
      <c r="C488" s="128">
        <v>1</v>
      </c>
      <c r="D488" s="107">
        <f ca="1">IF(OFFSET('IWP27'!UnitsOfServicePeriod1, 0, 0, 1, 1)=DATE(1900,1,0), DATE(1900,1,1),OFFSET('IWP27'!UnitsOfServicePeriod1, 0, 0, 1, 1))</f>
        <v>1</v>
      </c>
      <c r="E488" s="107">
        <f ca="1">IF(OFFSET('IWP27'!UnitsOfServicePeriod1, 0, 1, 1, 1)=DATE(1900,1,0), DATE(1900,1,1),OFFSET('IWP27'!UnitsOfServicePeriod1, 0, 1, 1, 1))</f>
        <v>1</v>
      </c>
      <c r="F488" s="128">
        <f ca="1">OFFSET('IWP27'!UnitsOfServicePeriod1, 0, 2, 1, 1)</f>
        <v>0</v>
      </c>
      <c r="G488" s="128">
        <f ca="1">IF(OFFSET('IWP27'!UnitsOfServicePeriod1, 0, 3, 1, 1) = "", 0, OFFSET('IWP27'!UnitsOfServicePeriod1, 0, 3, 1, 1))</f>
        <v>0</v>
      </c>
      <c r="H488" s="128">
        <f ca="1">OFFSET('IWP27'!UnitsOfServicePeriod1, 0, 4, 1, 1)</f>
        <v>0</v>
      </c>
      <c r="I488" s="128">
        <f ca="1">IF(OFFSET('IWP27'!UnitsOfServicePeriod1, 0, 5, 1, 1) = "", 0, OFFSET('IWP27'!UnitsOfServicePeriod1, 0, 5, 1, 1))</f>
        <v>0</v>
      </c>
      <c r="J488" s="128">
        <f ca="1">OFFSET('IWP27'!UnitsOfServicePeriod1, 0, 6, 1, 1)</f>
        <v>0</v>
      </c>
      <c r="K488" s="128">
        <f ca="1">IF(OFFSET('IWP27'!UnitsOfServicePeriod1, 0, 7, 1, 1) = "", 0, OFFSET('IWP27'!UnitsOfServicePeriod1, 0, 7, 1, 1))</f>
        <v>0</v>
      </c>
      <c r="L488" s="128">
        <f ca="1">OFFSET('IWP27'!UnitsOfServicePeriod1, 0, 8, 1, 1)</f>
        <v>0</v>
      </c>
      <c r="M488" s="128">
        <f ca="1">IF(OFFSET('IWP27'!UnitsOfServicePeriod1, 0, 9, 1, 1) = "", 0, OFFSET('IWP27'!UnitsOfServicePeriod1, 0, 9, 1, 1))</f>
        <v>0</v>
      </c>
      <c r="N488" s="128">
        <f ca="1">OFFSET('IWP27'!UnitsOfServicePeriod1, 0, 10, 1, 1)</f>
        <v>0</v>
      </c>
      <c r="O488" s="128">
        <f ca="1">IF(OFFSET('IWP27'!UnitsOfServicePeriod1, 0, 11, 1, 1) = "", 0, OFFSET('IWP27'!UnitsOfServicePeriod1, 0, 11, 1, 1))</f>
        <v>0</v>
      </c>
      <c r="P488" s="128">
        <f ca="1">OFFSET('IWP27'!UnitsOfServicePeriod1, 0, 12, 1, 1)</f>
        <v>0</v>
      </c>
      <c r="Q488" s="128">
        <f ca="1">IF(OFFSET('IWP27'!UnitsOfServicePeriod1, 0, 13, 1, 1) = "", 0, OFFSET('IWP27'!UnitsOfServicePeriod1, 0, 13, 1, 1))</f>
        <v>0</v>
      </c>
      <c r="R488" s="128">
        <f ca="1">OFFSET('IWP27'!UnitsOfServicePeriod1, 0, 14, 1, 1)</f>
        <v>0</v>
      </c>
      <c r="S488" s="128">
        <f ca="1">IF(OFFSET('IWP27'!UnitsOfServicePeriod1, 0, 15, 1, 1) = "", 0, OFFSET('IWP27'!UnitsOfServicePeriod1, 0, 15, 1, 1))</f>
        <v>0</v>
      </c>
      <c r="T488" s="128">
        <f ca="1">IF(OFFSET('IWP27'!UnitsOfServicePeriod1, 0, 16, 1, 1) = "", 0, OFFSET('IWP27'!UnitsOfServicePeriod1, 0, 16, 1, 1))</f>
        <v>0</v>
      </c>
      <c r="U488" s="128">
        <f ca="1">OFFSET('IWP27'!UnitsOfServicePeriod1, 0, 17, 1, 1)</f>
        <v>0</v>
      </c>
      <c r="V488" s="128">
        <f ca="1">IF(OFFSET('IWP27'!UnitsOfServicePeriod1, 0, 19, 1, 1) = "", 0, OFFSET('IWP27'!UnitsOfServicePeriod1, 0, 19, 1, 1))</f>
        <v>0</v>
      </c>
      <c r="W488" s="128">
        <f ca="1">OFFSET('IWP27'!UnitsOfServicePeriod1, 0, 20, 1, 1)</f>
        <v>0</v>
      </c>
      <c r="X488" s="128">
        <f ca="1">IF(OFFSET('IWP27'!UnitsOfServicePeriod1, 0, 21, 1, 1) = "", 0, OFFSET('IWP27'!UnitsOfServicePeriod1, 0, 21, 1, 1))</f>
        <v>0</v>
      </c>
      <c r="Y488" s="137">
        <f ca="1">OFFSET('IWP27'!UnitsOfServicePeriod1, 0, 22, 1, 1)</f>
        <v>0</v>
      </c>
    </row>
    <row r="489" spans="1:25">
      <c r="A489" s="125" t="s">
        <v>500</v>
      </c>
      <c r="B489" s="128">
        <v>1</v>
      </c>
      <c r="C489" s="128">
        <v>2</v>
      </c>
      <c r="D489" s="107">
        <f ca="1">IF(OFFSET('IWP27'!UnitsOfServicePeriod1, 1, 0, 1, 1)=DATE(1900,1,0), DATE(1900,1,1),OFFSET('IWP27'!UnitsOfServicePeriod1, 1, 0, 1, 1))</f>
        <v>1</v>
      </c>
      <c r="E489" s="107">
        <f ca="1">IF(OFFSET('IWP27'!UnitsOfServicePeriod1, 1, 1, 1, 1)=DATE(1900,1,0), DATE(1900,1,1),OFFSET('IWP27'!UnitsOfServicePeriod1, 1, 1, 1, 1))</f>
        <v>1</v>
      </c>
      <c r="F489" s="128">
        <f ca="1">OFFSET('IWP27'!UnitsOfServicePeriod1, 1, 2, 1, 1)</f>
        <v>0</v>
      </c>
      <c r="G489" s="128">
        <f ca="1">IF(OFFSET('IWP27'!UnitsOfServicePeriod1, 1, 3, 1, 1) = "", 0, OFFSET('IWP27'!UnitsOfServicePeriod1, 1, 3, 1, 1))</f>
        <v>0</v>
      </c>
      <c r="H489" s="128">
        <f ca="1">OFFSET('IWP27'!UnitsOfServicePeriod1, 1, 4, 1, 1)</f>
        <v>0</v>
      </c>
      <c r="I489" s="128">
        <f ca="1">IF(OFFSET('IWP27'!UnitsOfServicePeriod1, 1, 5, 1, 1) = "", 0, OFFSET('IWP27'!UnitsOfServicePeriod1, 1, 5, 1, 1))</f>
        <v>0</v>
      </c>
      <c r="J489" s="128">
        <f ca="1">OFFSET('IWP27'!UnitsOfServicePeriod1, 1, 6, 1, 1)</f>
        <v>0</v>
      </c>
      <c r="K489" s="128">
        <f ca="1">IF(OFFSET('IWP27'!UnitsOfServicePeriod1, 1, 7, 1, 1) = "", 0, OFFSET('IWP27'!UnitsOfServicePeriod1, 1, 7, 1, 1))</f>
        <v>0</v>
      </c>
      <c r="L489" s="128">
        <f ca="1">OFFSET('IWP27'!UnitsOfServicePeriod1, 1, 8, 1, 1)</f>
        <v>0</v>
      </c>
      <c r="M489" s="128">
        <f ca="1">IF(OFFSET('IWP27'!UnitsOfServicePeriod1, 1, 9, 1, 1) = "", 0, OFFSET('IWP27'!UnitsOfServicePeriod1, 1, 9, 1, 1))</f>
        <v>0</v>
      </c>
      <c r="N489" s="128">
        <f ca="1">OFFSET('IWP27'!UnitsOfServicePeriod1, 1, 10, 1, 1)</f>
        <v>0</v>
      </c>
      <c r="O489" s="128">
        <f ca="1">IF(OFFSET('IWP27'!UnitsOfServicePeriod1, 1, 11, 1, 1) = "", 0, OFFSET('IWP27'!UnitsOfServicePeriod1, 1, 11, 1, 1))</f>
        <v>0</v>
      </c>
      <c r="P489" s="128">
        <f ca="1">OFFSET('IWP27'!UnitsOfServicePeriod1, 1, 12, 1, 1)</f>
        <v>0</v>
      </c>
      <c r="Q489" s="128">
        <f ca="1">IF(OFFSET('IWP27'!UnitsOfServicePeriod1, 1, 13, 1, 1) = "", 0, OFFSET('IWP27'!UnitsOfServicePeriod1, 1, 13, 1, 1))</f>
        <v>0</v>
      </c>
      <c r="R489" s="128">
        <f ca="1">OFFSET('IWP27'!UnitsOfServicePeriod1, 1, 14, 1, 1)</f>
        <v>0</v>
      </c>
      <c r="S489" s="128">
        <f ca="1">IF(OFFSET('IWP27'!UnitsOfServicePeriod1, 1, 15, 1, 1) = "", 0, OFFSET('IWP27'!UnitsOfServicePeriod1, 1, 15, 1, 1))</f>
        <v>0</v>
      </c>
      <c r="T489" s="128">
        <f ca="1">IF(OFFSET('IWP27'!UnitsOfServicePeriod1, 1, 16, 1, 1) = "", 0, OFFSET('IWP27'!UnitsOfServicePeriod1, 1, 16, 1, 1))</f>
        <v>0</v>
      </c>
      <c r="U489" s="128">
        <f ca="1">OFFSET('IWP27'!UnitsOfServicePeriod1, 1, 17, 1, 1)</f>
        <v>0</v>
      </c>
      <c r="V489" s="128">
        <f ca="1">IF(OFFSET('IWP27'!UnitsOfServicePeriod1, 1, 19, 1, 1) = "", 0, OFFSET('IWP27'!UnitsOfServicePeriod1, 1, 19, 1, 1))</f>
        <v>0</v>
      </c>
      <c r="W489" s="128">
        <f ca="1">OFFSET('IWP27'!UnitsOfServicePeriod1, 1, 20, 1, 1)</f>
        <v>0</v>
      </c>
      <c r="X489" s="128">
        <f ca="1">IF(OFFSET('IWP27'!UnitsOfServicePeriod1, 1, 21, 1, 1) = "", 0, OFFSET('IWP27'!UnitsOfServicePeriod1, 1, 21, 1, 1))</f>
        <v>0</v>
      </c>
      <c r="Y489" s="137">
        <f ca="1">OFFSET('IWP27'!UnitsOfServicePeriod1, 1, 22, 1, 1)</f>
        <v>0</v>
      </c>
    </row>
    <row r="490" spans="1:25">
      <c r="A490" s="125" t="s">
        <v>500</v>
      </c>
      <c r="B490" s="128">
        <v>1</v>
      </c>
      <c r="C490" s="128">
        <v>3</v>
      </c>
      <c r="D490" s="107">
        <f ca="1">IF(OFFSET('IWP27'!UnitsOfServicePeriod1, 2, 0, 1, 1)=DATE(1900,1,0), DATE(1900,1,1),OFFSET('IWP27'!UnitsOfServicePeriod1, 2, 0, 1, 1))</f>
        <v>1</v>
      </c>
      <c r="E490" s="107">
        <f ca="1">IF(OFFSET('IWP27'!UnitsOfServicePeriod1, 2, 1, 1, 1)=DATE(1900,1,0), DATE(1900,1,1),OFFSET('IWP27'!UnitsOfServicePeriod1, 2, 1, 1, 1))</f>
        <v>1</v>
      </c>
      <c r="F490" s="128">
        <f ca="1">OFFSET('IWP27'!UnitsOfServicePeriod1, 2, 2, 1, 1)</f>
        <v>0</v>
      </c>
      <c r="G490" s="128">
        <f ca="1">IF(OFFSET('IWP27'!UnitsOfServicePeriod1, 2, 3, 1, 1) = "", 0, OFFSET('IWP27'!UnitsOfServicePeriod1, 2, 3, 1, 1))</f>
        <v>0</v>
      </c>
      <c r="H490" s="128">
        <f ca="1">OFFSET('IWP27'!UnitsOfServicePeriod1, 2, 4, 1, 1)</f>
        <v>0</v>
      </c>
      <c r="I490" s="128">
        <f ca="1">IF(OFFSET('IWP27'!UnitsOfServicePeriod1, 2, 5, 1, 1) = "", 0, OFFSET('IWP27'!UnitsOfServicePeriod1, 2, 5, 1, 1))</f>
        <v>0</v>
      </c>
      <c r="J490" s="128">
        <f ca="1">OFFSET('IWP27'!UnitsOfServicePeriod1, 2, 6, 1, 1)</f>
        <v>0</v>
      </c>
      <c r="K490" s="128">
        <f ca="1">IF(OFFSET('IWP27'!UnitsOfServicePeriod1, 2, 7, 1, 1) = "", 0, OFFSET('IWP27'!UnitsOfServicePeriod1, 2, 7, 1, 1))</f>
        <v>0</v>
      </c>
      <c r="L490" s="128">
        <f ca="1">OFFSET('IWP27'!UnitsOfServicePeriod1, 2, 8, 1, 1)</f>
        <v>0</v>
      </c>
      <c r="M490" s="128">
        <f ca="1">IF(OFFSET('IWP27'!UnitsOfServicePeriod1, 2, 9, 1, 1) = "", 0, OFFSET('IWP27'!UnitsOfServicePeriod1, 2, 9, 1, 1))</f>
        <v>0</v>
      </c>
      <c r="N490" s="128">
        <f ca="1">OFFSET('IWP27'!UnitsOfServicePeriod1, 2, 10, 1, 1)</f>
        <v>0</v>
      </c>
      <c r="O490" s="128">
        <f ca="1">IF(OFFSET('IWP27'!UnitsOfServicePeriod1, 2, 11, 1, 1) = "", 0, OFFSET('IWP27'!UnitsOfServicePeriod1, 2, 11, 1, 1))</f>
        <v>0</v>
      </c>
      <c r="P490" s="128">
        <f ca="1">OFFSET('IWP27'!UnitsOfServicePeriod1, 2, 12, 1, 1)</f>
        <v>0</v>
      </c>
      <c r="Q490" s="128">
        <f ca="1">IF(OFFSET('IWP27'!UnitsOfServicePeriod1, 2, 13, 1, 1) = "", 0, OFFSET('IWP27'!UnitsOfServicePeriod1, 2, 13, 1, 1))</f>
        <v>0</v>
      </c>
      <c r="R490" s="128">
        <f ca="1">OFFSET('IWP27'!UnitsOfServicePeriod1, 2, 14, 1, 1)</f>
        <v>0</v>
      </c>
      <c r="S490" s="128">
        <f ca="1">IF(OFFSET('IWP27'!UnitsOfServicePeriod1, 2, 15, 1, 1) = "", 0, OFFSET('IWP27'!UnitsOfServicePeriod1, 2, 15, 1, 1))</f>
        <v>0</v>
      </c>
      <c r="T490" s="128">
        <f ca="1">IF(OFFSET('IWP27'!UnitsOfServicePeriod1, 2, 16, 1, 1) = "", 0, OFFSET('IWP27'!UnitsOfServicePeriod1, 2, 16, 1, 1))</f>
        <v>0</v>
      </c>
      <c r="U490" s="128">
        <f ca="1">OFFSET('IWP27'!UnitsOfServicePeriod1, 2, 17, 1, 1)</f>
        <v>0</v>
      </c>
      <c r="V490" s="128">
        <f ca="1">IF(OFFSET('IWP27'!UnitsOfServicePeriod1, 2, 19, 1, 1) = "", 0, OFFSET('IWP27'!UnitsOfServicePeriod1, 2, 19, 1, 1))</f>
        <v>0</v>
      </c>
      <c r="W490" s="128">
        <f ca="1">OFFSET('IWP27'!UnitsOfServicePeriod1, 2, 20, 1, 1)</f>
        <v>0</v>
      </c>
      <c r="X490" s="128">
        <f ca="1">IF(OFFSET('IWP27'!UnitsOfServicePeriod1, 2, 21, 1, 1) = "", 0, OFFSET('IWP27'!UnitsOfServicePeriod1, 2, 21, 1, 1))</f>
        <v>0</v>
      </c>
      <c r="Y490" s="137">
        <f ca="1">OFFSET('IWP27'!UnitsOfServicePeriod1, 2, 22, 1, 1)</f>
        <v>0</v>
      </c>
    </row>
    <row r="491" spans="1:25">
      <c r="A491" s="125" t="s">
        <v>500</v>
      </c>
      <c r="B491" s="128">
        <v>1</v>
      </c>
      <c r="C491" s="128">
        <v>4</v>
      </c>
      <c r="D491" s="107">
        <f ca="1">IF(OFFSET('IWP27'!UnitsOfServicePeriod1, 3, 0, 1, 1)=DATE(1900,1,0), DATE(1900,1,1),OFFSET('IWP27'!UnitsOfServicePeriod1, 3, 0, 1, 1))</f>
        <v>1</v>
      </c>
      <c r="E491" s="107">
        <f ca="1">IF(OFFSET('IWP27'!UnitsOfServicePeriod1, 3, 1, 1, 1)=DATE(1900,1,0), DATE(1900,1,1),OFFSET('IWP27'!UnitsOfServicePeriod1, 3, 1, 1, 1))</f>
        <v>1</v>
      </c>
      <c r="F491" s="128">
        <f ca="1">OFFSET('IWP27'!UnitsOfServicePeriod1, 3, 2, 1, 1)</f>
        <v>0</v>
      </c>
      <c r="G491" s="128">
        <f ca="1">IF(OFFSET('IWP27'!UnitsOfServicePeriod1, 3, 3, 1, 1) = "", 0, OFFSET('IWP27'!UnitsOfServicePeriod1, 3, 3, 1, 1))</f>
        <v>0</v>
      </c>
      <c r="H491" s="128">
        <f ca="1">OFFSET('IWP27'!UnitsOfServicePeriod1, 3, 4, 1, 1)</f>
        <v>0</v>
      </c>
      <c r="I491" s="128">
        <f ca="1">IF(OFFSET('IWP27'!UnitsOfServicePeriod1, 3, 5, 1, 1) = "", 0, OFFSET('IWP27'!UnitsOfServicePeriod1, 3, 5, 1, 1))</f>
        <v>0</v>
      </c>
      <c r="J491" s="128">
        <f ca="1">OFFSET('IWP27'!UnitsOfServicePeriod1, 3, 6, 1, 1)</f>
        <v>0</v>
      </c>
      <c r="K491" s="128">
        <f ca="1">IF(OFFSET('IWP27'!UnitsOfServicePeriod1, 3, 7, 1, 1) = "", 0, OFFSET('IWP27'!UnitsOfServicePeriod1, 3, 7, 1, 1))</f>
        <v>0</v>
      </c>
      <c r="L491" s="128">
        <f ca="1">OFFSET('IWP27'!UnitsOfServicePeriod1, 3, 8, 1, 1)</f>
        <v>0</v>
      </c>
      <c r="M491" s="128">
        <f ca="1">IF(OFFSET('IWP27'!UnitsOfServicePeriod1, 3, 9, 1, 1) = "", 0, OFFSET('IWP27'!UnitsOfServicePeriod1, 3, 9, 1, 1))</f>
        <v>0</v>
      </c>
      <c r="N491" s="128">
        <f ca="1">OFFSET('IWP27'!UnitsOfServicePeriod1, 3, 10, 1, 1)</f>
        <v>0</v>
      </c>
      <c r="O491" s="128">
        <f ca="1">IF(OFFSET('IWP27'!UnitsOfServicePeriod1, 3, 11, 1, 1) = "", 0, OFFSET('IWP27'!UnitsOfServicePeriod1, 3, 11, 1, 1))</f>
        <v>0</v>
      </c>
      <c r="P491" s="128">
        <f ca="1">OFFSET('IWP27'!UnitsOfServicePeriod1, 3, 12, 1, 1)</f>
        <v>0</v>
      </c>
      <c r="Q491" s="128">
        <f ca="1">IF(OFFSET('IWP27'!UnitsOfServicePeriod1, 3, 13, 1, 1) = "", 0, OFFSET('IWP27'!UnitsOfServicePeriod1, 3, 13, 1, 1))</f>
        <v>0</v>
      </c>
      <c r="R491" s="128">
        <f ca="1">OFFSET('IWP27'!UnitsOfServicePeriod1, 3, 14, 1, 1)</f>
        <v>0</v>
      </c>
      <c r="S491" s="128">
        <f ca="1">IF(OFFSET('IWP27'!UnitsOfServicePeriod1, 3, 15, 1, 1) = "", 0, OFFSET('IWP27'!UnitsOfServicePeriod1, 3, 15, 1, 1))</f>
        <v>0</v>
      </c>
      <c r="T491" s="128">
        <f ca="1">IF(OFFSET('IWP27'!UnitsOfServicePeriod1, 3, 16, 1, 1) = "", 0, OFFSET('IWP27'!UnitsOfServicePeriod1, 3, 16, 1, 1))</f>
        <v>0</v>
      </c>
      <c r="U491" s="128">
        <f ca="1">OFFSET('IWP27'!UnitsOfServicePeriod1, 3, 17, 1, 1)</f>
        <v>0</v>
      </c>
      <c r="V491" s="128">
        <f ca="1">IF(OFFSET('IWP27'!UnitsOfServicePeriod1, 3, 19, 1, 1) = "", 0, OFFSET('IWP27'!UnitsOfServicePeriod1, 3, 19, 1, 1))</f>
        <v>0</v>
      </c>
      <c r="W491" s="128">
        <f ca="1">OFFSET('IWP27'!UnitsOfServicePeriod1, 3, 20, 1, 1)</f>
        <v>0</v>
      </c>
      <c r="X491" s="128">
        <f ca="1">IF(OFFSET('IWP27'!UnitsOfServicePeriod1, 3, 21, 1, 1) = "", 0, OFFSET('IWP27'!UnitsOfServicePeriod1, 3, 21, 1, 1))</f>
        <v>0</v>
      </c>
      <c r="Y491" s="137">
        <f ca="1">OFFSET('IWP27'!UnitsOfServicePeriod1, 3, 22, 1, 1)</f>
        <v>0</v>
      </c>
    </row>
    <row r="492" spans="1:25">
      <c r="A492" s="125" t="s">
        <v>500</v>
      </c>
      <c r="B492" s="128">
        <v>1</v>
      </c>
      <c r="C492" s="128">
        <v>5</v>
      </c>
      <c r="D492" s="107">
        <f ca="1">IF(OFFSET('IWP27'!UnitsOfServicePeriod1, 4, 0, 1, 1)=DATE(1900,1,0), DATE(1900,1,1),OFFSET('IWP27'!UnitsOfServicePeriod1, 4, 0, 1, 1))</f>
        <v>1</v>
      </c>
      <c r="E492" s="107">
        <f ca="1">IF(OFFSET('IWP27'!UnitsOfServicePeriod1, 4, 1, 1, 1)=DATE(1900,1,0), DATE(1900,1,1),OFFSET('IWP27'!UnitsOfServicePeriod1, 4, 1, 1, 1))</f>
        <v>1</v>
      </c>
      <c r="F492" s="128">
        <f ca="1">OFFSET('IWP27'!UnitsOfServicePeriod1, 4, 2, 1, 1)</f>
        <v>0</v>
      </c>
      <c r="G492" s="128">
        <f ca="1">IF(OFFSET('IWP27'!UnitsOfServicePeriod1, 4, 3, 1, 1) = "", 0, OFFSET('IWP27'!UnitsOfServicePeriod1, 4, 3, 1, 1))</f>
        <v>0</v>
      </c>
      <c r="H492" s="128">
        <f ca="1">OFFSET('IWP27'!UnitsOfServicePeriod1, 4, 4, 1, 1)</f>
        <v>0</v>
      </c>
      <c r="I492" s="128">
        <f ca="1">IF(OFFSET('IWP27'!UnitsOfServicePeriod1, 4, 5, 1, 1) = "", 0, OFFSET('IWP27'!UnitsOfServicePeriod1, 4, 5, 1, 1))</f>
        <v>0</v>
      </c>
      <c r="J492" s="128">
        <f ca="1">OFFSET('IWP27'!UnitsOfServicePeriod1, 4, 6, 1, 1)</f>
        <v>0</v>
      </c>
      <c r="K492" s="128">
        <f ca="1">IF(OFFSET('IWP27'!UnitsOfServicePeriod1, 4, 7, 1, 1) = "", 0, OFFSET('IWP27'!UnitsOfServicePeriod1, 4, 7, 1, 1))</f>
        <v>0</v>
      </c>
      <c r="L492" s="128">
        <f ca="1">OFFSET('IWP27'!UnitsOfServicePeriod1, 4, 8, 1, 1)</f>
        <v>0</v>
      </c>
      <c r="M492" s="128">
        <f ca="1">IF(OFFSET('IWP27'!UnitsOfServicePeriod1, 4, 9, 1, 1) = "", 0, OFFSET('IWP27'!UnitsOfServicePeriod1, 4, 9, 1, 1))</f>
        <v>0</v>
      </c>
      <c r="N492" s="128">
        <f ca="1">OFFSET('IWP27'!UnitsOfServicePeriod1, 4, 10, 1, 1)</f>
        <v>0</v>
      </c>
      <c r="O492" s="128">
        <f ca="1">IF(OFFSET('IWP27'!UnitsOfServicePeriod1, 4, 11, 1, 1) = "", 0, OFFSET('IWP27'!UnitsOfServicePeriod1, 4, 11, 1, 1))</f>
        <v>0</v>
      </c>
      <c r="P492" s="128">
        <f ca="1">OFFSET('IWP27'!UnitsOfServicePeriod1, 4, 12, 1, 1)</f>
        <v>0</v>
      </c>
      <c r="Q492" s="128">
        <f ca="1">IF(OFFSET('IWP27'!UnitsOfServicePeriod1, 4, 13, 1, 1) = "", 0, OFFSET('IWP27'!UnitsOfServicePeriod1, 4, 13, 1, 1))</f>
        <v>0</v>
      </c>
      <c r="R492" s="128">
        <f ca="1">OFFSET('IWP27'!UnitsOfServicePeriod1, 4, 14, 1, 1)</f>
        <v>0</v>
      </c>
      <c r="S492" s="128">
        <f ca="1">IF(OFFSET('IWP27'!UnitsOfServicePeriod1, 4, 15, 1, 1) = "", 0, OFFSET('IWP27'!UnitsOfServicePeriod1, 4, 15, 1, 1))</f>
        <v>0</v>
      </c>
      <c r="T492" s="128">
        <f ca="1">IF(OFFSET('IWP27'!UnitsOfServicePeriod1, 4, 16, 1, 1) = "", 0, OFFSET('IWP27'!UnitsOfServicePeriod1, 4, 16, 1, 1))</f>
        <v>0</v>
      </c>
      <c r="U492" s="128">
        <f ca="1">OFFSET('IWP27'!UnitsOfServicePeriod1, 4, 17, 1, 1)</f>
        <v>0</v>
      </c>
      <c r="V492" s="128">
        <f ca="1">IF(OFFSET('IWP27'!UnitsOfServicePeriod1, 4, 19, 1, 1) = "", 0, OFFSET('IWP27'!UnitsOfServicePeriod1, 4, 19, 1, 1))</f>
        <v>0</v>
      </c>
      <c r="W492" s="128">
        <f ca="1">OFFSET('IWP27'!UnitsOfServicePeriod1, 4, 20, 1, 1)</f>
        <v>0</v>
      </c>
      <c r="X492" s="128">
        <f ca="1">IF(OFFSET('IWP27'!UnitsOfServicePeriod1, 4, 21, 1, 1) = "", 0, OFFSET('IWP27'!UnitsOfServicePeriod1, 4, 21, 1, 1))</f>
        <v>0</v>
      </c>
      <c r="Y492" s="137">
        <f ca="1">OFFSET('IWP27'!UnitsOfServicePeriod1, 4, 22, 1, 1)</f>
        <v>0</v>
      </c>
    </row>
    <row r="493" spans="1:25">
      <c r="A493" s="125" t="s">
        <v>500</v>
      </c>
      <c r="B493" s="128">
        <v>1</v>
      </c>
      <c r="C493" s="128">
        <v>6</v>
      </c>
      <c r="D493" s="107">
        <f ca="1">IF(OFFSET('IWP27'!UnitsOfServicePeriod1, 5, 0, 1, 1)=DATE(1900,1,0), DATE(1900,1,1),OFFSET('IWP27'!UnitsOfServicePeriod1, 5, 0, 1, 1))</f>
        <v>1</v>
      </c>
      <c r="E493" s="107">
        <f ca="1">IF(OFFSET('IWP27'!UnitsOfServicePeriod1, 5, 1, 1, 1)=DATE(1900,1,0), DATE(1900,1,1),OFFSET('IWP27'!UnitsOfServicePeriod1, 5, 1, 1, 1))</f>
        <v>1</v>
      </c>
      <c r="F493" s="128">
        <f ca="1">OFFSET('IWP27'!UnitsOfServicePeriod1, 5, 2, 1, 1)</f>
        <v>0</v>
      </c>
      <c r="G493" s="128">
        <f ca="1">IF(OFFSET('IWP27'!UnitsOfServicePeriod1, 5, 3, 1, 1) = "", 0, OFFSET('IWP27'!UnitsOfServicePeriod1, 5, 3, 1, 1))</f>
        <v>0</v>
      </c>
      <c r="H493" s="128">
        <f ca="1">OFFSET('IWP27'!UnitsOfServicePeriod1, 5, 4, 1, 1)</f>
        <v>0</v>
      </c>
      <c r="I493" s="128">
        <f ca="1">IF(OFFSET('IWP27'!UnitsOfServicePeriod1, 5, 5, 1, 1) = "", 0, OFFSET('IWP27'!UnitsOfServicePeriod1, 5, 5, 1, 1))</f>
        <v>0</v>
      </c>
      <c r="J493" s="128">
        <f ca="1">OFFSET('IWP27'!UnitsOfServicePeriod1, 5, 6, 1, 1)</f>
        <v>0</v>
      </c>
      <c r="K493" s="128">
        <f ca="1">IF(OFFSET('IWP27'!UnitsOfServicePeriod1, 5, 7, 1, 1) = "", 0, OFFSET('IWP27'!UnitsOfServicePeriod1, 5, 7, 1, 1))</f>
        <v>0</v>
      </c>
      <c r="L493" s="128">
        <f ca="1">OFFSET('IWP27'!UnitsOfServicePeriod1, 5, 8, 1, 1)</f>
        <v>0</v>
      </c>
      <c r="M493" s="128">
        <f ca="1">IF(OFFSET('IWP27'!UnitsOfServicePeriod1, 5, 9, 1, 1) = "", 0, OFFSET('IWP27'!UnitsOfServicePeriod1, 5, 9, 1, 1))</f>
        <v>0</v>
      </c>
      <c r="N493" s="128">
        <f ca="1">OFFSET('IWP27'!UnitsOfServicePeriod1, 5, 10, 1, 1)</f>
        <v>0</v>
      </c>
      <c r="O493" s="128">
        <f ca="1">IF(OFFSET('IWP27'!UnitsOfServicePeriod1, 5, 11, 1, 1) = "", 0, OFFSET('IWP27'!UnitsOfServicePeriod1, 5, 11, 1, 1))</f>
        <v>0</v>
      </c>
      <c r="P493" s="128">
        <f ca="1">OFFSET('IWP27'!UnitsOfServicePeriod1, 5, 12, 1, 1)</f>
        <v>0</v>
      </c>
      <c r="Q493" s="128">
        <f ca="1">IF(OFFSET('IWP27'!UnitsOfServicePeriod1, 5, 13, 1, 1) = "", 0, OFFSET('IWP27'!UnitsOfServicePeriod1, 5, 13, 1, 1))</f>
        <v>0</v>
      </c>
      <c r="R493" s="128">
        <f ca="1">OFFSET('IWP27'!UnitsOfServicePeriod1, 5, 14, 1, 1)</f>
        <v>0</v>
      </c>
      <c r="S493" s="128">
        <f ca="1">IF(OFFSET('IWP27'!UnitsOfServicePeriod1, 5, 15, 1, 1) = "", 0, OFFSET('IWP27'!UnitsOfServicePeriod1, 5, 15, 1, 1))</f>
        <v>0</v>
      </c>
      <c r="T493" s="128">
        <f ca="1">IF(OFFSET('IWP27'!UnitsOfServicePeriod1, 5, 16, 1, 1) = "", 0, OFFSET('IWP27'!UnitsOfServicePeriod1, 5, 16, 1, 1))</f>
        <v>0</v>
      </c>
      <c r="U493" s="128">
        <f ca="1">OFFSET('IWP27'!UnitsOfServicePeriod1, 5, 17, 1, 1)</f>
        <v>0</v>
      </c>
      <c r="V493" s="128">
        <f ca="1">IF(OFFSET('IWP27'!UnitsOfServicePeriod1, 5, 19, 1, 1) = "", 0, OFFSET('IWP27'!UnitsOfServicePeriod1, 5, 19, 1, 1))</f>
        <v>0</v>
      </c>
      <c r="W493" s="128">
        <f ca="1">OFFSET('IWP27'!UnitsOfServicePeriod1, 5, 20, 1, 1)</f>
        <v>0</v>
      </c>
      <c r="X493" s="128">
        <f ca="1">IF(OFFSET('IWP27'!UnitsOfServicePeriod1, 5, 21, 1, 1) = "", 0, OFFSET('IWP27'!UnitsOfServicePeriod1, 5, 21, 1, 1))</f>
        <v>0</v>
      </c>
      <c r="Y493" s="137">
        <f ca="1">OFFSET('IWP27'!UnitsOfServicePeriod1, 5, 22, 1, 1)</f>
        <v>0</v>
      </c>
    </row>
    <row r="494" spans="1:25">
      <c r="A494" s="125" t="s">
        <v>500</v>
      </c>
      <c r="B494" s="128">
        <v>2</v>
      </c>
      <c r="C494" s="128">
        <v>1</v>
      </c>
      <c r="D494" s="107">
        <f ca="1">IF(OFFSET('IWP27'!UnitsOfServicePeriod2, 0, 0, 1, 1)=DATE(1900,1,0), DATE(1900,1,1),OFFSET('IWP27'!UnitsOfServicePeriod2, 0, 0, 1, 1))</f>
        <v>1</v>
      </c>
      <c r="E494" s="107">
        <f ca="1">IF(OFFSET('IWP27'!UnitsOfServicePeriod2, 0, 1, 1, 1)=DATE(1900,1,0), DATE(1900,1,1),OFFSET('IWP27'!UnitsOfServicePeriod2, 0, 1, 1, 1))</f>
        <v>1</v>
      </c>
      <c r="F494" s="128">
        <f ca="1">OFFSET('IWP27'!UnitsOfServicePeriod2, 0, 2, 1, 1)</f>
        <v>0</v>
      </c>
      <c r="G494" s="128">
        <f ca="1">IF(OFFSET('IWP27'!UnitsOfServicePeriod2, 0, 3, 1, 1) = "", 0, OFFSET('IWP27'!UnitsOfServicePeriod2, 0, 3, 1, 1))</f>
        <v>0</v>
      </c>
      <c r="H494" s="128">
        <f ca="1">OFFSET('IWP27'!UnitsOfServicePeriod2, 0, 4, 1, 1)</f>
        <v>0</v>
      </c>
      <c r="I494" s="128">
        <f ca="1">IF(OFFSET('IWP27'!UnitsOfServicePeriod2, 0, 5, 1, 1) = "", 0, OFFSET('IWP27'!UnitsOfServicePeriod2, 0, 5, 1, 1))</f>
        <v>0</v>
      </c>
      <c r="J494" s="128">
        <f ca="1">OFFSET('IWP27'!UnitsOfServicePeriod2, 0, 6, 1, 1)</f>
        <v>0</v>
      </c>
      <c r="K494" s="128">
        <f ca="1">IF(OFFSET('IWP27'!UnitsOfServicePeriod2, 0, 7, 1, 1) = "", 0, OFFSET('IWP27'!UnitsOfServicePeriod2, 0, 7, 1, 1))</f>
        <v>0</v>
      </c>
      <c r="L494" s="128">
        <f ca="1">OFFSET('IWP27'!UnitsOfServicePeriod2, 0, 8, 1, 1)</f>
        <v>0</v>
      </c>
      <c r="M494" s="128">
        <f ca="1">IF(OFFSET('IWP27'!UnitsOfServicePeriod2, 0, 9, 1, 1) = "", 0, OFFSET('IWP27'!UnitsOfServicePeriod2, 0, 9, 1, 1))</f>
        <v>0</v>
      </c>
      <c r="N494" s="128">
        <f ca="1">OFFSET('IWP27'!UnitsOfServicePeriod2, 0, 10, 1, 1)</f>
        <v>0</v>
      </c>
      <c r="O494" s="128">
        <f ca="1">IF(OFFSET('IWP27'!UnitsOfServicePeriod2, 0, 11, 1, 1) = "", 0, OFFSET('IWP27'!UnitsOfServicePeriod2, 0, 11, 1, 1))</f>
        <v>0</v>
      </c>
      <c r="P494" s="128">
        <f ca="1">OFFSET('IWP27'!UnitsOfServicePeriod2, 0, 12, 1, 1)</f>
        <v>0</v>
      </c>
      <c r="Q494" s="128">
        <f ca="1">IF(OFFSET('IWP27'!UnitsOfServicePeriod2, 0, 13, 1, 1) = "", 0, OFFSET('IWP27'!UnitsOfServicePeriod2, 0, 13, 1, 1))</f>
        <v>0</v>
      </c>
      <c r="R494" s="128">
        <f ca="1">OFFSET('IWP27'!UnitsOfServicePeriod2, 0, 14, 1, 1)</f>
        <v>0</v>
      </c>
      <c r="S494" s="128">
        <f ca="1">IF(OFFSET('IWP27'!UnitsOfServicePeriod2, 0, 15, 1, 1) = "", 0, OFFSET('IWP27'!UnitsOfServicePeriod2, 0, 15, 1, 1))</f>
        <v>0</v>
      </c>
      <c r="T494" s="128">
        <f ca="1">IF(OFFSET('IWP27'!UnitsOfServicePeriod2, 0, 16, 1, 1) = "", 0, OFFSET('IWP27'!UnitsOfServicePeriod2, 0, 16, 1, 1))</f>
        <v>0</v>
      </c>
      <c r="U494" s="128">
        <f ca="1">OFFSET('IWP27'!UnitsOfServicePeriod2, 0, 17, 1, 1)</f>
        <v>0</v>
      </c>
      <c r="V494" s="128">
        <f ca="1">IF(OFFSET('IWP27'!UnitsOfServicePeriod2, 0, 19, 1, 1) = "", 0, OFFSET('IWP27'!UnitsOfServicePeriod2, 0, 19, 1, 1))</f>
        <v>0</v>
      </c>
      <c r="W494" s="128">
        <f ca="1">OFFSET('IWP27'!UnitsOfServicePeriod2, 0, 20, 1, 1)</f>
        <v>0</v>
      </c>
      <c r="X494" s="128">
        <f ca="1">IF(OFFSET('IWP27'!UnitsOfServicePeriod2, 0, 21, 1, 1) = "", 0, OFFSET('IWP27'!UnitsOfServicePeriod2, 0, 21, 1, 1))</f>
        <v>0</v>
      </c>
      <c r="Y494" s="137">
        <f ca="1">OFFSET('IWP27'!UnitsOfServicePeriod2, 0, 22, 1, 1)</f>
        <v>0</v>
      </c>
    </row>
    <row r="495" spans="1:25">
      <c r="A495" s="125" t="s">
        <v>500</v>
      </c>
      <c r="B495" s="128">
        <v>2</v>
      </c>
      <c r="C495" s="128">
        <v>2</v>
      </c>
      <c r="D495" s="107">
        <f ca="1">IF(OFFSET('IWP27'!UnitsOfServicePeriod2, 1, 0, 1, 1)=DATE(1900,1,0), DATE(1900,1,1),OFFSET('IWP27'!UnitsOfServicePeriod2, 1, 0, 1, 1))</f>
        <v>1</v>
      </c>
      <c r="E495" s="107">
        <f ca="1">IF(OFFSET('IWP27'!UnitsOfServicePeriod2, 1, 1, 1, 1)=DATE(1900,1,0), DATE(1900,1,1),OFFSET('IWP27'!UnitsOfServicePeriod2, 1, 1, 1, 1))</f>
        <v>1</v>
      </c>
      <c r="F495" s="128">
        <f ca="1">OFFSET('IWP27'!UnitsOfServicePeriod2, 1, 2, 1, 1)</f>
        <v>0</v>
      </c>
      <c r="G495" s="128">
        <f ca="1">IF(OFFSET('IWP27'!UnitsOfServicePeriod2, 1, 3, 1, 1) = "", 0, OFFSET('IWP27'!UnitsOfServicePeriod2, 1, 3, 1, 1))</f>
        <v>0</v>
      </c>
      <c r="H495" s="128">
        <f ca="1">OFFSET('IWP27'!UnitsOfServicePeriod2, 1, 4, 1, 1)</f>
        <v>0</v>
      </c>
      <c r="I495" s="128">
        <f ca="1">IF(OFFSET('IWP27'!UnitsOfServicePeriod2, 1, 5, 1, 1) = "", 0, OFFSET('IWP27'!UnitsOfServicePeriod2, 1, 5, 1, 1))</f>
        <v>0</v>
      </c>
      <c r="J495" s="128">
        <f ca="1">OFFSET('IWP27'!UnitsOfServicePeriod2, 1, 6, 1, 1)</f>
        <v>0</v>
      </c>
      <c r="K495" s="128">
        <f ca="1">IF(OFFSET('IWP27'!UnitsOfServicePeriod2, 1, 7, 1, 1) = "", 0, OFFSET('IWP27'!UnitsOfServicePeriod2, 1, 7, 1, 1))</f>
        <v>0</v>
      </c>
      <c r="L495" s="128">
        <f ca="1">OFFSET('IWP27'!UnitsOfServicePeriod2, 1, 8, 1, 1)</f>
        <v>0</v>
      </c>
      <c r="M495" s="128">
        <f ca="1">IF(OFFSET('IWP27'!UnitsOfServicePeriod2, 1, 9, 1, 1) = "", 0, OFFSET('IWP27'!UnitsOfServicePeriod2, 1, 9, 1, 1))</f>
        <v>0</v>
      </c>
      <c r="N495" s="128">
        <f ca="1">OFFSET('IWP27'!UnitsOfServicePeriod2, 1, 10, 1, 1)</f>
        <v>0</v>
      </c>
      <c r="O495" s="128">
        <f ca="1">IF(OFFSET('IWP27'!UnitsOfServicePeriod2, 1, 11, 1, 1) = "", 0, OFFSET('IWP27'!UnitsOfServicePeriod2, 1, 11, 1, 1))</f>
        <v>0</v>
      </c>
      <c r="P495" s="128">
        <f ca="1">OFFSET('IWP27'!UnitsOfServicePeriod2, 1, 12, 1, 1)</f>
        <v>0</v>
      </c>
      <c r="Q495" s="128">
        <f ca="1">IF(OFFSET('IWP27'!UnitsOfServicePeriod2, 1, 13, 1, 1) = "", 0, OFFSET('IWP27'!UnitsOfServicePeriod2, 1, 13, 1, 1))</f>
        <v>0</v>
      </c>
      <c r="R495" s="128">
        <f ca="1">OFFSET('IWP27'!UnitsOfServicePeriod2, 1, 14, 1, 1)</f>
        <v>0</v>
      </c>
      <c r="S495" s="128">
        <f ca="1">IF(OFFSET('IWP27'!UnitsOfServicePeriod2, 1, 15, 1, 1) = "", 0, OFFSET('IWP27'!UnitsOfServicePeriod2, 1, 15, 1, 1))</f>
        <v>0</v>
      </c>
      <c r="T495" s="128">
        <f ca="1">IF(OFFSET('IWP27'!UnitsOfServicePeriod2, 1, 16, 1, 1) = "", 0, OFFSET('IWP27'!UnitsOfServicePeriod2, 1, 16, 1, 1))</f>
        <v>0</v>
      </c>
      <c r="U495" s="128">
        <f ca="1">OFFSET('IWP27'!UnitsOfServicePeriod2, 1, 17, 1, 1)</f>
        <v>0</v>
      </c>
      <c r="V495" s="128">
        <f ca="1">IF(OFFSET('IWP27'!UnitsOfServicePeriod2, 1, 19, 1, 1) = "", 0, OFFSET('IWP27'!UnitsOfServicePeriod2, 1, 19, 1, 1))</f>
        <v>0</v>
      </c>
      <c r="W495" s="128">
        <f ca="1">OFFSET('IWP27'!UnitsOfServicePeriod2, 1, 20, 1, 1)</f>
        <v>0</v>
      </c>
      <c r="X495" s="128">
        <f ca="1">IF(OFFSET('IWP27'!UnitsOfServicePeriod2, 1, 21, 1, 1) = "", 0, OFFSET('IWP27'!UnitsOfServicePeriod2, 1, 21, 1, 1))</f>
        <v>0</v>
      </c>
      <c r="Y495" s="137">
        <f ca="1">OFFSET('IWP27'!UnitsOfServicePeriod2, 1, 22, 1, 1)</f>
        <v>0</v>
      </c>
    </row>
    <row r="496" spans="1:25">
      <c r="A496" s="125" t="s">
        <v>500</v>
      </c>
      <c r="B496" s="128">
        <v>2</v>
      </c>
      <c r="C496" s="128">
        <v>3</v>
      </c>
      <c r="D496" s="107">
        <f ca="1">IF(OFFSET('IWP27'!UnitsOfServicePeriod2, 2, 0, 1, 1)=DATE(1900,1,0), DATE(1900,1,1),OFFSET('IWP27'!UnitsOfServicePeriod2, 2, 0, 1, 1))</f>
        <v>1</v>
      </c>
      <c r="E496" s="107">
        <f ca="1">IF(OFFSET('IWP27'!UnitsOfServicePeriod2, 2, 1, 1, 1)=DATE(1900,1,0), DATE(1900,1,1),OFFSET('IWP27'!UnitsOfServicePeriod2, 2, 1, 1, 1))</f>
        <v>1</v>
      </c>
      <c r="F496" s="128">
        <f ca="1">OFFSET('IWP27'!UnitsOfServicePeriod2, 2, 2, 1, 1)</f>
        <v>0</v>
      </c>
      <c r="G496" s="128">
        <f ca="1">IF(OFFSET('IWP27'!UnitsOfServicePeriod2, 2, 3, 1, 1) = "", 0, OFFSET('IWP27'!UnitsOfServicePeriod2, 2, 3, 1, 1))</f>
        <v>0</v>
      </c>
      <c r="H496" s="128">
        <f ca="1">OFFSET('IWP27'!UnitsOfServicePeriod2, 2, 4, 1, 1)</f>
        <v>0</v>
      </c>
      <c r="I496" s="128">
        <f ca="1">IF(OFFSET('IWP27'!UnitsOfServicePeriod2, 2, 5, 1, 1) = "", 0, OFFSET('IWP27'!UnitsOfServicePeriod2, 2, 5, 1, 1))</f>
        <v>0</v>
      </c>
      <c r="J496" s="128">
        <f ca="1">OFFSET('IWP27'!UnitsOfServicePeriod2, 2, 6, 1, 1)</f>
        <v>0</v>
      </c>
      <c r="K496" s="128">
        <f ca="1">IF(OFFSET('IWP27'!UnitsOfServicePeriod2, 2, 7, 1, 1) = "", 0, OFFSET('IWP27'!UnitsOfServicePeriod2, 2, 7, 1, 1))</f>
        <v>0</v>
      </c>
      <c r="L496" s="128">
        <f ca="1">OFFSET('IWP27'!UnitsOfServicePeriod2, 2, 8, 1, 1)</f>
        <v>0</v>
      </c>
      <c r="M496" s="128">
        <f ca="1">IF(OFFSET('IWP27'!UnitsOfServicePeriod2, 2, 9, 1, 1) = "", 0, OFFSET('IWP27'!UnitsOfServicePeriod2, 2, 9, 1, 1))</f>
        <v>0</v>
      </c>
      <c r="N496" s="128">
        <f ca="1">OFFSET('IWP27'!UnitsOfServicePeriod2, 2, 10, 1, 1)</f>
        <v>0</v>
      </c>
      <c r="O496" s="128">
        <f ca="1">IF(OFFSET('IWP27'!UnitsOfServicePeriod2, 2, 11, 1, 1) = "", 0, OFFSET('IWP27'!UnitsOfServicePeriod2, 2, 11, 1, 1))</f>
        <v>0</v>
      </c>
      <c r="P496" s="128">
        <f ca="1">OFFSET('IWP27'!UnitsOfServicePeriod2, 2, 12, 1, 1)</f>
        <v>0</v>
      </c>
      <c r="Q496" s="128">
        <f ca="1">IF(OFFSET('IWP27'!UnitsOfServicePeriod2, 2, 13, 1, 1) = "", 0, OFFSET('IWP27'!UnitsOfServicePeriod2, 2, 13, 1, 1))</f>
        <v>0</v>
      </c>
      <c r="R496" s="128">
        <f ca="1">OFFSET('IWP27'!UnitsOfServicePeriod2, 2, 14, 1, 1)</f>
        <v>0</v>
      </c>
      <c r="S496" s="128">
        <f ca="1">IF(OFFSET('IWP27'!UnitsOfServicePeriod2, 2, 15, 1, 1) = "", 0, OFFSET('IWP27'!UnitsOfServicePeriod2, 2, 15, 1, 1))</f>
        <v>0</v>
      </c>
      <c r="T496" s="128">
        <f ca="1">IF(OFFSET('IWP27'!UnitsOfServicePeriod2, 2, 16, 1, 1) = "", 0, OFFSET('IWP27'!UnitsOfServicePeriod2, 2, 16, 1, 1))</f>
        <v>0</v>
      </c>
      <c r="U496" s="128">
        <f ca="1">OFFSET('IWP27'!UnitsOfServicePeriod2, 2, 17, 1, 1)</f>
        <v>0</v>
      </c>
      <c r="V496" s="128">
        <f ca="1">IF(OFFSET('IWP27'!UnitsOfServicePeriod2, 2, 19, 1, 1) = "", 0, OFFSET('IWP27'!UnitsOfServicePeriod2, 2, 19, 1, 1))</f>
        <v>0</v>
      </c>
      <c r="W496" s="128">
        <f ca="1">OFFSET('IWP27'!UnitsOfServicePeriod2, 2, 20, 1, 1)</f>
        <v>0</v>
      </c>
      <c r="X496" s="128">
        <f ca="1">IF(OFFSET('IWP27'!UnitsOfServicePeriod2, 2, 21, 1, 1) = "", 0, OFFSET('IWP27'!UnitsOfServicePeriod2, 2, 21, 1, 1))</f>
        <v>0</v>
      </c>
      <c r="Y496" s="137">
        <f ca="1">OFFSET('IWP27'!UnitsOfServicePeriod2, 2, 22, 1, 1)</f>
        <v>0</v>
      </c>
    </row>
    <row r="497" spans="1:25">
      <c r="A497" s="125" t="s">
        <v>500</v>
      </c>
      <c r="B497" s="128">
        <v>2</v>
      </c>
      <c r="C497" s="128">
        <v>4</v>
      </c>
      <c r="D497" s="107">
        <f ca="1">IF(OFFSET('IWP27'!UnitsOfServicePeriod2, 3, 0, 1, 1)=DATE(1900,1,0), DATE(1900,1,1),OFFSET('IWP27'!UnitsOfServicePeriod2, 3, 0, 1, 1))</f>
        <v>1</v>
      </c>
      <c r="E497" s="107">
        <f ca="1">IF(OFFSET('IWP27'!UnitsOfServicePeriod2, 3, 1, 1, 1)=DATE(1900,1,0), DATE(1900,1,1),OFFSET('IWP27'!UnitsOfServicePeriod2, 3, 1, 1, 1))</f>
        <v>1</v>
      </c>
      <c r="F497" s="128">
        <f ca="1">OFFSET('IWP27'!UnitsOfServicePeriod2, 3, 2, 1, 1)</f>
        <v>0</v>
      </c>
      <c r="G497" s="128">
        <f ca="1">IF(OFFSET('IWP27'!UnitsOfServicePeriod2, 3, 3, 1, 1) = "", 0, OFFSET('IWP27'!UnitsOfServicePeriod2, 3, 3, 1, 1))</f>
        <v>0</v>
      </c>
      <c r="H497" s="128">
        <f ca="1">OFFSET('IWP27'!UnitsOfServicePeriod2, 3, 4, 1, 1)</f>
        <v>0</v>
      </c>
      <c r="I497" s="128">
        <f ca="1">IF(OFFSET('IWP27'!UnitsOfServicePeriod2, 3, 5, 1, 1) = "", 0, OFFSET('IWP27'!UnitsOfServicePeriod2, 3, 5, 1, 1))</f>
        <v>0</v>
      </c>
      <c r="J497" s="128">
        <f ca="1">OFFSET('IWP27'!UnitsOfServicePeriod2, 3, 6, 1, 1)</f>
        <v>0</v>
      </c>
      <c r="K497" s="128">
        <f ca="1">IF(OFFSET('IWP27'!UnitsOfServicePeriod2, 3, 7, 1, 1) = "", 0, OFFSET('IWP27'!UnitsOfServicePeriod2, 3, 7, 1, 1))</f>
        <v>0</v>
      </c>
      <c r="L497" s="128">
        <f ca="1">OFFSET('IWP27'!UnitsOfServicePeriod2, 3, 8, 1, 1)</f>
        <v>0</v>
      </c>
      <c r="M497" s="128">
        <f ca="1">IF(OFFSET('IWP27'!UnitsOfServicePeriod2, 3, 9, 1, 1) = "", 0, OFFSET('IWP27'!UnitsOfServicePeriod2, 3, 9, 1, 1))</f>
        <v>0</v>
      </c>
      <c r="N497" s="128">
        <f ca="1">OFFSET('IWP27'!UnitsOfServicePeriod2, 3, 10, 1, 1)</f>
        <v>0</v>
      </c>
      <c r="O497" s="128">
        <f ca="1">IF(OFFSET('IWP27'!UnitsOfServicePeriod2, 3, 11, 1, 1) = "", 0, OFFSET('IWP27'!UnitsOfServicePeriod2, 3, 11, 1, 1))</f>
        <v>0</v>
      </c>
      <c r="P497" s="128">
        <f ca="1">OFFSET('IWP27'!UnitsOfServicePeriod2, 3, 12, 1, 1)</f>
        <v>0</v>
      </c>
      <c r="Q497" s="128">
        <f ca="1">IF(OFFSET('IWP27'!UnitsOfServicePeriod2, 3, 13, 1, 1) = "", 0, OFFSET('IWP27'!UnitsOfServicePeriod2, 3, 13, 1, 1))</f>
        <v>0</v>
      </c>
      <c r="R497" s="128">
        <f ca="1">OFFSET('IWP27'!UnitsOfServicePeriod2, 3, 14, 1, 1)</f>
        <v>0</v>
      </c>
      <c r="S497" s="128">
        <f ca="1">IF(OFFSET('IWP27'!UnitsOfServicePeriod2, 3, 15, 1, 1) = "", 0, OFFSET('IWP27'!UnitsOfServicePeriod2, 3, 15, 1, 1))</f>
        <v>0</v>
      </c>
      <c r="T497" s="128">
        <f ca="1">IF(OFFSET('IWP27'!UnitsOfServicePeriod2, 3, 16, 1, 1) = "", 0, OFFSET('IWP27'!UnitsOfServicePeriod2, 3, 16, 1, 1))</f>
        <v>0</v>
      </c>
      <c r="U497" s="128">
        <f ca="1">OFFSET('IWP27'!UnitsOfServicePeriod2, 3, 17, 1, 1)</f>
        <v>0</v>
      </c>
      <c r="V497" s="128">
        <f ca="1">IF(OFFSET('IWP27'!UnitsOfServicePeriod2, 3, 19, 1, 1) = "", 0, OFFSET('IWP27'!UnitsOfServicePeriod2, 3, 19, 1, 1))</f>
        <v>0</v>
      </c>
      <c r="W497" s="128">
        <f ca="1">OFFSET('IWP27'!UnitsOfServicePeriod2, 3, 20, 1, 1)</f>
        <v>0</v>
      </c>
      <c r="X497" s="128">
        <f ca="1">IF(OFFSET('IWP27'!UnitsOfServicePeriod2, 3, 21, 1, 1) = "", 0, OFFSET('IWP27'!UnitsOfServicePeriod2, 3, 21, 1, 1))</f>
        <v>0</v>
      </c>
      <c r="Y497" s="137">
        <f ca="1">OFFSET('IWP27'!UnitsOfServicePeriod2, 3, 22, 1, 1)</f>
        <v>0</v>
      </c>
    </row>
    <row r="498" spans="1:25">
      <c r="A498" s="125" t="s">
        <v>500</v>
      </c>
      <c r="B498" s="128">
        <v>2</v>
      </c>
      <c r="C498" s="128">
        <v>5</v>
      </c>
      <c r="D498" s="107">
        <f ca="1">IF(OFFSET('IWP27'!UnitsOfServicePeriod2, 4, 0, 1, 1)=DATE(1900,1,0), DATE(1900,1,1),OFFSET('IWP27'!UnitsOfServicePeriod2, 4, 0, 1, 1))</f>
        <v>1</v>
      </c>
      <c r="E498" s="107">
        <f ca="1">IF(OFFSET('IWP27'!UnitsOfServicePeriod2, 4, 1, 1, 1)=DATE(1900,1,0), DATE(1900,1,1),OFFSET('IWP27'!UnitsOfServicePeriod2, 4, 1, 1, 1))</f>
        <v>1</v>
      </c>
      <c r="F498" s="128">
        <f ca="1">OFFSET('IWP27'!UnitsOfServicePeriod2, 4, 2, 1, 1)</f>
        <v>0</v>
      </c>
      <c r="G498" s="128">
        <f ca="1">IF(OFFSET('IWP27'!UnitsOfServicePeriod2, 4, 3, 1, 1) = "", 0, OFFSET('IWP27'!UnitsOfServicePeriod2, 4, 3, 1, 1))</f>
        <v>0</v>
      </c>
      <c r="H498" s="128">
        <f ca="1">OFFSET('IWP27'!UnitsOfServicePeriod2, 4, 4, 1, 1)</f>
        <v>0</v>
      </c>
      <c r="I498" s="128">
        <f ca="1">IF(OFFSET('IWP27'!UnitsOfServicePeriod2, 4, 5, 1, 1) = "", 0, OFFSET('IWP27'!UnitsOfServicePeriod2, 4, 5, 1, 1))</f>
        <v>0</v>
      </c>
      <c r="J498" s="128">
        <f ca="1">OFFSET('IWP27'!UnitsOfServicePeriod2, 4, 6, 1, 1)</f>
        <v>0</v>
      </c>
      <c r="K498" s="128">
        <f ca="1">IF(OFFSET('IWP27'!UnitsOfServicePeriod2, 4, 7, 1, 1) = "", 0, OFFSET('IWP27'!UnitsOfServicePeriod2, 4, 7, 1, 1))</f>
        <v>0</v>
      </c>
      <c r="L498" s="128">
        <f ca="1">OFFSET('IWP27'!UnitsOfServicePeriod2, 4, 8, 1, 1)</f>
        <v>0</v>
      </c>
      <c r="M498" s="128">
        <f ca="1">IF(OFFSET('IWP27'!UnitsOfServicePeriod2, 4, 9, 1, 1) = "", 0, OFFSET('IWP27'!UnitsOfServicePeriod2, 4, 9, 1, 1))</f>
        <v>0</v>
      </c>
      <c r="N498" s="128">
        <f ca="1">OFFSET('IWP27'!UnitsOfServicePeriod2, 4, 10, 1, 1)</f>
        <v>0</v>
      </c>
      <c r="O498" s="128">
        <f ca="1">IF(OFFSET('IWP27'!UnitsOfServicePeriod2, 4, 11, 1, 1) = "", 0, OFFSET('IWP27'!UnitsOfServicePeriod2, 4, 11, 1, 1))</f>
        <v>0</v>
      </c>
      <c r="P498" s="128">
        <f ca="1">OFFSET('IWP27'!UnitsOfServicePeriod2, 4, 12, 1, 1)</f>
        <v>0</v>
      </c>
      <c r="Q498" s="128">
        <f ca="1">IF(OFFSET('IWP27'!UnitsOfServicePeriod2, 4, 13, 1, 1) = "", 0, OFFSET('IWP27'!UnitsOfServicePeriod2, 4, 13, 1, 1))</f>
        <v>0</v>
      </c>
      <c r="R498" s="128">
        <f ca="1">OFFSET('IWP27'!UnitsOfServicePeriod2, 4, 14, 1, 1)</f>
        <v>0</v>
      </c>
      <c r="S498" s="128">
        <f ca="1">IF(OFFSET('IWP27'!UnitsOfServicePeriod2, 4, 15, 1, 1) = "", 0, OFFSET('IWP27'!UnitsOfServicePeriod2, 4, 15, 1, 1))</f>
        <v>0</v>
      </c>
      <c r="T498" s="128">
        <f ca="1">IF(OFFSET('IWP27'!UnitsOfServicePeriod2, 4, 16, 1, 1) = "", 0, OFFSET('IWP27'!UnitsOfServicePeriod2, 4, 16, 1, 1))</f>
        <v>0</v>
      </c>
      <c r="U498" s="128">
        <f ca="1">OFFSET('IWP27'!UnitsOfServicePeriod2, 4, 17, 1, 1)</f>
        <v>0</v>
      </c>
      <c r="V498" s="128">
        <f ca="1">IF(OFFSET('IWP27'!UnitsOfServicePeriod2, 4, 19, 1, 1) = "", 0, OFFSET('IWP27'!UnitsOfServicePeriod2, 4, 19, 1, 1))</f>
        <v>0</v>
      </c>
      <c r="W498" s="128">
        <f ca="1">OFFSET('IWP27'!UnitsOfServicePeriod2, 4, 20, 1, 1)</f>
        <v>0</v>
      </c>
      <c r="X498" s="128">
        <f ca="1">IF(OFFSET('IWP27'!UnitsOfServicePeriod2, 4, 21, 1, 1) = "", 0, OFFSET('IWP27'!UnitsOfServicePeriod2, 4, 21, 1, 1))</f>
        <v>0</v>
      </c>
      <c r="Y498" s="137">
        <f ca="1">OFFSET('IWP27'!UnitsOfServicePeriod2, 4, 22, 1, 1)</f>
        <v>0</v>
      </c>
    </row>
    <row r="499" spans="1:25">
      <c r="A499" s="125" t="s">
        <v>500</v>
      </c>
      <c r="B499" s="128">
        <v>2</v>
      </c>
      <c r="C499" s="128">
        <v>6</v>
      </c>
      <c r="D499" s="107">
        <f ca="1">IF(OFFSET('IWP27'!UnitsOfServicePeriod2, 5, 0, 1, 1)=DATE(1900,1,0), DATE(1900,1,1),OFFSET('IWP27'!UnitsOfServicePeriod2, 5, 0, 1, 1))</f>
        <v>1</v>
      </c>
      <c r="E499" s="107">
        <f ca="1">IF(OFFSET('IWP27'!UnitsOfServicePeriod2, 5, 1, 1, 1)=DATE(1900,1,0), DATE(1900,1,1),OFFSET('IWP27'!UnitsOfServicePeriod2, 5, 1, 1, 1))</f>
        <v>1</v>
      </c>
      <c r="F499" s="128">
        <f ca="1">OFFSET('IWP27'!UnitsOfServicePeriod2, 5, 2, 1, 1)</f>
        <v>0</v>
      </c>
      <c r="G499" s="128">
        <f ca="1">IF(OFFSET('IWP27'!UnitsOfServicePeriod2, 5, 3, 1, 1) = "", 0, OFFSET('IWP27'!UnitsOfServicePeriod2, 5, 3, 1, 1))</f>
        <v>0</v>
      </c>
      <c r="H499" s="128">
        <f ca="1">OFFSET('IWP27'!UnitsOfServicePeriod2, 5, 4, 1, 1)</f>
        <v>0</v>
      </c>
      <c r="I499" s="128">
        <f ca="1">IF(OFFSET('IWP27'!UnitsOfServicePeriod2, 5, 5, 1, 1) = "", 0, OFFSET('IWP27'!UnitsOfServicePeriod2, 5, 5, 1, 1))</f>
        <v>0</v>
      </c>
      <c r="J499" s="128">
        <f ca="1">OFFSET('IWP27'!UnitsOfServicePeriod2, 5, 6, 1, 1)</f>
        <v>0</v>
      </c>
      <c r="K499" s="128">
        <f ca="1">IF(OFFSET('IWP27'!UnitsOfServicePeriod2, 5, 7, 1, 1) = "", 0, OFFSET('IWP27'!UnitsOfServicePeriod2, 5, 7, 1, 1))</f>
        <v>0</v>
      </c>
      <c r="L499" s="128">
        <f ca="1">OFFSET('IWP27'!UnitsOfServicePeriod2, 5, 8, 1, 1)</f>
        <v>0</v>
      </c>
      <c r="M499" s="128">
        <f ca="1">IF(OFFSET('IWP27'!UnitsOfServicePeriod2, 5, 9, 1, 1) = "", 0, OFFSET('IWP27'!UnitsOfServicePeriod2, 5, 9, 1, 1))</f>
        <v>0</v>
      </c>
      <c r="N499" s="128">
        <f ca="1">OFFSET('IWP27'!UnitsOfServicePeriod2, 5, 10, 1, 1)</f>
        <v>0</v>
      </c>
      <c r="O499" s="128">
        <f ca="1">IF(OFFSET('IWP27'!UnitsOfServicePeriod2, 5, 11, 1, 1) = "", 0, OFFSET('IWP27'!UnitsOfServicePeriod2, 5, 11, 1, 1))</f>
        <v>0</v>
      </c>
      <c r="P499" s="128">
        <f ca="1">OFFSET('IWP27'!UnitsOfServicePeriod2, 5, 12, 1, 1)</f>
        <v>0</v>
      </c>
      <c r="Q499" s="128">
        <f ca="1">IF(OFFSET('IWP27'!UnitsOfServicePeriod2, 5, 13, 1, 1) = "", 0, OFFSET('IWP27'!UnitsOfServicePeriod2, 5, 13, 1, 1))</f>
        <v>0</v>
      </c>
      <c r="R499" s="128">
        <f ca="1">OFFSET('IWP27'!UnitsOfServicePeriod2, 5, 14, 1, 1)</f>
        <v>0</v>
      </c>
      <c r="S499" s="128">
        <f ca="1">IF(OFFSET('IWP27'!UnitsOfServicePeriod2, 5, 15, 1, 1) = "", 0, OFFSET('IWP27'!UnitsOfServicePeriod2, 5, 15, 1, 1))</f>
        <v>0</v>
      </c>
      <c r="T499" s="128">
        <f ca="1">IF(OFFSET('IWP27'!UnitsOfServicePeriod2, 5, 16, 1, 1) = "", 0, OFFSET('IWP27'!UnitsOfServicePeriod2, 5, 16, 1, 1))</f>
        <v>0</v>
      </c>
      <c r="U499" s="128">
        <f ca="1">OFFSET('IWP27'!UnitsOfServicePeriod2, 5, 17, 1, 1)</f>
        <v>0</v>
      </c>
      <c r="V499" s="128">
        <f ca="1">IF(OFFSET('IWP27'!UnitsOfServicePeriod2, 5, 19, 1, 1) = "", 0, OFFSET('IWP27'!UnitsOfServicePeriod2, 5, 19, 1, 1))</f>
        <v>0</v>
      </c>
      <c r="W499" s="128">
        <f ca="1">OFFSET('IWP27'!UnitsOfServicePeriod2, 5, 20, 1, 1)</f>
        <v>0</v>
      </c>
      <c r="X499" s="128">
        <f ca="1">IF(OFFSET('IWP27'!UnitsOfServicePeriod2, 5, 21, 1, 1) = "", 0, OFFSET('IWP27'!UnitsOfServicePeriod2, 5, 21, 1, 1))</f>
        <v>0</v>
      </c>
      <c r="Y499" s="137">
        <f ca="1">OFFSET('IWP27'!UnitsOfServicePeriod2, 5, 22, 1, 1)</f>
        <v>0</v>
      </c>
    </row>
    <row r="500" spans="1:25">
      <c r="A500" s="125" t="s">
        <v>501</v>
      </c>
      <c r="B500" s="128">
        <v>1</v>
      </c>
      <c r="C500" s="128">
        <v>1</v>
      </c>
      <c r="D500" s="107">
        <f ca="1">IF(OFFSET('IWP28'!UnitsOfServicePeriod1, 0, 0, 1, 1)=DATE(1900,1,0), DATE(1900,1,1),OFFSET('IWP28'!UnitsOfServicePeriod1, 0, 0, 1, 1))</f>
        <v>1</v>
      </c>
      <c r="E500" s="107">
        <f ca="1">IF(OFFSET('IWP28'!UnitsOfServicePeriod1, 0, 1, 1, 1)=DATE(1900,1,0), DATE(1900,1,1),OFFSET('IWP28'!UnitsOfServicePeriod1, 0, 1, 1, 1))</f>
        <v>1</v>
      </c>
      <c r="F500" s="128">
        <f ca="1">OFFSET('IWP28'!UnitsOfServicePeriod1, 0, 2, 1, 1)</f>
        <v>0</v>
      </c>
      <c r="G500" s="128">
        <f ca="1">IF(OFFSET('IWP28'!UnitsOfServicePeriod1, 0, 3, 1, 1) = "", 0, OFFSET('IWP28'!UnitsOfServicePeriod1, 0, 3, 1, 1))</f>
        <v>0</v>
      </c>
      <c r="H500" s="128">
        <f ca="1">OFFSET('IWP28'!UnitsOfServicePeriod1, 0, 4, 1, 1)</f>
        <v>0</v>
      </c>
      <c r="I500" s="128">
        <f ca="1">IF(OFFSET('IWP28'!UnitsOfServicePeriod1, 0, 5, 1, 1) = "", 0, OFFSET('IWP28'!UnitsOfServicePeriod1, 0, 5, 1, 1))</f>
        <v>0</v>
      </c>
      <c r="J500" s="128">
        <f ca="1">OFFSET('IWP28'!UnitsOfServicePeriod1, 0, 6, 1, 1)</f>
        <v>0</v>
      </c>
      <c r="K500" s="128">
        <f ca="1">IF(OFFSET('IWP28'!UnitsOfServicePeriod1, 0, 7, 1, 1) = "", 0, OFFSET('IWP28'!UnitsOfServicePeriod1, 0, 7, 1, 1))</f>
        <v>0</v>
      </c>
      <c r="L500" s="128">
        <f ca="1">OFFSET('IWP28'!UnitsOfServicePeriod1, 0, 8, 1, 1)</f>
        <v>0</v>
      </c>
      <c r="M500" s="128">
        <f ca="1">IF(OFFSET('IWP28'!UnitsOfServicePeriod1, 0, 9, 1, 1) = "", 0, OFFSET('IWP28'!UnitsOfServicePeriod1, 0, 9, 1, 1))</f>
        <v>0</v>
      </c>
      <c r="N500" s="128">
        <f ca="1">OFFSET('IWP28'!UnitsOfServicePeriod1, 0, 10, 1, 1)</f>
        <v>0</v>
      </c>
      <c r="O500" s="128">
        <f ca="1">IF(OFFSET('IWP28'!UnitsOfServicePeriod1, 0, 11, 1, 1) = "", 0, OFFSET('IWP28'!UnitsOfServicePeriod1, 0, 11, 1, 1))</f>
        <v>0</v>
      </c>
      <c r="P500" s="128">
        <f ca="1">OFFSET('IWP28'!UnitsOfServicePeriod1, 0, 12, 1, 1)</f>
        <v>0</v>
      </c>
      <c r="Q500" s="128">
        <f ca="1">IF(OFFSET('IWP28'!UnitsOfServicePeriod1, 0, 13, 1, 1) = "", 0, OFFSET('IWP28'!UnitsOfServicePeriod1, 0, 13, 1, 1))</f>
        <v>0</v>
      </c>
      <c r="R500" s="128">
        <f ca="1">OFFSET('IWP28'!UnitsOfServicePeriod1, 0, 14, 1, 1)</f>
        <v>0</v>
      </c>
      <c r="S500" s="128">
        <f ca="1">IF(OFFSET('IWP28'!UnitsOfServicePeriod1, 0, 15, 1, 1) = "", 0, OFFSET('IWP28'!UnitsOfServicePeriod1, 0, 15, 1, 1))</f>
        <v>0</v>
      </c>
      <c r="T500" s="128">
        <f ca="1">IF(OFFSET('IWP28'!UnitsOfServicePeriod1, 0, 16, 1, 1) = "", 0, OFFSET('IWP28'!UnitsOfServicePeriod1, 0, 16, 1, 1))</f>
        <v>0</v>
      </c>
      <c r="U500" s="128">
        <f ca="1">OFFSET('IWP28'!UnitsOfServicePeriod1, 0, 17, 1, 1)</f>
        <v>0</v>
      </c>
      <c r="V500" s="128">
        <f ca="1">IF(OFFSET('IWP28'!UnitsOfServicePeriod1, 0, 19, 1, 1) = "", 0, OFFSET('IWP28'!UnitsOfServicePeriod1, 0, 19, 1, 1))</f>
        <v>0</v>
      </c>
      <c r="W500" s="128">
        <f ca="1">OFFSET('IWP28'!UnitsOfServicePeriod1, 0, 20, 1, 1)</f>
        <v>0</v>
      </c>
      <c r="X500" s="128">
        <f ca="1">IF(OFFSET('IWP28'!UnitsOfServicePeriod1, 0, 21, 1, 1) = "", 0, OFFSET('IWP28'!UnitsOfServicePeriod1, 0, 21, 1, 1))</f>
        <v>0</v>
      </c>
      <c r="Y500" s="137">
        <f ca="1">OFFSET('IWP28'!UnitsOfServicePeriod1, 0, 22, 1, 1)</f>
        <v>0</v>
      </c>
    </row>
    <row r="501" spans="1:25">
      <c r="A501" s="125" t="s">
        <v>501</v>
      </c>
      <c r="B501" s="128">
        <v>1</v>
      </c>
      <c r="C501" s="128">
        <v>2</v>
      </c>
      <c r="D501" s="107">
        <f ca="1">IF(OFFSET('IWP28'!UnitsOfServicePeriod1, 1, 0, 1, 1)=DATE(1900,1,0), DATE(1900,1,1),OFFSET('IWP28'!UnitsOfServicePeriod1, 1, 0, 1, 1))</f>
        <v>1</v>
      </c>
      <c r="E501" s="107">
        <f ca="1">IF(OFFSET('IWP28'!UnitsOfServicePeriod1, 1, 1, 1, 1)=DATE(1900,1,0), DATE(1900,1,1),OFFSET('IWP28'!UnitsOfServicePeriod1, 1, 1, 1, 1))</f>
        <v>1</v>
      </c>
      <c r="F501" s="128">
        <f ca="1">OFFSET('IWP28'!UnitsOfServicePeriod1, 1, 2, 1, 1)</f>
        <v>0</v>
      </c>
      <c r="G501" s="128">
        <f ca="1">IF(OFFSET('IWP28'!UnitsOfServicePeriod1, 1, 3, 1, 1) = "", 0, OFFSET('IWP28'!UnitsOfServicePeriod1, 1, 3, 1, 1))</f>
        <v>0</v>
      </c>
      <c r="H501" s="128">
        <f ca="1">OFFSET('IWP28'!UnitsOfServicePeriod1, 1, 4, 1, 1)</f>
        <v>0</v>
      </c>
      <c r="I501" s="128">
        <f ca="1">IF(OFFSET('IWP28'!UnitsOfServicePeriod1, 1, 5, 1, 1) = "", 0, OFFSET('IWP28'!UnitsOfServicePeriod1, 1, 5, 1, 1))</f>
        <v>0</v>
      </c>
      <c r="J501" s="128">
        <f ca="1">OFFSET('IWP28'!UnitsOfServicePeriod1, 1, 6, 1, 1)</f>
        <v>0</v>
      </c>
      <c r="K501" s="128">
        <f ca="1">IF(OFFSET('IWP28'!UnitsOfServicePeriod1, 1, 7, 1, 1) = "", 0, OFFSET('IWP28'!UnitsOfServicePeriod1, 1, 7, 1, 1))</f>
        <v>0</v>
      </c>
      <c r="L501" s="128">
        <f ca="1">OFFSET('IWP28'!UnitsOfServicePeriod1, 1, 8, 1, 1)</f>
        <v>0</v>
      </c>
      <c r="M501" s="128">
        <f ca="1">IF(OFFSET('IWP28'!UnitsOfServicePeriod1, 1, 9, 1, 1) = "", 0, OFFSET('IWP28'!UnitsOfServicePeriod1, 1, 9, 1, 1))</f>
        <v>0</v>
      </c>
      <c r="N501" s="128">
        <f ca="1">OFFSET('IWP28'!UnitsOfServicePeriod1, 1, 10, 1, 1)</f>
        <v>0</v>
      </c>
      <c r="O501" s="128">
        <f ca="1">IF(OFFSET('IWP28'!UnitsOfServicePeriod1, 1, 11, 1, 1) = "", 0, OFFSET('IWP28'!UnitsOfServicePeriod1, 1, 11, 1, 1))</f>
        <v>0</v>
      </c>
      <c r="P501" s="128">
        <f ca="1">OFFSET('IWP28'!UnitsOfServicePeriod1, 1, 12, 1, 1)</f>
        <v>0</v>
      </c>
      <c r="Q501" s="128">
        <f ca="1">IF(OFFSET('IWP28'!UnitsOfServicePeriod1, 1, 13, 1, 1) = "", 0, OFFSET('IWP28'!UnitsOfServicePeriod1, 1, 13, 1, 1))</f>
        <v>0</v>
      </c>
      <c r="R501" s="128">
        <f ca="1">OFFSET('IWP28'!UnitsOfServicePeriod1, 1, 14, 1, 1)</f>
        <v>0</v>
      </c>
      <c r="S501" s="128">
        <f ca="1">IF(OFFSET('IWP28'!UnitsOfServicePeriod1, 1, 15, 1, 1) = "", 0, OFFSET('IWP28'!UnitsOfServicePeriod1, 1, 15, 1, 1))</f>
        <v>0</v>
      </c>
      <c r="T501" s="128">
        <f ca="1">IF(OFFSET('IWP28'!UnitsOfServicePeriod1, 1, 16, 1, 1) = "", 0, OFFSET('IWP28'!UnitsOfServicePeriod1, 1, 16, 1, 1))</f>
        <v>0</v>
      </c>
      <c r="U501" s="128">
        <f ca="1">OFFSET('IWP28'!UnitsOfServicePeriod1, 1, 17, 1, 1)</f>
        <v>0</v>
      </c>
      <c r="V501" s="128">
        <f ca="1">IF(OFFSET('IWP28'!UnitsOfServicePeriod1, 1, 19, 1, 1) = "", 0, OFFSET('IWP28'!UnitsOfServicePeriod1, 1, 19, 1, 1))</f>
        <v>0</v>
      </c>
      <c r="W501" s="128">
        <f ca="1">OFFSET('IWP28'!UnitsOfServicePeriod1, 1, 20, 1, 1)</f>
        <v>0</v>
      </c>
      <c r="X501" s="128">
        <f ca="1">IF(OFFSET('IWP28'!UnitsOfServicePeriod1, 1, 21, 1, 1) = "", 0, OFFSET('IWP28'!UnitsOfServicePeriod1, 1, 21, 1, 1))</f>
        <v>0</v>
      </c>
      <c r="Y501" s="137">
        <f ca="1">OFFSET('IWP28'!UnitsOfServicePeriod1, 1, 22, 1, 1)</f>
        <v>0</v>
      </c>
    </row>
    <row r="502" spans="1:25">
      <c r="A502" s="125" t="s">
        <v>501</v>
      </c>
      <c r="B502" s="128">
        <v>1</v>
      </c>
      <c r="C502" s="128">
        <v>3</v>
      </c>
      <c r="D502" s="107">
        <f ca="1">IF(OFFSET('IWP28'!UnitsOfServicePeriod1, 2, 0, 1, 1)=DATE(1900,1,0), DATE(1900,1,1),OFFSET('IWP28'!UnitsOfServicePeriod1, 2, 0, 1, 1))</f>
        <v>1</v>
      </c>
      <c r="E502" s="107">
        <f ca="1">IF(OFFSET('IWP28'!UnitsOfServicePeriod1, 2, 1, 1, 1)=DATE(1900,1,0), DATE(1900,1,1),OFFSET('IWP28'!UnitsOfServicePeriod1, 2, 1, 1, 1))</f>
        <v>1</v>
      </c>
      <c r="F502" s="128">
        <f ca="1">OFFSET('IWP28'!UnitsOfServicePeriod1, 2, 2, 1, 1)</f>
        <v>0</v>
      </c>
      <c r="G502" s="128">
        <f ca="1">IF(OFFSET('IWP28'!UnitsOfServicePeriod1, 2, 3, 1, 1) = "", 0, OFFSET('IWP28'!UnitsOfServicePeriod1, 2, 3, 1, 1))</f>
        <v>0</v>
      </c>
      <c r="H502" s="128">
        <f ca="1">OFFSET('IWP28'!UnitsOfServicePeriod1, 2, 4, 1, 1)</f>
        <v>0</v>
      </c>
      <c r="I502" s="128">
        <f ca="1">IF(OFFSET('IWP28'!UnitsOfServicePeriod1, 2, 5, 1, 1) = "", 0, OFFSET('IWP28'!UnitsOfServicePeriod1, 2, 5, 1, 1))</f>
        <v>0</v>
      </c>
      <c r="J502" s="128">
        <f ca="1">OFFSET('IWP28'!UnitsOfServicePeriod1, 2, 6, 1, 1)</f>
        <v>0</v>
      </c>
      <c r="K502" s="128">
        <f ca="1">IF(OFFSET('IWP28'!UnitsOfServicePeriod1, 2, 7, 1, 1) = "", 0, OFFSET('IWP28'!UnitsOfServicePeriod1, 2, 7, 1, 1))</f>
        <v>0</v>
      </c>
      <c r="L502" s="128">
        <f ca="1">OFFSET('IWP28'!UnitsOfServicePeriod1, 2, 8, 1, 1)</f>
        <v>0</v>
      </c>
      <c r="M502" s="128">
        <f ca="1">IF(OFFSET('IWP28'!UnitsOfServicePeriod1, 2, 9, 1, 1) = "", 0, OFFSET('IWP28'!UnitsOfServicePeriod1, 2, 9, 1, 1))</f>
        <v>0</v>
      </c>
      <c r="N502" s="128">
        <f ca="1">OFFSET('IWP28'!UnitsOfServicePeriod1, 2, 10, 1, 1)</f>
        <v>0</v>
      </c>
      <c r="O502" s="128">
        <f ca="1">IF(OFFSET('IWP28'!UnitsOfServicePeriod1, 2, 11, 1, 1) = "", 0, OFFSET('IWP28'!UnitsOfServicePeriod1, 2, 11, 1, 1))</f>
        <v>0</v>
      </c>
      <c r="P502" s="128">
        <f ca="1">OFFSET('IWP28'!UnitsOfServicePeriod1, 2, 12, 1, 1)</f>
        <v>0</v>
      </c>
      <c r="Q502" s="128">
        <f ca="1">IF(OFFSET('IWP28'!UnitsOfServicePeriod1, 2, 13, 1, 1) = "", 0, OFFSET('IWP28'!UnitsOfServicePeriod1, 2, 13, 1, 1))</f>
        <v>0</v>
      </c>
      <c r="R502" s="128">
        <f ca="1">OFFSET('IWP28'!UnitsOfServicePeriod1, 2, 14, 1, 1)</f>
        <v>0</v>
      </c>
      <c r="S502" s="128">
        <f ca="1">IF(OFFSET('IWP28'!UnitsOfServicePeriod1, 2, 15, 1, 1) = "", 0, OFFSET('IWP28'!UnitsOfServicePeriod1, 2, 15, 1, 1))</f>
        <v>0</v>
      </c>
      <c r="T502" s="128">
        <f ca="1">IF(OFFSET('IWP28'!UnitsOfServicePeriod1, 2, 16, 1, 1) = "", 0, OFFSET('IWP28'!UnitsOfServicePeriod1, 2, 16, 1, 1))</f>
        <v>0</v>
      </c>
      <c r="U502" s="128">
        <f ca="1">OFFSET('IWP28'!UnitsOfServicePeriod1, 2, 17, 1, 1)</f>
        <v>0</v>
      </c>
      <c r="V502" s="128">
        <f ca="1">IF(OFFSET('IWP28'!UnitsOfServicePeriod1, 2, 19, 1, 1) = "", 0, OFFSET('IWP28'!UnitsOfServicePeriod1, 2, 19, 1, 1))</f>
        <v>0</v>
      </c>
      <c r="W502" s="128">
        <f ca="1">OFFSET('IWP28'!UnitsOfServicePeriod1, 2, 20, 1, 1)</f>
        <v>0</v>
      </c>
      <c r="X502" s="128">
        <f ca="1">IF(OFFSET('IWP28'!UnitsOfServicePeriod1, 2, 21, 1, 1) = "", 0, OFFSET('IWP28'!UnitsOfServicePeriod1, 2, 21, 1, 1))</f>
        <v>0</v>
      </c>
      <c r="Y502" s="137">
        <f ca="1">OFFSET('IWP28'!UnitsOfServicePeriod1, 2, 22, 1, 1)</f>
        <v>0</v>
      </c>
    </row>
    <row r="503" spans="1:25">
      <c r="A503" s="125" t="s">
        <v>501</v>
      </c>
      <c r="B503" s="128">
        <v>1</v>
      </c>
      <c r="C503" s="128">
        <v>4</v>
      </c>
      <c r="D503" s="107">
        <f ca="1">IF(OFFSET('IWP28'!UnitsOfServicePeriod1, 3, 0, 1, 1)=DATE(1900,1,0), DATE(1900,1,1),OFFSET('IWP28'!UnitsOfServicePeriod1, 3, 0, 1, 1))</f>
        <v>1</v>
      </c>
      <c r="E503" s="107">
        <f ca="1">IF(OFFSET('IWP28'!UnitsOfServicePeriod1, 3, 1, 1, 1)=DATE(1900,1,0), DATE(1900,1,1),OFFSET('IWP28'!UnitsOfServicePeriod1, 3, 1, 1, 1))</f>
        <v>1</v>
      </c>
      <c r="F503" s="128">
        <f ca="1">OFFSET('IWP28'!UnitsOfServicePeriod1, 3, 2, 1, 1)</f>
        <v>0</v>
      </c>
      <c r="G503" s="128">
        <f ca="1">IF(OFFSET('IWP28'!UnitsOfServicePeriod1, 3, 3, 1, 1) = "", 0, OFFSET('IWP28'!UnitsOfServicePeriod1, 3, 3, 1, 1))</f>
        <v>0</v>
      </c>
      <c r="H503" s="128">
        <f ca="1">OFFSET('IWP28'!UnitsOfServicePeriod1, 3, 4, 1, 1)</f>
        <v>0</v>
      </c>
      <c r="I503" s="128">
        <f ca="1">IF(OFFSET('IWP28'!UnitsOfServicePeriod1, 3, 5, 1, 1) = "", 0, OFFSET('IWP28'!UnitsOfServicePeriod1, 3, 5, 1, 1))</f>
        <v>0</v>
      </c>
      <c r="J503" s="128">
        <f ca="1">OFFSET('IWP28'!UnitsOfServicePeriod1, 3, 6, 1, 1)</f>
        <v>0</v>
      </c>
      <c r="K503" s="128">
        <f ca="1">IF(OFFSET('IWP28'!UnitsOfServicePeriod1, 3, 7, 1, 1) = "", 0, OFFSET('IWP28'!UnitsOfServicePeriod1, 3, 7, 1, 1))</f>
        <v>0</v>
      </c>
      <c r="L503" s="128">
        <f ca="1">OFFSET('IWP28'!UnitsOfServicePeriod1, 3, 8, 1, 1)</f>
        <v>0</v>
      </c>
      <c r="M503" s="128">
        <f ca="1">IF(OFFSET('IWP28'!UnitsOfServicePeriod1, 3, 9, 1, 1) = "", 0, OFFSET('IWP28'!UnitsOfServicePeriod1, 3, 9, 1, 1))</f>
        <v>0</v>
      </c>
      <c r="N503" s="128">
        <f ca="1">OFFSET('IWP28'!UnitsOfServicePeriod1, 3, 10, 1, 1)</f>
        <v>0</v>
      </c>
      <c r="O503" s="128">
        <f ca="1">IF(OFFSET('IWP28'!UnitsOfServicePeriod1, 3, 11, 1, 1) = "", 0, OFFSET('IWP28'!UnitsOfServicePeriod1, 3, 11, 1, 1))</f>
        <v>0</v>
      </c>
      <c r="P503" s="128">
        <f ca="1">OFFSET('IWP28'!UnitsOfServicePeriod1, 3, 12, 1, 1)</f>
        <v>0</v>
      </c>
      <c r="Q503" s="128">
        <f ca="1">IF(OFFSET('IWP28'!UnitsOfServicePeriod1, 3, 13, 1, 1) = "", 0, OFFSET('IWP28'!UnitsOfServicePeriod1, 3, 13, 1, 1))</f>
        <v>0</v>
      </c>
      <c r="R503" s="128">
        <f ca="1">OFFSET('IWP28'!UnitsOfServicePeriod1, 3, 14, 1, 1)</f>
        <v>0</v>
      </c>
      <c r="S503" s="128">
        <f ca="1">IF(OFFSET('IWP28'!UnitsOfServicePeriod1, 3, 15, 1, 1) = "", 0, OFFSET('IWP28'!UnitsOfServicePeriod1, 3, 15, 1, 1))</f>
        <v>0</v>
      </c>
      <c r="T503" s="128">
        <f ca="1">IF(OFFSET('IWP28'!UnitsOfServicePeriod1, 3, 16, 1, 1) = "", 0, OFFSET('IWP28'!UnitsOfServicePeriod1, 3, 16, 1, 1))</f>
        <v>0</v>
      </c>
      <c r="U503" s="128">
        <f ca="1">OFFSET('IWP28'!UnitsOfServicePeriod1, 3, 17, 1, 1)</f>
        <v>0</v>
      </c>
      <c r="V503" s="128">
        <f ca="1">IF(OFFSET('IWP28'!UnitsOfServicePeriod1, 3, 19, 1, 1) = "", 0, OFFSET('IWP28'!UnitsOfServicePeriod1, 3, 19, 1, 1))</f>
        <v>0</v>
      </c>
      <c r="W503" s="128">
        <f ca="1">OFFSET('IWP28'!UnitsOfServicePeriod1, 3, 20, 1, 1)</f>
        <v>0</v>
      </c>
      <c r="X503" s="128">
        <f ca="1">IF(OFFSET('IWP28'!UnitsOfServicePeriod1, 3, 21, 1, 1) = "", 0, OFFSET('IWP28'!UnitsOfServicePeriod1, 3, 21, 1, 1))</f>
        <v>0</v>
      </c>
      <c r="Y503" s="137">
        <f ca="1">OFFSET('IWP28'!UnitsOfServicePeriod1, 3, 22, 1, 1)</f>
        <v>0</v>
      </c>
    </row>
    <row r="504" spans="1:25">
      <c r="A504" s="125" t="s">
        <v>501</v>
      </c>
      <c r="B504" s="128">
        <v>1</v>
      </c>
      <c r="C504" s="128">
        <v>5</v>
      </c>
      <c r="D504" s="107">
        <f ca="1">IF(OFFSET('IWP28'!UnitsOfServicePeriod1, 4, 0, 1, 1)=DATE(1900,1,0), DATE(1900,1,1),OFFSET('IWP28'!UnitsOfServicePeriod1, 4, 0, 1, 1))</f>
        <v>1</v>
      </c>
      <c r="E504" s="107">
        <f ca="1">IF(OFFSET('IWP28'!UnitsOfServicePeriod1, 4, 1, 1, 1)=DATE(1900,1,0), DATE(1900,1,1),OFFSET('IWP28'!UnitsOfServicePeriod1, 4, 1, 1, 1))</f>
        <v>1</v>
      </c>
      <c r="F504" s="128">
        <f ca="1">OFFSET('IWP28'!UnitsOfServicePeriod1, 4, 2, 1, 1)</f>
        <v>0</v>
      </c>
      <c r="G504" s="128">
        <f ca="1">IF(OFFSET('IWP28'!UnitsOfServicePeriod1, 4, 3, 1, 1) = "", 0, OFFSET('IWP28'!UnitsOfServicePeriod1, 4, 3, 1, 1))</f>
        <v>0</v>
      </c>
      <c r="H504" s="128">
        <f ca="1">OFFSET('IWP28'!UnitsOfServicePeriod1, 4, 4, 1, 1)</f>
        <v>0</v>
      </c>
      <c r="I504" s="128">
        <f ca="1">IF(OFFSET('IWP28'!UnitsOfServicePeriod1, 4, 5, 1, 1) = "", 0, OFFSET('IWP28'!UnitsOfServicePeriod1, 4, 5, 1, 1))</f>
        <v>0</v>
      </c>
      <c r="J504" s="128">
        <f ca="1">OFFSET('IWP28'!UnitsOfServicePeriod1, 4, 6, 1, 1)</f>
        <v>0</v>
      </c>
      <c r="K504" s="128">
        <f ca="1">IF(OFFSET('IWP28'!UnitsOfServicePeriod1, 4, 7, 1, 1) = "", 0, OFFSET('IWP28'!UnitsOfServicePeriod1, 4, 7, 1, 1))</f>
        <v>0</v>
      </c>
      <c r="L504" s="128">
        <f ca="1">OFFSET('IWP28'!UnitsOfServicePeriod1, 4, 8, 1, 1)</f>
        <v>0</v>
      </c>
      <c r="M504" s="128">
        <f ca="1">IF(OFFSET('IWP28'!UnitsOfServicePeriod1, 4, 9, 1, 1) = "", 0, OFFSET('IWP28'!UnitsOfServicePeriod1, 4, 9, 1, 1))</f>
        <v>0</v>
      </c>
      <c r="N504" s="128">
        <f ca="1">OFFSET('IWP28'!UnitsOfServicePeriod1, 4, 10, 1, 1)</f>
        <v>0</v>
      </c>
      <c r="O504" s="128">
        <f ca="1">IF(OFFSET('IWP28'!UnitsOfServicePeriod1, 4, 11, 1, 1) = "", 0, OFFSET('IWP28'!UnitsOfServicePeriod1, 4, 11, 1, 1))</f>
        <v>0</v>
      </c>
      <c r="P504" s="128">
        <f ca="1">OFFSET('IWP28'!UnitsOfServicePeriod1, 4, 12, 1, 1)</f>
        <v>0</v>
      </c>
      <c r="Q504" s="128">
        <f ca="1">IF(OFFSET('IWP28'!UnitsOfServicePeriod1, 4, 13, 1, 1) = "", 0, OFFSET('IWP28'!UnitsOfServicePeriod1, 4, 13, 1, 1))</f>
        <v>0</v>
      </c>
      <c r="R504" s="128">
        <f ca="1">OFFSET('IWP28'!UnitsOfServicePeriod1, 4, 14, 1, 1)</f>
        <v>0</v>
      </c>
      <c r="S504" s="128">
        <f ca="1">IF(OFFSET('IWP28'!UnitsOfServicePeriod1, 4, 15, 1, 1) = "", 0, OFFSET('IWP28'!UnitsOfServicePeriod1, 4, 15, 1, 1))</f>
        <v>0</v>
      </c>
      <c r="T504" s="128">
        <f ca="1">IF(OFFSET('IWP28'!UnitsOfServicePeriod1, 4, 16, 1, 1) = "", 0, OFFSET('IWP28'!UnitsOfServicePeriod1, 4, 16, 1, 1))</f>
        <v>0</v>
      </c>
      <c r="U504" s="128">
        <f ca="1">OFFSET('IWP28'!UnitsOfServicePeriod1, 4, 17, 1, 1)</f>
        <v>0</v>
      </c>
      <c r="V504" s="128">
        <f ca="1">IF(OFFSET('IWP28'!UnitsOfServicePeriod1, 4, 19, 1, 1) = "", 0, OFFSET('IWP28'!UnitsOfServicePeriod1, 4, 19, 1, 1))</f>
        <v>0</v>
      </c>
      <c r="W504" s="128">
        <f ca="1">OFFSET('IWP28'!UnitsOfServicePeriod1, 4, 20, 1, 1)</f>
        <v>0</v>
      </c>
      <c r="X504" s="128">
        <f ca="1">IF(OFFSET('IWP28'!UnitsOfServicePeriod1, 4, 21, 1, 1) = "", 0, OFFSET('IWP28'!UnitsOfServicePeriod1, 4, 21, 1, 1))</f>
        <v>0</v>
      </c>
      <c r="Y504" s="137">
        <f ca="1">OFFSET('IWP28'!UnitsOfServicePeriod1, 4, 22, 1, 1)</f>
        <v>0</v>
      </c>
    </row>
    <row r="505" spans="1:25">
      <c r="A505" s="125" t="s">
        <v>501</v>
      </c>
      <c r="B505" s="128">
        <v>1</v>
      </c>
      <c r="C505" s="128">
        <v>6</v>
      </c>
      <c r="D505" s="107">
        <f ca="1">IF(OFFSET('IWP28'!UnitsOfServicePeriod1, 5, 0, 1, 1)=DATE(1900,1,0), DATE(1900,1,1),OFFSET('IWP28'!UnitsOfServicePeriod1, 5, 0, 1, 1))</f>
        <v>1</v>
      </c>
      <c r="E505" s="107">
        <f ca="1">IF(OFFSET('IWP28'!UnitsOfServicePeriod1, 5, 1, 1, 1)=DATE(1900,1,0), DATE(1900,1,1),OFFSET('IWP28'!UnitsOfServicePeriod1, 5, 1, 1, 1))</f>
        <v>1</v>
      </c>
      <c r="F505" s="128">
        <f ca="1">OFFSET('IWP28'!UnitsOfServicePeriod1, 5, 2, 1, 1)</f>
        <v>0</v>
      </c>
      <c r="G505" s="128">
        <f ca="1">IF(OFFSET('IWP28'!UnitsOfServicePeriod1, 5, 3, 1, 1) = "", 0, OFFSET('IWP28'!UnitsOfServicePeriod1, 5, 3, 1, 1))</f>
        <v>0</v>
      </c>
      <c r="H505" s="128">
        <f ca="1">OFFSET('IWP28'!UnitsOfServicePeriod1, 5, 4, 1, 1)</f>
        <v>0</v>
      </c>
      <c r="I505" s="128">
        <f ca="1">IF(OFFSET('IWP28'!UnitsOfServicePeriod1, 5, 5, 1, 1) = "", 0, OFFSET('IWP28'!UnitsOfServicePeriod1, 5, 5, 1, 1))</f>
        <v>0</v>
      </c>
      <c r="J505" s="128">
        <f ca="1">OFFSET('IWP28'!UnitsOfServicePeriod1, 5, 6, 1, 1)</f>
        <v>0</v>
      </c>
      <c r="K505" s="128">
        <f ca="1">IF(OFFSET('IWP28'!UnitsOfServicePeriod1, 5, 7, 1, 1) = "", 0, OFFSET('IWP28'!UnitsOfServicePeriod1, 5, 7, 1, 1))</f>
        <v>0</v>
      </c>
      <c r="L505" s="128">
        <f ca="1">OFFSET('IWP28'!UnitsOfServicePeriod1, 5, 8, 1, 1)</f>
        <v>0</v>
      </c>
      <c r="M505" s="128">
        <f ca="1">IF(OFFSET('IWP28'!UnitsOfServicePeriod1, 5, 9, 1, 1) = "", 0, OFFSET('IWP28'!UnitsOfServicePeriod1, 5, 9, 1, 1))</f>
        <v>0</v>
      </c>
      <c r="N505" s="128">
        <f ca="1">OFFSET('IWP28'!UnitsOfServicePeriod1, 5, 10, 1, 1)</f>
        <v>0</v>
      </c>
      <c r="O505" s="128">
        <f ca="1">IF(OFFSET('IWP28'!UnitsOfServicePeriod1, 5, 11, 1, 1) = "", 0, OFFSET('IWP28'!UnitsOfServicePeriod1, 5, 11, 1, 1))</f>
        <v>0</v>
      </c>
      <c r="P505" s="128">
        <f ca="1">OFFSET('IWP28'!UnitsOfServicePeriod1, 5, 12, 1, 1)</f>
        <v>0</v>
      </c>
      <c r="Q505" s="128">
        <f ca="1">IF(OFFSET('IWP28'!UnitsOfServicePeriod1, 5, 13, 1, 1) = "", 0, OFFSET('IWP28'!UnitsOfServicePeriod1, 5, 13, 1, 1))</f>
        <v>0</v>
      </c>
      <c r="R505" s="128">
        <f ca="1">OFFSET('IWP28'!UnitsOfServicePeriod1, 5, 14, 1, 1)</f>
        <v>0</v>
      </c>
      <c r="S505" s="128">
        <f ca="1">IF(OFFSET('IWP28'!UnitsOfServicePeriod1, 5, 15, 1, 1) = "", 0, OFFSET('IWP28'!UnitsOfServicePeriod1, 5, 15, 1, 1))</f>
        <v>0</v>
      </c>
      <c r="T505" s="128">
        <f ca="1">IF(OFFSET('IWP28'!UnitsOfServicePeriod1, 5, 16, 1, 1) = "", 0, OFFSET('IWP28'!UnitsOfServicePeriod1, 5, 16, 1, 1))</f>
        <v>0</v>
      </c>
      <c r="U505" s="128">
        <f ca="1">OFFSET('IWP28'!UnitsOfServicePeriod1, 5, 17, 1, 1)</f>
        <v>0</v>
      </c>
      <c r="V505" s="128">
        <f ca="1">IF(OFFSET('IWP28'!UnitsOfServicePeriod1, 5, 19, 1, 1) = "", 0, OFFSET('IWP28'!UnitsOfServicePeriod1, 5, 19, 1, 1))</f>
        <v>0</v>
      </c>
      <c r="W505" s="128">
        <f ca="1">OFFSET('IWP28'!UnitsOfServicePeriod1, 5, 20, 1, 1)</f>
        <v>0</v>
      </c>
      <c r="X505" s="128">
        <f ca="1">IF(OFFSET('IWP28'!UnitsOfServicePeriod1, 5, 21, 1, 1) = "", 0, OFFSET('IWP28'!UnitsOfServicePeriod1, 5, 21, 1, 1))</f>
        <v>0</v>
      </c>
      <c r="Y505" s="137">
        <f ca="1">OFFSET('IWP28'!UnitsOfServicePeriod1, 5, 22, 1, 1)</f>
        <v>0</v>
      </c>
    </row>
    <row r="506" spans="1:25">
      <c r="A506" s="125" t="s">
        <v>501</v>
      </c>
      <c r="B506" s="128">
        <v>2</v>
      </c>
      <c r="C506" s="128">
        <v>1</v>
      </c>
      <c r="D506" s="107">
        <f ca="1">IF(OFFSET('IWP28'!UnitsOfServicePeriod2, 0, 0, 1, 1)=DATE(1900,1,0), DATE(1900,1,1),OFFSET('IWP28'!UnitsOfServicePeriod2, 0, 0, 1, 1))</f>
        <v>1</v>
      </c>
      <c r="E506" s="107">
        <f ca="1">IF(OFFSET('IWP28'!UnitsOfServicePeriod2, 0, 1, 1, 1)=DATE(1900,1,0), DATE(1900,1,1),OFFSET('IWP28'!UnitsOfServicePeriod2, 0, 1, 1, 1))</f>
        <v>1</v>
      </c>
      <c r="F506" s="128">
        <f ca="1">OFFSET('IWP28'!UnitsOfServicePeriod2, 0, 2, 1, 1)</f>
        <v>0</v>
      </c>
      <c r="G506" s="128">
        <f ca="1">IF(OFFSET('IWP28'!UnitsOfServicePeriod2, 0, 3, 1, 1) = "", 0, OFFSET('IWP28'!UnitsOfServicePeriod2, 0, 3, 1, 1))</f>
        <v>0</v>
      </c>
      <c r="H506" s="128">
        <f ca="1">OFFSET('IWP28'!UnitsOfServicePeriod2, 0, 4, 1, 1)</f>
        <v>0</v>
      </c>
      <c r="I506" s="128">
        <f ca="1">IF(OFFSET('IWP28'!UnitsOfServicePeriod2, 0, 5, 1, 1) = "", 0, OFFSET('IWP28'!UnitsOfServicePeriod2, 0, 5, 1, 1))</f>
        <v>0</v>
      </c>
      <c r="J506" s="128">
        <f ca="1">OFFSET('IWP28'!UnitsOfServicePeriod2, 0, 6, 1, 1)</f>
        <v>0</v>
      </c>
      <c r="K506" s="128">
        <f ca="1">IF(OFFSET('IWP28'!UnitsOfServicePeriod2, 0, 7, 1, 1) = "", 0, OFFSET('IWP28'!UnitsOfServicePeriod2, 0, 7, 1, 1))</f>
        <v>0</v>
      </c>
      <c r="L506" s="128">
        <f ca="1">OFFSET('IWP28'!UnitsOfServicePeriod2, 0, 8, 1, 1)</f>
        <v>0</v>
      </c>
      <c r="M506" s="128">
        <f ca="1">IF(OFFSET('IWP28'!UnitsOfServicePeriod2, 0, 9, 1, 1) = "", 0, OFFSET('IWP28'!UnitsOfServicePeriod2, 0, 9, 1, 1))</f>
        <v>0</v>
      </c>
      <c r="N506" s="128">
        <f ca="1">OFFSET('IWP28'!UnitsOfServicePeriod2, 0, 10, 1, 1)</f>
        <v>0</v>
      </c>
      <c r="O506" s="128">
        <f ca="1">IF(OFFSET('IWP28'!UnitsOfServicePeriod2, 0, 11, 1, 1) = "", 0, OFFSET('IWP28'!UnitsOfServicePeriod2, 0, 11, 1, 1))</f>
        <v>0</v>
      </c>
      <c r="P506" s="128">
        <f ca="1">OFFSET('IWP28'!UnitsOfServicePeriod2, 0, 12, 1, 1)</f>
        <v>0</v>
      </c>
      <c r="Q506" s="128">
        <f ca="1">IF(OFFSET('IWP28'!UnitsOfServicePeriod2, 0, 13, 1, 1) = "", 0, OFFSET('IWP28'!UnitsOfServicePeriod2, 0, 13, 1, 1))</f>
        <v>0</v>
      </c>
      <c r="R506" s="128">
        <f ca="1">OFFSET('IWP28'!UnitsOfServicePeriod2, 0, 14, 1, 1)</f>
        <v>0</v>
      </c>
      <c r="S506" s="128">
        <f ca="1">IF(OFFSET('IWP28'!UnitsOfServicePeriod2, 0, 15, 1, 1) = "", 0, OFFSET('IWP28'!UnitsOfServicePeriod2, 0, 15, 1, 1))</f>
        <v>0</v>
      </c>
      <c r="T506" s="128">
        <f ca="1">IF(OFFSET('IWP28'!UnitsOfServicePeriod2, 0, 16, 1, 1) = "", 0, OFFSET('IWP28'!UnitsOfServicePeriod2, 0, 16, 1, 1))</f>
        <v>0</v>
      </c>
      <c r="U506" s="128">
        <f ca="1">OFFSET('IWP28'!UnitsOfServicePeriod2, 0, 17, 1, 1)</f>
        <v>0</v>
      </c>
      <c r="V506" s="128">
        <f ca="1">IF(OFFSET('IWP28'!UnitsOfServicePeriod2, 0, 19, 1, 1) = "", 0, OFFSET('IWP28'!UnitsOfServicePeriod2, 0, 19, 1, 1))</f>
        <v>0</v>
      </c>
      <c r="W506" s="128">
        <f ca="1">OFFSET('IWP28'!UnitsOfServicePeriod2, 0, 20, 1, 1)</f>
        <v>0</v>
      </c>
      <c r="X506" s="128">
        <f ca="1">IF(OFFSET('IWP28'!UnitsOfServicePeriod2, 0, 21, 1, 1) = "", 0, OFFSET('IWP28'!UnitsOfServicePeriod2, 0, 21, 1, 1))</f>
        <v>0</v>
      </c>
      <c r="Y506" s="137">
        <f ca="1">OFFSET('IWP28'!UnitsOfServicePeriod2, 0, 22, 1, 1)</f>
        <v>0</v>
      </c>
    </row>
    <row r="507" spans="1:25">
      <c r="A507" s="125" t="s">
        <v>501</v>
      </c>
      <c r="B507" s="128">
        <v>2</v>
      </c>
      <c r="C507" s="128">
        <v>2</v>
      </c>
      <c r="D507" s="107">
        <f ca="1">IF(OFFSET('IWP28'!UnitsOfServicePeriod2, 1, 0, 1, 1)=DATE(1900,1,0), DATE(1900,1,1),OFFSET('IWP28'!UnitsOfServicePeriod2, 1, 0, 1, 1))</f>
        <v>1</v>
      </c>
      <c r="E507" s="107">
        <f ca="1">IF(OFFSET('IWP28'!UnitsOfServicePeriod2, 1, 1, 1, 1)=DATE(1900,1,0), DATE(1900,1,1),OFFSET('IWP28'!UnitsOfServicePeriod2, 1, 1, 1, 1))</f>
        <v>1</v>
      </c>
      <c r="F507" s="128">
        <f ca="1">OFFSET('IWP28'!UnitsOfServicePeriod2, 1, 2, 1, 1)</f>
        <v>0</v>
      </c>
      <c r="G507" s="128">
        <f ca="1">IF(OFFSET('IWP28'!UnitsOfServicePeriod2, 1, 3, 1, 1) = "", 0, OFFSET('IWP28'!UnitsOfServicePeriod2, 1, 3, 1, 1))</f>
        <v>0</v>
      </c>
      <c r="H507" s="128">
        <f ca="1">OFFSET('IWP28'!UnitsOfServicePeriod2, 1, 4, 1, 1)</f>
        <v>0</v>
      </c>
      <c r="I507" s="128">
        <f ca="1">IF(OFFSET('IWP28'!UnitsOfServicePeriod2, 1, 5, 1, 1) = "", 0, OFFSET('IWP28'!UnitsOfServicePeriod2, 1, 5, 1, 1))</f>
        <v>0</v>
      </c>
      <c r="J507" s="128">
        <f ca="1">OFFSET('IWP28'!UnitsOfServicePeriod2, 1, 6, 1, 1)</f>
        <v>0</v>
      </c>
      <c r="K507" s="128">
        <f ca="1">IF(OFFSET('IWP28'!UnitsOfServicePeriod2, 1, 7, 1, 1) = "", 0, OFFSET('IWP28'!UnitsOfServicePeriod2, 1, 7, 1, 1))</f>
        <v>0</v>
      </c>
      <c r="L507" s="128">
        <f ca="1">OFFSET('IWP28'!UnitsOfServicePeriod2, 1, 8, 1, 1)</f>
        <v>0</v>
      </c>
      <c r="M507" s="128">
        <f ca="1">IF(OFFSET('IWP28'!UnitsOfServicePeriod2, 1, 9, 1, 1) = "", 0, OFFSET('IWP28'!UnitsOfServicePeriod2, 1, 9, 1, 1))</f>
        <v>0</v>
      </c>
      <c r="N507" s="128">
        <f ca="1">OFFSET('IWP28'!UnitsOfServicePeriod2, 1, 10, 1, 1)</f>
        <v>0</v>
      </c>
      <c r="O507" s="128">
        <f ca="1">IF(OFFSET('IWP28'!UnitsOfServicePeriod2, 1, 11, 1, 1) = "", 0, OFFSET('IWP28'!UnitsOfServicePeriod2, 1, 11, 1, 1))</f>
        <v>0</v>
      </c>
      <c r="P507" s="128">
        <f ca="1">OFFSET('IWP28'!UnitsOfServicePeriod2, 1, 12, 1, 1)</f>
        <v>0</v>
      </c>
      <c r="Q507" s="128">
        <f ca="1">IF(OFFSET('IWP28'!UnitsOfServicePeriod2, 1, 13, 1, 1) = "", 0, OFFSET('IWP28'!UnitsOfServicePeriod2, 1, 13, 1, 1))</f>
        <v>0</v>
      </c>
      <c r="R507" s="128">
        <f ca="1">OFFSET('IWP28'!UnitsOfServicePeriod2, 1, 14, 1, 1)</f>
        <v>0</v>
      </c>
      <c r="S507" s="128">
        <f ca="1">IF(OFFSET('IWP28'!UnitsOfServicePeriod2, 1, 15, 1, 1) = "", 0, OFFSET('IWP28'!UnitsOfServicePeriod2, 1, 15, 1, 1))</f>
        <v>0</v>
      </c>
      <c r="T507" s="128">
        <f ca="1">IF(OFFSET('IWP28'!UnitsOfServicePeriod2, 1, 16, 1, 1) = "", 0, OFFSET('IWP28'!UnitsOfServicePeriod2, 1, 16, 1, 1))</f>
        <v>0</v>
      </c>
      <c r="U507" s="128">
        <f ca="1">OFFSET('IWP28'!UnitsOfServicePeriod2, 1, 17, 1, 1)</f>
        <v>0</v>
      </c>
      <c r="V507" s="128">
        <f ca="1">IF(OFFSET('IWP28'!UnitsOfServicePeriod2, 1, 19, 1, 1) = "", 0, OFFSET('IWP28'!UnitsOfServicePeriod2, 1, 19, 1, 1))</f>
        <v>0</v>
      </c>
      <c r="W507" s="128">
        <f ca="1">OFFSET('IWP28'!UnitsOfServicePeriod2, 1, 20, 1, 1)</f>
        <v>0</v>
      </c>
      <c r="X507" s="128">
        <f ca="1">IF(OFFSET('IWP28'!UnitsOfServicePeriod2, 1, 21, 1, 1) = "", 0, OFFSET('IWP28'!UnitsOfServicePeriod2, 1, 21, 1, 1))</f>
        <v>0</v>
      </c>
      <c r="Y507" s="137">
        <f ca="1">OFFSET('IWP28'!UnitsOfServicePeriod2, 1, 22, 1, 1)</f>
        <v>0</v>
      </c>
    </row>
    <row r="508" spans="1:25">
      <c r="A508" s="125" t="s">
        <v>501</v>
      </c>
      <c r="B508" s="128">
        <v>2</v>
      </c>
      <c r="C508" s="128">
        <v>3</v>
      </c>
      <c r="D508" s="107">
        <f ca="1">IF(OFFSET('IWP28'!UnitsOfServicePeriod2, 2, 0, 1, 1)=DATE(1900,1,0), DATE(1900,1,1),OFFSET('IWP28'!UnitsOfServicePeriod2, 2, 0, 1, 1))</f>
        <v>1</v>
      </c>
      <c r="E508" s="107">
        <f ca="1">IF(OFFSET('IWP28'!UnitsOfServicePeriod2, 2, 1, 1, 1)=DATE(1900,1,0), DATE(1900,1,1),OFFSET('IWP28'!UnitsOfServicePeriod2, 2, 1, 1, 1))</f>
        <v>1</v>
      </c>
      <c r="F508" s="128">
        <f ca="1">OFFSET('IWP28'!UnitsOfServicePeriod2, 2, 2, 1, 1)</f>
        <v>0</v>
      </c>
      <c r="G508" s="128">
        <f ca="1">IF(OFFSET('IWP28'!UnitsOfServicePeriod2, 2, 3, 1, 1) = "", 0, OFFSET('IWP28'!UnitsOfServicePeriod2, 2, 3, 1, 1))</f>
        <v>0</v>
      </c>
      <c r="H508" s="128">
        <f ca="1">OFFSET('IWP28'!UnitsOfServicePeriod2, 2, 4, 1, 1)</f>
        <v>0</v>
      </c>
      <c r="I508" s="128">
        <f ca="1">IF(OFFSET('IWP28'!UnitsOfServicePeriod2, 2, 5, 1, 1) = "", 0, OFFSET('IWP28'!UnitsOfServicePeriod2, 2, 5, 1, 1))</f>
        <v>0</v>
      </c>
      <c r="J508" s="128">
        <f ca="1">OFFSET('IWP28'!UnitsOfServicePeriod2, 2, 6, 1, 1)</f>
        <v>0</v>
      </c>
      <c r="K508" s="128">
        <f ca="1">IF(OFFSET('IWP28'!UnitsOfServicePeriod2, 2, 7, 1, 1) = "", 0, OFFSET('IWP28'!UnitsOfServicePeriod2, 2, 7, 1, 1))</f>
        <v>0</v>
      </c>
      <c r="L508" s="128">
        <f ca="1">OFFSET('IWP28'!UnitsOfServicePeriod2, 2, 8, 1, 1)</f>
        <v>0</v>
      </c>
      <c r="M508" s="128">
        <f ca="1">IF(OFFSET('IWP28'!UnitsOfServicePeriod2, 2, 9, 1, 1) = "", 0, OFFSET('IWP28'!UnitsOfServicePeriod2, 2, 9, 1, 1))</f>
        <v>0</v>
      </c>
      <c r="N508" s="128">
        <f ca="1">OFFSET('IWP28'!UnitsOfServicePeriod2, 2, 10, 1, 1)</f>
        <v>0</v>
      </c>
      <c r="O508" s="128">
        <f ca="1">IF(OFFSET('IWP28'!UnitsOfServicePeriod2, 2, 11, 1, 1) = "", 0, OFFSET('IWP28'!UnitsOfServicePeriod2, 2, 11, 1, 1))</f>
        <v>0</v>
      </c>
      <c r="P508" s="128">
        <f ca="1">OFFSET('IWP28'!UnitsOfServicePeriod2, 2, 12, 1, 1)</f>
        <v>0</v>
      </c>
      <c r="Q508" s="128">
        <f ca="1">IF(OFFSET('IWP28'!UnitsOfServicePeriod2, 2, 13, 1, 1) = "", 0, OFFSET('IWP28'!UnitsOfServicePeriod2, 2, 13, 1, 1))</f>
        <v>0</v>
      </c>
      <c r="R508" s="128">
        <f ca="1">OFFSET('IWP28'!UnitsOfServicePeriod2, 2, 14, 1, 1)</f>
        <v>0</v>
      </c>
      <c r="S508" s="128">
        <f ca="1">IF(OFFSET('IWP28'!UnitsOfServicePeriod2, 2, 15, 1, 1) = "", 0, OFFSET('IWP28'!UnitsOfServicePeriod2, 2, 15, 1, 1))</f>
        <v>0</v>
      </c>
      <c r="T508" s="128">
        <f ca="1">IF(OFFSET('IWP28'!UnitsOfServicePeriod2, 2, 16, 1, 1) = "", 0, OFFSET('IWP28'!UnitsOfServicePeriod2, 2, 16, 1, 1))</f>
        <v>0</v>
      </c>
      <c r="U508" s="128">
        <f ca="1">OFFSET('IWP28'!UnitsOfServicePeriod2, 2, 17, 1, 1)</f>
        <v>0</v>
      </c>
      <c r="V508" s="128">
        <f ca="1">IF(OFFSET('IWP28'!UnitsOfServicePeriod2, 2, 19, 1, 1) = "", 0, OFFSET('IWP28'!UnitsOfServicePeriod2, 2, 19, 1, 1))</f>
        <v>0</v>
      </c>
      <c r="W508" s="128">
        <f ca="1">OFFSET('IWP28'!UnitsOfServicePeriod2, 2, 20, 1, 1)</f>
        <v>0</v>
      </c>
      <c r="X508" s="128">
        <f ca="1">IF(OFFSET('IWP28'!UnitsOfServicePeriod2, 2, 21, 1, 1) = "", 0, OFFSET('IWP28'!UnitsOfServicePeriod2, 2, 21, 1, 1))</f>
        <v>0</v>
      </c>
      <c r="Y508" s="137">
        <f ca="1">OFFSET('IWP28'!UnitsOfServicePeriod2, 2, 22, 1, 1)</f>
        <v>0</v>
      </c>
    </row>
    <row r="509" spans="1:25">
      <c r="A509" s="125" t="s">
        <v>501</v>
      </c>
      <c r="B509" s="128">
        <v>2</v>
      </c>
      <c r="C509" s="128">
        <v>4</v>
      </c>
      <c r="D509" s="107">
        <f ca="1">IF(OFFSET('IWP28'!UnitsOfServicePeriod2, 3, 0, 1, 1)=DATE(1900,1,0), DATE(1900,1,1),OFFSET('IWP28'!UnitsOfServicePeriod2, 3, 0, 1, 1))</f>
        <v>1</v>
      </c>
      <c r="E509" s="107">
        <f ca="1">IF(OFFSET('IWP28'!UnitsOfServicePeriod2, 3, 1, 1, 1)=DATE(1900,1,0), DATE(1900,1,1),OFFSET('IWP28'!UnitsOfServicePeriod2, 3, 1, 1, 1))</f>
        <v>1</v>
      </c>
      <c r="F509" s="128">
        <f ca="1">OFFSET('IWP28'!UnitsOfServicePeriod2, 3, 2, 1, 1)</f>
        <v>0</v>
      </c>
      <c r="G509" s="128">
        <f ca="1">IF(OFFSET('IWP28'!UnitsOfServicePeriod2, 3, 3, 1, 1) = "", 0, OFFSET('IWP28'!UnitsOfServicePeriod2, 3, 3, 1, 1))</f>
        <v>0</v>
      </c>
      <c r="H509" s="128">
        <f ca="1">OFFSET('IWP28'!UnitsOfServicePeriod2, 3, 4, 1, 1)</f>
        <v>0</v>
      </c>
      <c r="I509" s="128">
        <f ca="1">IF(OFFSET('IWP28'!UnitsOfServicePeriod2, 3, 5, 1, 1) = "", 0, OFFSET('IWP28'!UnitsOfServicePeriod2, 3, 5, 1, 1))</f>
        <v>0</v>
      </c>
      <c r="J509" s="128">
        <f ca="1">OFFSET('IWP28'!UnitsOfServicePeriod2, 3, 6, 1, 1)</f>
        <v>0</v>
      </c>
      <c r="K509" s="128">
        <f ca="1">IF(OFFSET('IWP28'!UnitsOfServicePeriod2, 3, 7, 1, 1) = "", 0, OFFSET('IWP28'!UnitsOfServicePeriod2, 3, 7, 1, 1))</f>
        <v>0</v>
      </c>
      <c r="L509" s="128">
        <f ca="1">OFFSET('IWP28'!UnitsOfServicePeriod2, 3, 8, 1, 1)</f>
        <v>0</v>
      </c>
      <c r="M509" s="128">
        <f ca="1">IF(OFFSET('IWP28'!UnitsOfServicePeriod2, 3, 9, 1, 1) = "", 0, OFFSET('IWP28'!UnitsOfServicePeriod2, 3, 9, 1, 1))</f>
        <v>0</v>
      </c>
      <c r="N509" s="128">
        <f ca="1">OFFSET('IWP28'!UnitsOfServicePeriod2, 3, 10, 1, 1)</f>
        <v>0</v>
      </c>
      <c r="O509" s="128">
        <f ca="1">IF(OFFSET('IWP28'!UnitsOfServicePeriod2, 3, 11, 1, 1) = "", 0, OFFSET('IWP28'!UnitsOfServicePeriod2, 3, 11, 1, 1))</f>
        <v>0</v>
      </c>
      <c r="P509" s="128">
        <f ca="1">OFFSET('IWP28'!UnitsOfServicePeriod2, 3, 12, 1, 1)</f>
        <v>0</v>
      </c>
      <c r="Q509" s="128">
        <f ca="1">IF(OFFSET('IWP28'!UnitsOfServicePeriod2, 3, 13, 1, 1) = "", 0, OFFSET('IWP28'!UnitsOfServicePeriod2, 3, 13, 1, 1))</f>
        <v>0</v>
      </c>
      <c r="R509" s="128">
        <f ca="1">OFFSET('IWP28'!UnitsOfServicePeriod2, 3, 14, 1, 1)</f>
        <v>0</v>
      </c>
      <c r="S509" s="128">
        <f ca="1">IF(OFFSET('IWP28'!UnitsOfServicePeriod2, 3, 15, 1, 1) = "", 0, OFFSET('IWP28'!UnitsOfServicePeriod2, 3, 15, 1, 1))</f>
        <v>0</v>
      </c>
      <c r="T509" s="128">
        <f ca="1">IF(OFFSET('IWP28'!UnitsOfServicePeriod2, 3, 16, 1, 1) = "", 0, OFFSET('IWP28'!UnitsOfServicePeriod2, 3, 16, 1, 1))</f>
        <v>0</v>
      </c>
      <c r="U509" s="128">
        <f ca="1">OFFSET('IWP28'!UnitsOfServicePeriod2, 3, 17, 1, 1)</f>
        <v>0</v>
      </c>
      <c r="V509" s="128">
        <f ca="1">IF(OFFSET('IWP28'!UnitsOfServicePeriod2, 3, 19, 1, 1) = "", 0, OFFSET('IWP28'!UnitsOfServicePeriod2, 3, 19, 1, 1))</f>
        <v>0</v>
      </c>
      <c r="W509" s="128">
        <f ca="1">OFFSET('IWP28'!UnitsOfServicePeriod2, 3, 20, 1, 1)</f>
        <v>0</v>
      </c>
      <c r="X509" s="128">
        <f ca="1">IF(OFFSET('IWP28'!UnitsOfServicePeriod2, 3, 21, 1, 1) = "", 0, OFFSET('IWP28'!UnitsOfServicePeriod2, 3, 21, 1, 1))</f>
        <v>0</v>
      </c>
      <c r="Y509" s="137">
        <f ca="1">OFFSET('IWP28'!UnitsOfServicePeriod2, 3, 22, 1, 1)</f>
        <v>0</v>
      </c>
    </row>
    <row r="510" spans="1:25">
      <c r="A510" s="125" t="s">
        <v>501</v>
      </c>
      <c r="B510" s="128">
        <v>2</v>
      </c>
      <c r="C510" s="128">
        <v>5</v>
      </c>
      <c r="D510" s="107">
        <f ca="1">IF(OFFSET('IWP28'!UnitsOfServicePeriod2, 4, 0, 1, 1)=DATE(1900,1,0), DATE(1900,1,1),OFFSET('IWP28'!UnitsOfServicePeriod2, 4, 0, 1, 1))</f>
        <v>1</v>
      </c>
      <c r="E510" s="107">
        <f ca="1">IF(OFFSET('IWP28'!UnitsOfServicePeriod2, 4, 1, 1, 1)=DATE(1900,1,0), DATE(1900,1,1),OFFSET('IWP28'!UnitsOfServicePeriod2, 4, 1, 1, 1))</f>
        <v>1</v>
      </c>
      <c r="F510" s="128">
        <f ca="1">OFFSET('IWP28'!UnitsOfServicePeriod2, 4, 2, 1, 1)</f>
        <v>0</v>
      </c>
      <c r="G510" s="128">
        <f ca="1">IF(OFFSET('IWP28'!UnitsOfServicePeriod2, 4, 3, 1, 1) = "", 0, OFFSET('IWP28'!UnitsOfServicePeriod2, 4, 3, 1, 1))</f>
        <v>0</v>
      </c>
      <c r="H510" s="128">
        <f ca="1">OFFSET('IWP28'!UnitsOfServicePeriod2, 4, 4, 1, 1)</f>
        <v>0</v>
      </c>
      <c r="I510" s="128">
        <f ca="1">IF(OFFSET('IWP28'!UnitsOfServicePeriod2, 4, 5, 1, 1) = "", 0, OFFSET('IWP28'!UnitsOfServicePeriod2, 4, 5, 1, 1))</f>
        <v>0</v>
      </c>
      <c r="J510" s="128">
        <f ca="1">OFFSET('IWP28'!UnitsOfServicePeriod2, 4, 6, 1, 1)</f>
        <v>0</v>
      </c>
      <c r="K510" s="128">
        <f ca="1">IF(OFFSET('IWP28'!UnitsOfServicePeriod2, 4, 7, 1, 1) = "", 0, OFFSET('IWP28'!UnitsOfServicePeriod2, 4, 7, 1, 1))</f>
        <v>0</v>
      </c>
      <c r="L510" s="128">
        <f ca="1">OFFSET('IWP28'!UnitsOfServicePeriod2, 4, 8, 1, 1)</f>
        <v>0</v>
      </c>
      <c r="M510" s="128">
        <f ca="1">IF(OFFSET('IWP28'!UnitsOfServicePeriod2, 4, 9, 1, 1) = "", 0, OFFSET('IWP28'!UnitsOfServicePeriod2, 4, 9, 1, 1))</f>
        <v>0</v>
      </c>
      <c r="N510" s="128">
        <f ca="1">OFFSET('IWP28'!UnitsOfServicePeriod2, 4, 10, 1, 1)</f>
        <v>0</v>
      </c>
      <c r="O510" s="128">
        <f ca="1">IF(OFFSET('IWP28'!UnitsOfServicePeriod2, 4, 11, 1, 1) = "", 0, OFFSET('IWP28'!UnitsOfServicePeriod2, 4, 11, 1, 1))</f>
        <v>0</v>
      </c>
      <c r="P510" s="128">
        <f ca="1">OFFSET('IWP28'!UnitsOfServicePeriod2, 4, 12, 1, 1)</f>
        <v>0</v>
      </c>
      <c r="Q510" s="128">
        <f ca="1">IF(OFFSET('IWP28'!UnitsOfServicePeriod2, 4, 13, 1, 1) = "", 0, OFFSET('IWP28'!UnitsOfServicePeriod2, 4, 13, 1, 1))</f>
        <v>0</v>
      </c>
      <c r="R510" s="128">
        <f ca="1">OFFSET('IWP28'!UnitsOfServicePeriod2, 4, 14, 1, 1)</f>
        <v>0</v>
      </c>
      <c r="S510" s="128">
        <f ca="1">IF(OFFSET('IWP28'!UnitsOfServicePeriod2, 4, 15, 1, 1) = "", 0, OFFSET('IWP28'!UnitsOfServicePeriod2, 4, 15, 1, 1))</f>
        <v>0</v>
      </c>
      <c r="T510" s="128">
        <f ca="1">IF(OFFSET('IWP28'!UnitsOfServicePeriod2, 4, 16, 1, 1) = "", 0, OFFSET('IWP28'!UnitsOfServicePeriod2, 4, 16, 1, 1))</f>
        <v>0</v>
      </c>
      <c r="U510" s="128">
        <f ca="1">OFFSET('IWP28'!UnitsOfServicePeriod2, 4, 17, 1, 1)</f>
        <v>0</v>
      </c>
      <c r="V510" s="128">
        <f ca="1">IF(OFFSET('IWP28'!UnitsOfServicePeriod2, 4, 19, 1, 1) = "", 0, OFFSET('IWP28'!UnitsOfServicePeriod2, 4, 19, 1, 1))</f>
        <v>0</v>
      </c>
      <c r="W510" s="128">
        <f ca="1">OFFSET('IWP28'!UnitsOfServicePeriod2, 4, 20, 1, 1)</f>
        <v>0</v>
      </c>
      <c r="X510" s="128">
        <f ca="1">IF(OFFSET('IWP28'!UnitsOfServicePeriod2, 4, 21, 1, 1) = "", 0, OFFSET('IWP28'!UnitsOfServicePeriod2, 4, 21, 1, 1))</f>
        <v>0</v>
      </c>
      <c r="Y510" s="137">
        <f ca="1">OFFSET('IWP28'!UnitsOfServicePeriod2, 4, 22, 1, 1)</f>
        <v>0</v>
      </c>
    </row>
    <row r="511" spans="1:25">
      <c r="A511" s="125" t="s">
        <v>501</v>
      </c>
      <c r="B511" s="128">
        <v>2</v>
      </c>
      <c r="C511" s="128">
        <v>6</v>
      </c>
      <c r="D511" s="107">
        <f ca="1">IF(OFFSET('IWP28'!UnitsOfServicePeriod2, 5, 0, 1, 1)=DATE(1900,1,0), DATE(1900,1,1),OFFSET('IWP28'!UnitsOfServicePeriod2, 5, 0, 1, 1))</f>
        <v>1</v>
      </c>
      <c r="E511" s="107">
        <f ca="1">IF(OFFSET('IWP28'!UnitsOfServicePeriod2, 5, 1, 1, 1)=DATE(1900,1,0), DATE(1900,1,1),OFFSET('IWP28'!UnitsOfServicePeriod2, 5, 1, 1, 1))</f>
        <v>1</v>
      </c>
      <c r="F511" s="128">
        <f ca="1">OFFSET('IWP28'!UnitsOfServicePeriod2, 5, 2, 1, 1)</f>
        <v>0</v>
      </c>
      <c r="G511" s="128">
        <f ca="1">IF(OFFSET('IWP28'!UnitsOfServicePeriod2, 5, 3, 1, 1) = "", 0, OFFSET('IWP28'!UnitsOfServicePeriod2, 5, 3, 1, 1))</f>
        <v>0</v>
      </c>
      <c r="H511" s="128">
        <f ca="1">OFFSET('IWP28'!UnitsOfServicePeriod2, 5, 4, 1, 1)</f>
        <v>0</v>
      </c>
      <c r="I511" s="128">
        <f ca="1">IF(OFFSET('IWP28'!UnitsOfServicePeriod2, 5, 5, 1, 1) = "", 0, OFFSET('IWP28'!UnitsOfServicePeriod2, 5, 5, 1, 1))</f>
        <v>0</v>
      </c>
      <c r="J511" s="128">
        <f ca="1">OFFSET('IWP28'!UnitsOfServicePeriod2, 5, 6, 1, 1)</f>
        <v>0</v>
      </c>
      <c r="K511" s="128">
        <f ca="1">IF(OFFSET('IWP28'!UnitsOfServicePeriod2, 5, 7, 1, 1) = "", 0, OFFSET('IWP28'!UnitsOfServicePeriod2, 5, 7, 1, 1))</f>
        <v>0</v>
      </c>
      <c r="L511" s="128">
        <f ca="1">OFFSET('IWP28'!UnitsOfServicePeriod2, 5, 8, 1, 1)</f>
        <v>0</v>
      </c>
      <c r="M511" s="128">
        <f ca="1">IF(OFFSET('IWP28'!UnitsOfServicePeriod2, 5, 9, 1, 1) = "", 0, OFFSET('IWP28'!UnitsOfServicePeriod2, 5, 9, 1, 1))</f>
        <v>0</v>
      </c>
      <c r="N511" s="128">
        <f ca="1">OFFSET('IWP28'!UnitsOfServicePeriod2, 5, 10, 1, 1)</f>
        <v>0</v>
      </c>
      <c r="O511" s="128">
        <f ca="1">IF(OFFSET('IWP28'!UnitsOfServicePeriod2, 5, 11, 1, 1) = "", 0, OFFSET('IWP28'!UnitsOfServicePeriod2, 5, 11, 1, 1))</f>
        <v>0</v>
      </c>
      <c r="P511" s="128">
        <f ca="1">OFFSET('IWP28'!UnitsOfServicePeriod2, 5, 12, 1, 1)</f>
        <v>0</v>
      </c>
      <c r="Q511" s="128">
        <f ca="1">IF(OFFSET('IWP28'!UnitsOfServicePeriod2, 5, 13, 1, 1) = "", 0, OFFSET('IWP28'!UnitsOfServicePeriod2, 5, 13, 1, 1))</f>
        <v>0</v>
      </c>
      <c r="R511" s="128">
        <f ca="1">OFFSET('IWP28'!UnitsOfServicePeriod2, 5, 14, 1, 1)</f>
        <v>0</v>
      </c>
      <c r="S511" s="128">
        <f ca="1">IF(OFFSET('IWP28'!UnitsOfServicePeriod2, 5, 15, 1, 1) = "", 0, OFFSET('IWP28'!UnitsOfServicePeriod2, 5, 15, 1, 1))</f>
        <v>0</v>
      </c>
      <c r="T511" s="128">
        <f ca="1">IF(OFFSET('IWP28'!UnitsOfServicePeriod2, 5, 16, 1, 1) = "", 0, OFFSET('IWP28'!UnitsOfServicePeriod2, 5, 16, 1, 1))</f>
        <v>0</v>
      </c>
      <c r="U511" s="128">
        <f ca="1">OFFSET('IWP28'!UnitsOfServicePeriod2, 5, 17, 1, 1)</f>
        <v>0</v>
      </c>
      <c r="V511" s="128">
        <f ca="1">IF(OFFSET('IWP28'!UnitsOfServicePeriod2, 5, 19, 1, 1) = "", 0, OFFSET('IWP28'!UnitsOfServicePeriod2, 5, 19, 1, 1))</f>
        <v>0</v>
      </c>
      <c r="W511" s="128">
        <f ca="1">OFFSET('IWP28'!UnitsOfServicePeriod2, 5, 20, 1, 1)</f>
        <v>0</v>
      </c>
      <c r="X511" s="128">
        <f ca="1">IF(OFFSET('IWP28'!UnitsOfServicePeriod2, 5, 21, 1, 1) = "", 0, OFFSET('IWP28'!UnitsOfServicePeriod2, 5, 21, 1, 1))</f>
        <v>0</v>
      </c>
      <c r="Y511" s="137">
        <f ca="1">OFFSET('IWP28'!UnitsOfServicePeriod2, 5, 22, 1, 1)</f>
        <v>0</v>
      </c>
    </row>
    <row r="512" spans="1:25">
      <c r="A512" s="125" t="s">
        <v>502</v>
      </c>
      <c r="B512" s="128">
        <v>1</v>
      </c>
      <c r="C512" s="128">
        <v>1</v>
      </c>
      <c r="D512" s="107">
        <f ca="1">IF(OFFSET('IWP29'!UnitsOfServicePeriod1, 0, 0, 1, 1)=DATE(1900,1,0), DATE(1900,1,1),OFFSET('IWP29'!UnitsOfServicePeriod1, 0, 0, 1, 1))</f>
        <v>1</v>
      </c>
      <c r="E512" s="107">
        <f ca="1">IF(OFFSET('IWP29'!UnitsOfServicePeriod1, 0, 1, 1, 1)=DATE(1900,1,0), DATE(1900,1,1),OFFSET('IWP29'!UnitsOfServicePeriod1, 0, 1, 1, 1))</f>
        <v>1</v>
      </c>
      <c r="F512" s="128">
        <f ca="1">OFFSET('IWP29'!UnitsOfServicePeriod1, 0, 2, 1, 1)</f>
        <v>0</v>
      </c>
      <c r="G512" s="128">
        <f ca="1">IF(OFFSET('IWP29'!UnitsOfServicePeriod1, 0, 3, 1, 1) = "", 0, OFFSET('IWP29'!UnitsOfServicePeriod1, 0, 3, 1, 1))</f>
        <v>0</v>
      </c>
      <c r="H512" s="128">
        <f ca="1">OFFSET('IWP29'!UnitsOfServicePeriod1, 0, 4, 1, 1)</f>
        <v>0</v>
      </c>
      <c r="I512" s="128">
        <f ca="1">IF(OFFSET('IWP29'!UnitsOfServicePeriod1, 0, 5, 1, 1) = "", 0, OFFSET('IWP29'!UnitsOfServicePeriod1, 0, 5, 1, 1))</f>
        <v>0</v>
      </c>
      <c r="J512" s="128">
        <f ca="1">OFFSET('IWP29'!UnitsOfServicePeriod1, 0, 6, 1, 1)</f>
        <v>0</v>
      </c>
      <c r="K512" s="128">
        <f ca="1">IF(OFFSET('IWP29'!UnitsOfServicePeriod1, 0, 7, 1, 1) = "", 0, OFFSET('IWP29'!UnitsOfServicePeriod1, 0, 7, 1, 1))</f>
        <v>0</v>
      </c>
      <c r="L512" s="128">
        <f ca="1">OFFSET('IWP29'!UnitsOfServicePeriod1, 0, 8, 1, 1)</f>
        <v>0</v>
      </c>
      <c r="M512" s="128">
        <f ca="1">IF(OFFSET('IWP29'!UnitsOfServicePeriod1, 0, 9, 1, 1) = "", 0, OFFSET('IWP29'!UnitsOfServicePeriod1, 0, 9, 1, 1))</f>
        <v>0</v>
      </c>
      <c r="N512" s="128">
        <f ca="1">OFFSET('IWP29'!UnitsOfServicePeriod1, 0, 10, 1, 1)</f>
        <v>0</v>
      </c>
      <c r="O512" s="128">
        <f ca="1">IF(OFFSET('IWP29'!UnitsOfServicePeriod1, 0, 11, 1, 1) = "", 0, OFFSET('IWP29'!UnitsOfServicePeriod1, 0, 11, 1, 1))</f>
        <v>0</v>
      </c>
      <c r="P512" s="128">
        <f ca="1">OFFSET('IWP29'!UnitsOfServicePeriod1, 0, 12, 1, 1)</f>
        <v>0</v>
      </c>
      <c r="Q512" s="128">
        <f ca="1">IF(OFFSET('IWP29'!UnitsOfServicePeriod1, 0, 13, 1, 1) = "", 0, OFFSET('IWP29'!UnitsOfServicePeriod1, 0, 13, 1, 1))</f>
        <v>0</v>
      </c>
      <c r="R512" s="128">
        <f ca="1">OFFSET('IWP29'!UnitsOfServicePeriod1, 0, 14, 1, 1)</f>
        <v>0</v>
      </c>
      <c r="S512" s="128">
        <f ca="1">IF(OFFSET('IWP29'!UnitsOfServicePeriod1, 0, 15, 1, 1) = "", 0, OFFSET('IWP29'!UnitsOfServicePeriod1, 0, 15, 1, 1))</f>
        <v>0</v>
      </c>
      <c r="T512" s="128">
        <f ca="1">IF(OFFSET('IWP29'!UnitsOfServicePeriod1, 0, 16, 1, 1) = "", 0, OFFSET('IWP29'!UnitsOfServicePeriod1, 0, 16, 1, 1))</f>
        <v>0</v>
      </c>
      <c r="U512" s="128">
        <f ca="1">OFFSET('IWP29'!UnitsOfServicePeriod1, 0, 17, 1, 1)</f>
        <v>0</v>
      </c>
      <c r="V512" s="128">
        <f ca="1">IF(OFFSET('IWP29'!UnitsOfServicePeriod1, 0, 19, 1, 1) = "", 0, OFFSET('IWP29'!UnitsOfServicePeriod1, 0, 19, 1, 1))</f>
        <v>0</v>
      </c>
      <c r="W512" s="128">
        <f ca="1">OFFSET('IWP29'!UnitsOfServicePeriod1, 0, 20, 1, 1)</f>
        <v>0</v>
      </c>
      <c r="X512" s="128">
        <f ca="1">IF(OFFSET('IWP29'!UnitsOfServicePeriod1, 0, 21, 1, 1) = "", 0, OFFSET('IWP29'!UnitsOfServicePeriod1, 0, 21, 1, 1))</f>
        <v>0</v>
      </c>
      <c r="Y512" s="137">
        <f ca="1">OFFSET('IWP29'!UnitsOfServicePeriod1, 0, 22, 1, 1)</f>
        <v>0</v>
      </c>
    </row>
    <row r="513" spans="1:25">
      <c r="A513" s="125" t="s">
        <v>502</v>
      </c>
      <c r="B513" s="128">
        <v>1</v>
      </c>
      <c r="C513" s="128">
        <v>2</v>
      </c>
      <c r="D513" s="107">
        <f ca="1">IF(OFFSET('IWP29'!UnitsOfServicePeriod1, 1, 0, 1, 1)=DATE(1900,1,0), DATE(1900,1,1),OFFSET('IWP29'!UnitsOfServicePeriod1, 1, 0, 1, 1))</f>
        <v>1</v>
      </c>
      <c r="E513" s="107">
        <f ca="1">IF(OFFSET('IWP29'!UnitsOfServicePeriod1, 1, 1, 1, 1)=DATE(1900,1,0), DATE(1900,1,1),OFFSET('IWP29'!UnitsOfServicePeriod1, 1, 1, 1, 1))</f>
        <v>1</v>
      </c>
      <c r="F513" s="128">
        <f ca="1">OFFSET('IWP29'!UnitsOfServicePeriod1, 1, 2, 1, 1)</f>
        <v>0</v>
      </c>
      <c r="G513" s="128">
        <f ca="1">IF(OFFSET('IWP29'!UnitsOfServicePeriod1, 1, 3, 1, 1) = "", 0, OFFSET('IWP29'!UnitsOfServicePeriod1, 1, 3, 1, 1))</f>
        <v>0</v>
      </c>
      <c r="H513" s="128">
        <f ca="1">OFFSET('IWP29'!UnitsOfServicePeriod1, 1, 4, 1, 1)</f>
        <v>0</v>
      </c>
      <c r="I513" s="128">
        <f ca="1">IF(OFFSET('IWP29'!UnitsOfServicePeriod1, 1, 5, 1, 1) = "", 0, OFFSET('IWP29'!UnitsOfServicePeriod1, 1, 5, 1, 1))</f>
        <v>0</v>
      </c>
      <c r="J513" s="128">
        <f ca="1">OFFSET('IWP29'!UnitsOfServicePeriod1, 1, 6, 1, 1)</f>
        <v>0</v>
      </c>
      <c r="K513" s="128">
        <f ca="1">IF(OFFSET('IWP29'!UnitsOfServicePeriod1, 1, 7, 1, 1) = "", 0, OFFSET('IWP29'!UnitsOfServicePeriod1, 1, 7, 1, 1))</f>
        <v>0</v>
      </c>
      <c r="L513" s="128">
        <f ca="1">OFFSET('IWP29'!UnitsOfServicePeriod1, 1, 8, 1, 1)</f>
        <v>0</v>
      </c>
      <c r="M513" s="128">
        <f ca="1">IF(OFFSET('IWP29'!UnitsOfServicePeriod1, 1, 9, 1, 1) = "", 0, OFFSET('IWP29'!UnitsOfServicePeriod1, 1, 9, 1, 1))</f>
        <v>0</v>
      </c>
      <c r="N513" s="128">
        <f ca="1">OFFSET('IWP29'!UnitsOfServicePeriod1, 1, 10, 1, 1)</f>
        <v>0</v>
      </c>
      <c r="O513" s="128">
        <f ca="1">IF(OFFSET('IWP29'!UnitsOfServicePeriod1, 1, 11, 1, 1) = "", 0, OFFSET('IWP29'!UnitsOfServicePeriod1, 1, 11, 1, 1))</f>
        <v>0</v>
      </c>
      <c r="P513" s="128">
        <f ca="1">OFFSET('IWP29'!UnitsOfServicePeriod1, 1, 12, 1, 1)</f>
        <v>0</v>
      </c>
      <c r="Q513" s="128">
        <f ca="1">IF(OFFSET('IWP29'!UnitsOfServicePeriod1, 1, 13, 1, 1) = "", 0, OFFSET('IWP29'!UnitsOfServicePeriod1, 1, 13, 1, 1))</f>
        <v>0</v>
      </c>
      <c r="R513" s="128">
        <f ca="1">OFFSET('IWP29'!UnitsOfServicePeriod1, 1, 14, 1, 1)</f>
        <v>0</v>
      </c>
      <c r="S513" s="128">
        <f ca="1">IF(OFFSET('IWP29'!UnitsOfServicePeriod1, 1, 15, 1, 1) = "", 0, OFFSET('IWP29'!UnitsOfServicePeriod1, 1, 15, 1, 1))</f>
        <v>0</v>
      </c>
      <c r="T513" s="128">
        <f ca="1">IF(OFFSET('IWP29'!UnitsOfServicePeriod1, 1, 16, 1, 1) = "", 0, OFFSET('IWP29'!UnitsOfServicePeriod1, 1, 16, 1, 1))</f>
        <v>0</v>
      </c>
      <c r="U513" s="128">
        <f ca="1">OFFSET('IWP29'!UnitsOfServicePeriod1, 1, 17, 1, 1)</f>
        <v>0</v>
      </c>
      <c r="V513" s="128">
        <f ca="1">IF(OFFSET('IWP29'!UnitsOfServicePeriod1, 1, 19, 1, 1) = "", 0, OFFSET('IWP29'!UnitsOfServicePeriod1, 1, 19, 1, 1))</f>
        <v>0</v>
      </c>
      <c r="W513" s="128">
        <f ca="1">OFFSET('IWP29'!UnitsOfServicePeriod1, 1, 20, 1, 1)</f>
        <v>0</v>
      </c>
      <c r="X513" s="128">
        <f ca="1">IF(OFFSET('IWP29'!UnitsOfServicePeriod1, 1, 21, 1, 1) = "", 0, OFFSET('IWP29'!UnitsOfServicePeriod1, 1, 21, 1, 1))</f>
        <v>0</v>
      </c>
      <c r="Y513" s="137">
        <f ca="1">OFFSET('IWP29'!UnitsOfServicePeriod1, 1, 22, 1, 1)</f>
        <v>0</v>
      </c>
    </row>
    <row r="514" spans="1:25">
      <c r="A514" s="125" t="s">
        <v>502</v>
      </c>
      <c r="B514" s="128">
        <v>1</v>
      </c>
      <c r="C514" s="128">
        <v>3</v>
      </c>
      <c r="D514" s="107">
        <f ca="1">IF(OFFSET('IWP29'!UnitsOfServicePeriod1, 2, 0, 1, 1)=DATE(1900,1,0), DATE(1900,1,1),OFFSET('IWP29'!UnitsOfServicePeriod1, 2, 0, 1, 1))</f>
        <v>1</v>
      </c>
      <c r="E514" s="107">
        <f ca="1">IF(OFFSET('IWP29'!UnitsOfServicePeriod1, 2, 1, 1, 1)=DATE(1900,1,0), DATE(1900,1,1),OFFSET('IWP29'!UnitsOfServicePeriod1, 2, 1, 1, 1))</f>
        <v>1</v>
      </c>
      <c r="F514" s="128">
        <f ca="1">OFFSET('IWP29'!UnitsOfServicePeriod1, 2, 2, 1, 1)</f>
        <v>0</v>
      </c>
      <c r="G514" s="128">
        <f ca="1">IF(OFFSET('IWP29'!UnitsOfServicePeriod1, 2, 3, 1, 1) = "", 0, OFFSET('IWP29'!UnitsOfServicePeriod1, 2, 3, 1, 1))</f>
        <v>0</v>
      </c>
      <c r="H514" s="128">
        <f ca="1">OFFSET('IWP29'!UnitsOfServicePeriod1, 2, 4, 1, 1)</f>
        <v>0</v>
      </c>
      <c r="I514" s="128">
        <f ca="1">IF(OFFSET('IWP29'!UnitsOfServicePeriod1, 2, 5, 1, 1) = "", 0, OFFSET('IWP29'!UnitsOfServicePeriod1, 2, 5, 1, 1))</f>
        <v>0</v>
      </c>
      <c r="J514" s="128">
        <f ca="1">OFFSET('IWP29'!UnitsOfServicePeriod1, 2, 6, 1, 1)</f>
        <v>0</v>
      </c>
      <c r="K514" s="128">
        <f ca="1">IF(OFFSET('IWP29'!UnitsOfServicePeriod1, 2, 7, 1, 1) = "", 0, OFFSET('IWP29'!UnitsOfServicePeriod1, 2, 7, 1, 1))</f>
        <v>0</v>
      </c>
      <c r="L514" s="128">
        <f ca="1">OFFSET('IWP29'!UnitsOfServicePeriod1, 2, 8, 1, 1)</f>
        <v>0</v>
      </c>
      <c r="M514" s="128">
        <f ca="1">IF(OFFSET('IWP29'!UnitsOfServicePeriod1, 2, 9, 1, 1) = "", 0, OFFSET('IWP29'!UnitsOfServicePeriod1, 2, 9, 1, 1))</f>
        <v>0</v>
      </c>
      <c r="N514" s="128">
        <f ca="1">OFFSET('IWP29'!UnitsOfServicePeriod1, 2, 10, 1, 1)</f>
        <v>0</v>
      </c>
      <c r="O514" s="128">
        <f ca="1">IF(OFFSET('IWP29'!UnitsOfServicePeriod1, 2, 11, 1, 1) = "", 0, OFFSET('IWP29'!UnitsOfServicePeriod1, 2, 11, 1, 1))</f>
        <v>0</v>
      </c>
      <c r="P514" s="128">
        <f ca="1">OFFSET('IWP29'!UnitsOfServicePeriod1, 2, 12, 1, 1)</f>
        <v>0</v>
      </c>
      <c r="Q514" s="128">
        <f ca="1">IF(OFFSET('IWP29'!UnitsOfServicePeriod1, 2, 13, 1, 1) = "", 0, OFFSET('IWP29'!UnitsOfServicePeriod1, 2, 13, 1, 1))</f>
        <v>0</v>
      </c>
      <c r="R514" s="128">
        <f ca="1">OFFSET('IWP29'!UnitsOfServicePeriod1, 2, 14, 1, 1)</f>
        <v>0</v>
      </c>
      <c r="S514" s="128">
        <f ca="1">IF(OFFSET('IWP29'!UnitsOfServicePeriod1, 2, 15, 1, 1) = "", 0, OFFSET('IWP29'!UnitsOfServicePeriod1, 2, 15, 1, 1))</f>
        <v>0</v>
      </c>
      <c r="T514" s="128">
        <f ca="1">IF(OFFSET('IWP29'!UnitsOfServicePeriod1, 2, 16, 1, 1) = "", 0, OFFSET('IWP29'!UnitsOfServicePeriod1, 2, 16, 1, 1))</f>
        <v>0</v>
      </c>
      <c r="U514" s="128">
        <f ca="1">OFFSET('IWP29'!UnitsOfServicePeriod1, 2, 17, 1, 1)</f>
        <v>0</v>
      </c>
      <c r="V514" s="128">
        <f ca="1">IF(OFFSET('IWP29'!UnitsOfServicePeriod1, 2, 19, 1, 1) = "", 0, OFFSET('IWP29'!UnitsOfServicePeriod1, 2, 19, 1, 1))</f>
        <v>0</v>
      </c>
      <c r="W514" s="128">
        <f ca="1">OFFSET('IWP29'!UnitsOfServicePeriod1, 2, 20, 1, 1)</f>
        <v>0</v>
      </c>
      <c r="X514" s="128">
        <f ca="1">IF(OFFSET('IWP29'!UnitsOfServicePeriod1, 2, 21, 1, 1) = "", 0, OFFSET('IWP29'!UnitsOfServicePeriod1, 2, 21, 1, 1))</f>
        <v>0</v>
      </c>
      <c r="Y514" s="137">
        <f ca="1">OFFSET('IWP29'!UnitsOfServicePeriod1, 2, 22, 1, 1)</f>
        <v>0</v>
      </c>
    </row>
    <row r="515" spans="1:25">
      <c r="A515" s="125" t="s">
        <v>502</v>
      </c>
      <c r="B515" s="128">
        <v>1</v>
      </c>
      <c r="C515" s="128">
        <v>4</v>
      </c>
      <c r="D515" s="107">
        <f ca="1">IF(OFFSET('IWP29'!UnitsOfServicePeriod1, 3, 0, 1, 1)=DATE(1900,1,0), DATE(1900,1,1),OFFSET('IWP29'!UnitsOfServicePeriod1, 3, 0, 1, 1))</f>
        <v>1</v>
      </c>
      <c r="E515" s="107">
        <f ca="1">IF(OFFSET('IWP29'!UnitsOfServicePeriod1, 3, 1, 1, 1)=DATE(1900,1,0), DATE(1900,1,1),OFFSET('IWP29'!UnitsOfServicePeriod1, 3, 1, 1, 1))</f>
        <v>1</v>
      </c>
      <c r="F515" s="128">
        <f ca="1">OFFSET('IWP29'!UnitsOfServicePeriod1, 3, 2, 1, 1)</f>
        <v>0</v>
      </c>
      <c r="G515" s="128">
        <f ca="1">IF(OFFSET('IWP29'!UnitsOfServicePeriod1, 3, 3, 1, 1) = "", 0, OFFSET('IWP29'!UnitsOfServicePeriod1, 3, 3, 1, 1))</f>
        <v>0</v>
      </c>
      <c r="H515" s="128">
        <f ca="1">OFFSET('IWP29'!UnitsOfServicePeriod1, 3, 4, 1, 1)</f>
        <v>0</v>
      </c>
      <c r="I515" s="128">
        <f ca="1">IF(OFFSET('IWP29'!UnitsOfServicePeriod1, 3, 5, 1, 1) = "", 0, OFFSET('IWP29'!UnitsOfServicePeriod1, 3, 5, 1, 1))</f>
        <v>0</v>
      </c>
      <c r="J515" s="128">
        <f ca="1">OFFSET('IWP29'!UnitsOfServicePeriod1, 3, 6, 1, 1)</f>
        <v>0</v>
      </c>
      <c r="K515" s="128">
        <f ca="1">IF(OFFSET('IWP29'!UnitsOfServicePeriod1, 3, 7, 1, 1) = "", 0, OFFSET('IWP29'!UnitsOfServicePeriod1, 3, 7, 1, 1))</f>
        <v>0</v>
      </c>
      <c r="L515" s="128">
        <f ca="1">OFFSET('IWP29'!UnitsOfServicePeriod1, 3, 8, 1, 1)</f>
        <v>0</v>
      </c>
      <c r="M515" s="128">
        <f ca="1">IF(OFFSET('IWP29'!UnitsOfServicePeriod1, 3, 9, 1, 1) = "", 0, OFFSET('IWP29'!UnitsOfServicePeriod1, 3, 9, 1, 1))</f>
        <v>0</v>
      </c>
      <c r="N515" s="128">
        <f ca="1">OFFSET('IWP29'!UnitsOfServicePeriod1, 3, 10, 1, 1)</f>
        <v>0</v>
      </c>
      <c r="O515" s="128">
        <f ca="1">IF(OFFSET('IWP29'!UnitsOfServicePeriod1, 3, 11, 1, 1) = "", 0, OFFSET('IWP29'!UnitsOfServicePeriod1, 3, 11, 1, 1))</f>
        <v>0</v>
      </c>
      <c r="P515" s="128">
        <f ca="1">OFFSET('IWP29'!UnitsOfServicePeriod1, 3, 12, 1, 1)</f>
        <v>0</v>
      </c>
      <c r="Q515" s="128">
        <f ca="1">IF(OFFSET('IWP29'!UnitsOfServicePeriod1, 3, 13, 1, 1) = "", 0, OFFSET('IWP29'!UnitsOfServicePeriod1, 3, 13, 1, 1))</f>
        <v>0</v>
      </c>
      <c r="R515" s="128">
        <f ca="1">OFFSET('IWP29'!UnitsOfServicePeriod1, 3, 14, 1, 1)</f>
        <v>0</v>
      </c>
      <c r="S515" s="128">
        <f ca="1">IF(OFFSET('IWP29'!UnitsOfServicePeriod1, 3, 15, 1, 1) = "", 0, OFFSET('IWP29'!UnitsOfServicePeriod1, 3, 15, 1, 1))</f>
        <v>0</v>
      </c>
      <c r="T515" s="128">
        <f ca="1">IF(OFFSET('IWP29'!UnitsOfServicePeriod1, 3, 16, 1, 1) = "", 0, OFFSET('IWP29'!UnitsOfServicePeriod1, 3, 16, 1, 1))</f>
        <v>0</v>
      </c>
      <c r="U515" s="128">
        <f ca="1">OFFSET('IWP29'!UnitsOfServicePeriod1, 3, 17, 1, 1)</f>
        <v>0</v>
      </c>
      <c r="V515" s="128">
        <f ca="1">IF(OFFSET('IWP29'!UnitsOfServicePeriod1, 3, 19, 1, 1) = "", 0, OFFSET('IWP29'!UnitsOfServicePeriod1, 3, 19, 1, 1))</f>
        <v>0</v>
      </c>
      <c r="W515" s="128">
        <f ca="1">OFFSET('IWP29'!UnitsOfServicePeriod1, 3, 20, 1, 1)</f>
        <v>0</v>
      </c>
      <c r="X515" s="128">
        <f ca="1">IF(OFFSET('IWP29'!UnitsOfServicePeriod1, 3, 21, 1, 1) = "", 0, OFFSET('IWP29'!UnitsOfServicePeriod1, 3, 21, 1, 1))</f>
        <v>0</v>
      </c>
      <c r="Y515" s="137">
        <f ca="1">OFFSET('IWP29'!UnitsOfServicePeriod1, 3, 22, 1, 1)</f>
        <v>0</v>
      </c>
    </row>
    <row r="516" spans="1:25">
      <c r="A516" s="125" t="s">
        <v>502</v>
      </c>
      <c r="B516" s="128">
        <v>1</v>
      </c>
      <c r="C516" s="128">
        <v>5</v>
      </c>
      <c r="D516" s="107">
        <f ca="1">IF(OFFSET('IWP29'!UnitsOfServicePeriod1, 4, 0, 1, 1)=DATE(1900,1,0), DATE(1900,1,1),OFFSET('IWP29'!UnitsOfServicePeriod1, 4, 0, 1, 1))</f>
        <v>1</v>
      </c>
      <c r="E516" s="107">
        <f ca="1">IF(OFFSET('IWP29'!UnitsOfServicePeriod1, 4, 1, 1, 1)=DATE(1900,1,0), DATE(1900,1,1),OFFSET('IWP29'!UnitsOfServicePeriod1, 4, 1, 1, 1))</f>
        <v>1</v>
      </c>
      <c r="F516" s="128">
        <f ca="1">OFFSET('IWP29'!UnitsOfServicePeriod1, 4, 2, 1, 1)</f>
        <v>0</v>
      </c>
      <c r="G516" s="128">
        <f ca="1">IF(OFFSET('IWP29'!UnitsOfServicePeriod1, 4, 3, 1, 1) = "", 0, OFFSET('IWP29'!UnitsOfServicePeriod1, 4, 3, 1, 1))</f>
        <v>0</v>
      </c>
      <c r="H516" s="128">
        <f ca="1">OFFSET('IWP29'!UnitsOfServicePeriod1, 4, 4, 1, 1)</f>
        <v>0</v>
      </c>
      <c r="I516" s="128">
        <f ca="1">IF(OFFSET('IWP29'!UnitsOfServicePeriod1, 4, 5, 1, 1) = "", 0, OFFSET('IWP29'!UnitsOfServicePeriod1, 4, 5, 1, 1))</f>
        <v>0</v>
      </c>
      <c r="J516" s="128">
        <f ca="1">OFFSET('IWP29'!UnitsOfServicePeriod1, 4, 6, 1, 1)</f>
        <v>0</v>
      </c>
      <c r="K516" s="128">
        <f ca="1">IF(OFFSET('IWP29'!UnitsOfServicePeriod1, 4, 7, 1, 1) = "", 0, OFFSET('IWP29'!UnitsOfServicePeriod1, 4, 7, 1, 1))</f>
        <v>0</v>
      </c>
      <c r="L516" s="128">
        <f ca="1">OFFSET('IWP29'!UnitsOfServicePeriod1, 4, 8, 1, 1)</f>
        <v>0</v>
      </c>
      <c r="M516" s="128">
        <f ca="1">IF(OFFSET('IWP29'!UnitsOfServicePeriod1, 4, 9, 1, 1) = "", 0, OFFSET('IWP29'!UnitsOfServicePeriod1, 4, 9, 1, 1))</f>
        <v>0</v>
      </c>
      <c r="N516" s="128">
        <f ca="1">OFFSET('IWP29'!UnitsOfServicePeriod1, 4, 10, 1, 1)</f>
        <v>0</v>
      </c>
      <c r="O516" s="128">
        <f ca="1">IF(OFFSET('IWP29'!UnitsOfServicePeriod1, 4, 11, 1, 1) = "", 0, OFFSET('IWP29'!UnitsOfServicePeriod1, 4, 11, 1, 1))</f>
        <v>0</v>
      </c>
      <c r="P516" s="128">
        <f ca="1">OFFSET('IWP29'!UnitsOfServicePeriod1, 4, 12, 1, 1)</f>
        <v>0</v>
      </c>
      <c r="Q516" s="128">
        <f ca="1">IF(OFFSET('IWP29'!UnitsOfServicePeriod1, 4, 13, 1, 1) = "", 0, OFFSET('IWP29'!UnitsOfServicePeriod1, 4, 13, 1, 1))</f>
        <v>0</v>
      </c>
      <c r="R516" s="128">
        <f ca="1">OFFSET('IWP29'!UnitsOfServicePeriod1, 4, 14, 1, 1)</f>
        <v>0</v>
      </c>
      <c r="S516" s="128">
        <f ca="1">IF(OFFSET('IWP29'!UnitsOfServicePeriod1, 4, 15, 1, 1) = "", 0, OFFSET('IWP29'!UnitsOfServicePeriod1, 4, 15, 1, 1))</f>
        <v>0</v>
      </c>
      <c r="T516" s="128">
        <f ca="1">IF(OFFSET('IWP29'!UnitsOfServicePeriod1, 4, 16, 1, 1) = "", 0, OFFSET('IWP29'!UnitsOfServicePeriod1, 4, 16, 1, 1))</f>
        <v>0</v>
      </c>
      <c r="U516" s="128">
        <f ca="1">OFFSET('IWP29'!UnitsOfServicePeriod1, 4, 17, 1, 1)</f>
        <v>0</v>
      </c>
      <c r="V516" s="128">
        <f ca="1">IF(OFFSET('IWP29'!UnitsOfServicePeriod1, 4, 19, 1, 1) = "", 0, OFFSET('IWP29'!UnitsOfServicePeriod1, 4, 19, 1, 1))</f>
        <v>0</v>
      </c>
      <c r="W516" s="128">
        <f ca="1">OFFSET('IWP29'!UnitsOfServicePeriod1, 4, 20, 1, 1)</f>
        <v>0</v>
      </c>
      <c r="X516" s="128">
        <f ca="1">IF(OFFSET('IWP29'!UnitsOfServicePeriod1, 4, 21, 1, 1) = "", 0, OFFSET('IWP29'!UnitsOfServicePeriod1, 4, 21, 1, 1))</f>
        <v>0</v>
      </c>
      <c r="Y516" s="137">
        <f ca="1">OFFSET('IWP29'!UnitsOfServicePeriod1, 4, 22, 1, 1)</f>
        <v>0</v>
      </c>
    </row>
    <row r="517" spans="1:25">
      <c r="A517" s="125" t="s">
        <v>502</v>
      </c>
      <c r="B517" s="128">
        <v>1</v>
      </c>
      <c r="C517" s="128">
        <v>6</v>
      </c>
      <c r="D517" s="107">
        <f ca="1">IF(OFFSET('IWP29'!UnitsOfServicePeriod1, 5, 0, 1, 1)=DATE(1900,1,0), DATE(1900,1,1),OFFSET('IWP29'!UnitsOfServicePeriod1, 5, 0, 1, 1))</f>
        <v>1</v>
      </c>
      <c r="E517" s="107">
        <f ca="1">IF(OFFSET('IWP29'!UnitsOfServicePeriod1, 5, 1, 1, 1)=DATE(1900,1,0), DATE(1900,1,1),OFFSET('IWP29'!UnitsOfServicePeriod1, 5, 1, 1, 1))</f>
        <v>1</v>
      </c>
      <c r="F517" s="128">
        <f ca="1">OFFSET('IWP29'!UnitsOfServicePeriod1, 5, 2, 1, 1)</f>
        <v>0</v>
      </c>
      <c r="G517" s="128">
        <f ca="1">IF(OFFSET('IWP29'!UnitsOfServicePeriod1, 5, 3, 1, 1) = "", 0, OFFSET('IWP29'!UnitsOfServicePeriod1, 5, 3, 1, 1))</f>
        <v>0</v>
      </c>
      <c r="H517" s="128">
        <f ca="1">OFFSET('IWP29'!UnitsOfServicePeriod1, 5, 4, 1, 1)</f>
        <v>0</v>
      </c>
      <c r="I517" s="128">
        <f ca="1">IF(OFFSET('IWP29'!UnitsOfServicePeriod1, 5, 5, 1, 1) = "", 0, OFFSET('IWP29'!UnitsOfServicePeriod1, 5, 5, 1, 1))</f>
        <v>0</v>
      </c>
      <c r="J517" s="128">
        <f ca="1">OFFSET('IWP29'!UnitsOfServicePeriod1, 5, 6, 1, 1)</f>
        <v>0</v>
      </c>
      <c r="K517" s="128">
        <f ca="1">IF(OFFSET('IWP29'!UnitsOfServicePeriod1, 5, 7, 1, 1) = "", 0, OFFSET('IWP29'!UnitsOfServicePeriod1, 5, 7, 1, 1))</f>
        <v>0</v>
      </c>
      <c r="L517" s="128">
        <f ca="1">OFFSET('IWP29'!UnitsOfServicePeriod1, 5, 8, 1, 1)</f>
        <v>0</v>
      </c>
      <c r="M517" s="128">
        <f ca="1">IF(OFFSET('IWP29'!UnitsOfServicePeriod1, 5, 9, 1, 1) = "", 0, OFFSET('IWP29'!UnitsOfServicePeriod1, 5, 9, 1, 1))</f>
        <v>0</v>
      </c>
      <c r="N517" s="128">
        <f ca="1">OFFSET('IWP29'!UnitsOfServicePeriod1, 5, 10, 1, 1)</f>
        <v>0</v>
      </c>
      <c r="O517" s="128">
        <f ca="1">IF(OFFSET('IWP29'!UnitsOfServicePeriod1, 5, 11, 1, 1) = "", 0, OFFSET('IWP29'!UnitsOfServicePeriod1, 5, 11, 1, 1))</f>
        <v>0</v>
      </c>
      <c r="P517" s="128">
        <f ca="1">OFFSET('IWP29'!UnitsOfServicePeriod1, 5, 12, 1, 1)</f>
        <v>0</v>
      </c>
      <c r="Q517" s="128">
        <f ca="1">IF(OFFSET('IWP29'!UnitsOfServicePeriod1, 5, 13, 1, 1) = "", 0, OFFSET('IWP29'!UnitsOfServicePeriod1, 5, 13, 1, 1))</f>
        <v>0</v>
      </c>
      <c r="R517" s="128">
        <f ca="1">OFFSET('IWP29'!UnitsOfServicePeriod1, 5, 14, 1, 1)</f>
        <v>0</v>
      </c>
      <c r="S517" s="128">
        <f ca="1">IF(OFFSET('IWP29'!UnitsOfServicePeriod1, 5, 15, 1, 1) = "", 0, OFFSET('IWP29'!UnitsOfServicePeriod1, 5, 15, 1, 1))</f>
        <v>0</v>
      </c>
      <c r="T517" s="128">
        <f ca="1">IF(OFFSET('IWP29'!UnitsOfServicePeriod1, 5, 16, 1, 1) = "", 0, OFFSET('IWP29'!UnitsOfServicePeriod1, 5, 16, 1, 1))</f>
        <v>0</v>
      </c>
      <c r="U517" s="128">
        <f ca="1">OFFSET('IWP29'!UnitsOfServicePeriod1, 5, 17, 1, 1)</f>
        <v>0</v>
      </c>
      <c r="V517" s="128">
        <f ca="1">IF(OFFSET('IWP29'!UnitsOfServicePeriod1, 5, 19, 1, 1) = "", 0, OFFSET('IWP29'!UnitsOfServicePeriod1, 5, 19, 1, 1))</f>
        <v>0</v>
      </c>
      <c r="W517" s="128">
        <f ca="1">OFFSET('IWP29'!UnitsOfServicePeriod1, 5, 20, 1, 1)</f>
        <v>0</v>
      </c>
      <c r="X517" s="128">
        <f ca="1">IF(OFFSET('IWP29'!UnitsOfServicePeriod1, 5, 21, 1, 1) = "", 0, OFFSET('IWP29'!UnitsOfServicePeriod1, 5, 21, 1, 1))</f>
        <v>0</v>
      </c>
      <c r="Y517" s="137">
        <f ca="1">OFFSET('IWP29'!UnitsOfServicePeriod1, 5, 22, 1, 1)</f>
        <v>0</v>
      </c>
    </row>
    <row r="518" spans="1:25">
      <c r="A518" s="125" t="s">
        <v>502</v>
      </c>
      <c r="B518" s="128">
        <v>2</v>
      </c>
      <c r="C518" s="128">
        <v>1</v>
      </c>
      <c r="D518" s="107">
        <f ca="1">IF(OFFSET('IWP29'!UnitsOfServicePeriod2, 0, 0, 1, 1)=DATE(1900,1,0), DATE(1900,1,1),OFFSET('IWP29'!UnitsOfServicePeriod2, 0, 0, 1, 1))</f>
        <v>1</v>
      </c>
      <c r="E518" s="107">
        <f ca="1">IF(OFFSET('IWP29'!UnitsOfServicePeriod2, 0, 1, 1, 1)=DATE(1900,1,0), DATE(1900,1,1),OFFSET('IWP29'!UnitsOfServicePeriod2, 0, 1, 1, 1))</f>
        <v>1</v>
      </c>
      <c r="F518" s="128">
        <f ca="1">OFFSET('IWP29'!UnitsOfServicePeriod2, 0, 2, 1, 1)</f>
        <v>0</v>
      </c>
      <c r="G518" s="128">
        <f ca="1">IF(OFFSET('IWP29'!UnitsOfServicePeriod2, 0, 3, 1, 1) = "", 0, OFFSET('IWP29'!UnitsOfServicePeriod2, 0, 3, 1, 1))</f>
        <v>0</v>
      </c>
      <c r="H518" s="128">
        <f ca="1">OFFSET('IWP29'!UnitsOfServicePeriod2, 0, 4, 1, 1)</f>
        <v>0</v>
      </c>
      <c r="I518" s="128">
        <f ca="1">IF(OFFSET('IWP29'!UnitsOfServicePeriod2, 0, 5, 1, 1) = "", 0, OFFSET('IWP29'!UnitsOfServicePeriod2, 0, 5, 1, 1))</f>
        <v>0</v>
      </c>
      <c r="J518" s="128">
        <f ca="1">OFFSET('IWP29'!UnitsOfServicePeriod2, 0, 6, 1, 1)</f>
        <v>0</v>
      </c>
      <c r="K518" s="128">
        <f ca="1">IF(OFFSET('IWP29'!UnitsOfServicePeriod2, 0, 7, 1, 1) = "", 0, OFFSET('IWP29'!UnitsOfServicePeriod2, 0, 7, 1, 1))</f>
        <v>0</v>
      </c>
      <c r="L518" s="128">
        <f ca="1">OFFSET('IWP29'!UnitsOfServicePeriod2, 0, 8, 1, 1)</f>
        <v>0</v>
      </c>
      <c r="M518" s="128">
        <f ca="1">IF(OFFSET('IWP29'!UnitsOfServicePeriod2, 0, 9, 1, 1) = "", 0, OFFSET('IWP29'!UnitsOfServicePeriod2, 0, 9, 1, 1))</f>
        <v>0</v>
      </c>
      <c r="N518" s="128">
        <f ca="1">OFFSET('IWP29'!UnitsOfServicePeriod2, 0, 10, 1, 1)</f>
        <v>0</v>
      </c>
      <c r="O518" s="128">
        <f ca="1">IF(OFFSET('IWP29'!UnitsOfServicePeriod2, 0, 11, 1, 1) = "", 0, OFFSET('IWP29'!UnitsOfServicePeriod2, 0, 11, 1, 1))</f>
        <v>0</v>
      </c>
      <c r="P518" s="128">
        <f ca="1">OFFSET('IWP29'!UnitsOfServicePeriod2, 0, 12, 1, 1)</f>
        <v>0</v>
      </c>
      <c r="Q518" s="128">
        <f ca="1">IF(OFFSET('IWP29'!UnitsOfServicePeriod2, 0, 13, 1, 1) = "", 0, OFFSET('IWP29'!UnitsOfServicePeriod2, 0, 13, 1, 1))</f>
        <v>0</v>
      </c>
      <c r="R518" s="128">
        <f ca="1">OFFSET('IWP29'!UnitsOfServicePeriod2, 0, 14, 1, 1)</f>
        <v>0</v>
      </c>
      <c r="S518" s="128">
        <f ca="1">IF(OFFSET('IWP29'!UnitsOfServicePeriod2, 0, 15, 1, 1) = "", 0, OFFSET('IWP29'!UnitsOfServicePeriod2, 0, 15, 1, 1))</f>
        <v>0</v>
      </c>
      <c r="T518" s="128">
        <f ca="1">IF(OFFSET('IWP29'!UnitsOfServicePeriod2, 0, 16, 1, 1) = "", 0, OFFSET('IWP29'!UnitsOfServicePeriod2, 0, 16, 1, 1))</f>
        <v>0</v>
      </c>
      <c r="U518" s="128">
        <f ca="1">OFFSET('IWP29'!UnitsOfServicePeriod2, 0, 17, 1, 1)</f>
        <v>0</v>
      </c>
      <c r="V518" s="128">
        <f ca="1">IF(OFFSET('IWP29'!UnitsOfServicePeriod2, 0, 19, 1, 1) = "", 0, OFFSET('IWP29'!UnitsOfServicePeriod2, 0, 19, 1, 1))</f>
        <v>0</v>
      </c>
      <c r="W518" s="128">
        <f ca="1">OFFSET('IWP29'!UnitsOfServicePeriod2, 0, 20, 1, 1)</f>
        <v>0</v>
      </c>
      <c r="X518" s="128">
        <f ca="1">IF(OFFSET('IWP29'!UnitsOfServicePeriod2, 0, 21, 1, 1) = "", 0, OFFSET('IWP29'!UnitsOfServicePeriod2, 0, 21, 1, 1))</f>
        <v>0</v>
      </c>
      <c r="Y518" s="137">
        <f ca="1">OFFSET('IWP29'!UnitsOfServicePeriod2, 0, 22, 1, 1)</f>
        <v>0</v>
      </c>
    </row>
    <row r="519" spans="1:25">
      <c r="A519" s="125" t="s">
        <v>502</v>
      </c>
      <c r="B519" s="128">
        <v>2</v>
      </c>
      <c r="C519" s="128">
        <v>2</v>
      </c>
      <c r="D519" s="107">
        <f ca="1">IF(OFFSET('IWP29'!UnitsOfServicePeriod2, 1, 0, 1, 1)=DATE(1900,1,0), DATE(1900,1,1),OFFSET('IWP29'!UnitsOfServicePeriod2, 1, 0, 1, 1))</f>
        <v>1</v>
      </c>
      <c r="E519" s="107">
        <f ca="1">IF(OFFSET('IWP29'!UnitsOfServicePeriod2, 1, 1, 1, 1)=DATE(1900,1,0), DATE(1900,1,1),OFFSET('IWP29'!UnitsOfServicePeriod2, 1, 1, 1, 1))</f>
        <v>1</v>
      </c>
      <c r="F519" s="128">
        <f ca="1">OFFSET('IWP29'!UnitsOfServicePeriod2, 1, 2, 1, 1)</f>
        <v>0</v>
      </c>
      <c r="G519" s="128">
        <f ca="1">IF(OFFSET('IWP29'!UnitsOfServicePeriod2, 1, 3, 1, 1) = "", 0, OFFSET('IWP29'!UnitsOfServicePeriod2, 1, 3, 1, 1))</f>
        <v>0</v>
      </c>
      <c r="H519" s="128">
        <f ca="1">OFFSET('IWP29'!UnitsOfServicePeriod2, 1, 4, 1, 1)</f>
        <v>0</v>
      </c>
      <c r="I519" s="128">
        <f ca="1">IF(OFFSET('IWP29'!UnitsOfServicePeriod2, 1, 5, 1, 1) = "", 0, OFFSET('IWP29'!UnitsOfServicePeriod2, 1, 5, 1, 1))</f>
        <v>0</v>
      </c>
      <c r="J519" s="128">
        <f ca="1">OFFSET('IWP29'!UnitsOfServicePeriod2, 1, 6, 1, 1)</f>
        <v>0</v>
      </c>
      <c r="K519" s="128">
        <f ca="1">IF(OFFSET('IWP29'!UnitsOfServicePeriod2, 1, 7, 1, 1) = "", 0, OFFSET('IWP29'!UnitsOfServicePeriod2, 1, 7, 1, 1))</f>
        <v>0</v>
      </c>
      <c r="L519" s="128">
        <f ca="1">OFFSET('IWP29'!UnitsOfServicePeriod2, 1, 8, 1, 1)</f>
        <v>0</v>
      </c>
      <c r="M519" s="128">
        <f ca="1">IF(OFFSET('IWP29'!UnitsOfServicePeriod2, 1, 9, 1, 1) = "", 0, OFFSET('IWP29'!UnitsOfServicePeriod2, 1, 9, 1, 1))</f>
        <v>0</v>
      </c>
      <c r="N519" s="128">
        <f ca="1">OFFSET('IWP29'!UnitsOfServicePeriod2, 1, 10, 1, 1)</f>
        <v>0</v>
      </c>
      <c r="O519" s="128">
        <f ca="1">IF(OFFSET('IWP29'!UnitsOfServicePeriod2, 1, 11, 1, 1) = "", 0, OFFSET('IWP29'!UnitsOfServicePeriod2, 1, 11, 1, 1))</f>
        <v>0</v>
      </c>
      <c r="P519" s="128">
        <f ca="1">OFFSET('IWP29'!UnitsOfServicePeriod2, 1, 12, 1, 1)</f>
        <v>0</v>
      </c>
      <c r="Q519" s="128">
        <f ca="1">IF(OFFSET('IWP29'!UnitsOfServicePeriod2, 1, 13, 1, 1) = "", 0, OFFSET('IWP29'!UnitsOfServicePeriod2, 1, 13, 1, 1))</f>
        <v>0</v>
      </c>
      <c r="R519" s="128">
        <f ca="1">OFFSET('IWP29'!UnitsOfServicePeriod2, 1, 14, 1, 1)</f>
        <v>0</v>
      </c>
      <c r="S519" s="128">
        <f ca="1">IF(OFFSET('IWP29'!UnitsOfServicePeriod2, 1, 15, 1, 1) = "", 0, OFFSET('IWP29'!UnitsOfServicePeriod2, 1, 15, 1, 1))</f>
        <v>0</v>
      </c>
      <c r="T519" s="128">
        <f ca="1">IF(OFFSET('IWP29'!UnitsOfServicePeriod2, 1, 16, 1, 1) = "", 0, OFFSET('IWP29'!UnitsOfServicePeriod2, 1, 16, 1, 1))</f>
        <v>0</v>
      </c>
      <c r="U519" s="128">
        <f ca="1">OFFSET('IWP29'!UnitsOfServicePeriod2, 1, 17, 1, 1)</f>
        <v>0</v>
      </c>
      <c r="V519" s="128">
        <f ca="1">IF(OFFSET('IWP29'!UnitsOfServicePeriod2, 1, 19, 1, 1) = "", 0, OFFSET('IWP29'!UnitsOfServicePeriod2, 1, 19, 1, 1))</f>
        <v>0</v>
      </c>
      <c r="W519" s="128">
        <f ca="1">OFFSET('IWP29'!UnitsOfServicePeriod2, 1, 20, 1, 1)</f>
        <v>0</v>
      </c>
      <c r="X519" s="128">
        <f ca="1">IF(OFFSET('IWP29'!UnitsOfServicePeriod2, 1, 21, 1, 1) = "", 0, OFFSET('IWP29'!UnitsOfServicePeriod2, 1, 21, 1, 1))</f>
        <v>0</v>
      </c>
      <c r="Y519" s="137">
        <f ca="1">OFFSET('IWP29'!UnitsOfServicePeriod2, 1, 22, 1, 1)</f>
        <v>0</v>
      </c>
    </row>
    <row r="520" spans="1:25">
      <c r="A520" s="125" t="s">
        <v>502</v>
      </c>
      <c r="B520" s="128">
        <v>2</v>
      </c>
      <c r="C520" s="128">
        <v>3</v>
      </c>
      <c r="D520" s="107">
        <f ca="1">IF(OFFSET('IWP29'!UnitsOfServicePeriod2, 2, 0, 1, 1)=DATE(1900,1,0), DATE(1900,1,1),OFFSET('IWP29'!UnitsOfServicePeriod2, 2, 0, 1, 1))</f>
        <v>1</v>
      </c>
      <c r="E520" s="107">
        <f ca="1">IF(OFFSET('IWP29'!UnitsOfServicePeriod2, 2, 1, 1, 1)=DATE(1900,1,0), DATE(1900,1,1),OFFSET('IWP29'!UnitsOfServicePeriod2, 2, 1, 1, 1))</f>
        <v>1</v>
      </c>
      <c r="F520" s="128">
        <f ca="1">OFFSET('IWP29'!UnitsOfServicePeriod2, 2, 2, 1, 1)</f>
        <v>0</v>
      </c>
      <c r="G520" s="128">
        <f ca="1">IF(OFFSET('IWP29'!UnitsOfServicePeriod2, 2, 3, 1, 1) = "", 0, OFFSET('IWP29'!UnitsOfServicePeriod2, 2, 3, 1, 1))</f>
        <v>0</v>
      </c>
      <c r="H520" s="128">
        <f ca="1">OFFSET('IWP29'!UnitsOfServicePeriod2, 2, 4, 1, 1)</f>
        <v>0</v>
      </c>
      <c r="I520" s="128">
        <f ca="1">IF(OFFSET('IWP29'!UnitsOfServicePeriod2, 2, 5, 1, 1) = "", 0, OFFSET('IWP29'!UnitsOfServicePeriod2, 2, 5, 1, 1))</f>
        <v>0</v>
      </c>
      <c r="J520" s="128">
        <f ca="1">OFFSET('IWP29'!UnitsOfServicePeriod2, 2, 6, 1, 1)</f>
        <v>0</v>
      </c>
      <c r="K520" s="128">
        <f ca="1">IF(OFFSET('IWP29'!UnitsOfServicePeriod2, 2, 7, 1, 1) = "", 0, OFFSET('IWP29'!UnitsOfServicePeriod2, 2, 7, 1, 1))</f>
        <v>0</v>
      </c>
      <c r="L520" s="128">
        <f ca="1">OFFSET('IWP29'!UnitsOfServicePeriod2, 2, 8, 1, 1)</f>
        <v>0</v>
      </c>
      <c r="M520" s="128">
        <f ca="1">IF(OFFSET('IWP29'!UnitsOfServicePeriod2, 2, 9, 1, 1) = "", 0, OFFSET('IWP29'!UnitsOfServicePeriod2, 2, 9, 1, 1))</f>
        <v>0</v>
      </c>
      <c r="N520" s="128">
        <f ca="1">OFFSET('IWP29'!UnitsOfServicePeriod2, 2, 10, 1, 1)</f>
        <v>0</v>
      </c>
      <c r="O520" s="128">
        <f ca="1">IF(OFFSET('IWP29'!UnitsOfServicePeriod2, 2, 11, 1, 1) = "", 0, OFFSET('IWP29'!UnitsOfServicePeriod2, 2, 11, 1, 1))</f>
        <v>0</v>
      </c>
      <c r="P520" s="128">
        <f ca="1">OFFSET('IWP29'!UnitsOfServicePeriod2, 2, 12, 1, 1)</f>
        <v>0</v>
      </c>
      <c r="Q520" s="128">
        <f ca="1">IF(OFFSET('IWP29'!UnitsOfServicePeriod2, 2, 13, 1, 1) = "", 0, OFFSET('IWP29'!UnitsOfServicePeriod2, 2, 13, 1, 1))</f>
        <v>0</v>
      </c>
      <c r="R520" s="128">
        <f ca="1">OFFSET('IWP29'!UnitsOfServicePeriod2, 2, 14, 1, 1)</f>
        <v>0</v>
      </c>
      <c r="S520" s="128">
        <f ca="1">IF(OFFSET('IWP29'!UnitsOfServicePeriod2, 2, 15, 1, 1) = "", 0, OFFSET('IWP29'!UnitsOfServicePeriod2, 2, 15, 1, 1))</f>
        <v>0</v>
      </c>
      <c r="T520" s="128">
        <f ca="1">IF(OFFSET('IWP29'!UnitsOfServicePeriod2, 2, 16, 1, 1) = "", 0, OFFSET('IWP29'!UnitsOfServicePeriod2, 2, 16, 1, 1))</f>
        <v>0</v>
      </c>
      <c r="U520" s="128">
        <f ca="1">OFFSET('IWP29'!UnitsOfServicePeriod2, 2, 17, 1, 1)</f>
        <v>0</v>
      </c>
      <c r="V520" s="128">
        <f ca="1">IF(OFFSET('IWP29'!UnitsOfServicePeriod2, 2, 19, 1, 1) = "", 0, OFFSET('IWP29'!UnitsOfServicePeriod2, 2, 19, 1, 1))</f>
        <v>0</v>
      </c>
      <c r="W520" s="128">
        <f ca="1">OFFSET('IWP29'!UnitsOfServicePeriod2, 2, 20, 1, 1)</f>
        <v>0</v>
      </c>
      <c r="X520" s="128">
        <f ca="1">IF(OFFSET('IWP29'!UnitsOfServicePeriod2, 2, 21, 1, 1) = "", 0, OFFSET('IWP29'!UnitsOfServicePeriod2, 2, 21, 1, 1))</f>
        <v>0</v>
      </c>
      <c r="Y520" s="137">
        <f ca="1">OFFSET('IWP29'!UnitsOfServicePeriod2, 2, 22, 1, 1)</f>
        <v>0</v>
      </c>
    </row>
    <row r="521" spans="1:25">
      <c r="A521" s="125" t="s">
        <v>502</v>
      </c>
      <c r="B521" s="128">
        <v>2</v>
      </c>
      <c r="C521" s="128">
        <v>4</v>
      </c>
      <c r="D521" s="107">
        <f ca="1">IF(OFFSET('IWP29'!UnitsOfServicePeriod2, 3, 0, 1, 1)=DATE(1900,1,0), DATE(1900,1,1),OFFSET('IWP29'!UnitsOfServicePeriod2, 3, 0, 1, 1))</f>
        <v>1</v>
      </c>
      <c r="E521" s="107">
        <f ca="1">IF(OFFSET('IWP29'!UnitsOfServicePeriod2, 3, 1, 1, 1)=DATE(1900,1,0), DATE(1900,1,1),OFFSET('IWP29'!UnitsOfServicePeriod2, 3, 1, 1, 1))</f>
        <v>1</v>
      </c>
      <c r="F521" s="128">
        <f ca="1">OFFSET('IWP29'!UnitsOfServicePeriod2, 3, 2, 1, 1)</f>
        <v>0</v>
      </c>
      <c r="G521" s="128">
        <f ca="1">IF(OFFSET('IWP29'!UnitsOfServicePeriod2, 3, 3, 1, 1) = "", 0, OFFSET('IWP29'!UnitsOfServicePeriod2, 3, 3, 1, 1))</f>
        <v>0</v>
      </c>
      <c r="H521" s="128">
        <f ca="1">OFFSET('IWP29'!UnitsOfServicePeriod2, 3, 4, 1, 1)</f>
        <v>0</v>
      </c>
      <c r="I521" s="128">
        <f ca="1">IF(OFFSET('IWP29'!UnitsOfServicePeriod2, 3, 5, 1, 1) = "", 0, OFFSET('IWP29'!UnitsOfServicePeriod2, 3, 5, 1, 1))</f>
        <v>0</v>
      </c>
      <c r="J521" s="128">
        <f ca="1">OFFSET('IWP29'!UnitsOfServicePeriod2, 3, 6, 1, 1)</f>
        <v>0</v>
      </c>
      <c r="K521" s="128">
        <f ca="1">IF(OFFSET('IWP29'!UnitsOfServicePeriod2, 3, 7, 1, 1) = "", 0, OFFSET('IWP29'!UnitsOfServicePeriod2, 3, 7, 1, 1))</f>
        <v>0</v>
      </c>
      <c r="L521" s="128">
        <f ca="1">OFFSET('IWP29'!UnitsOfServicePeriod2, 3, 8, 1, 1)</f>
        <v>0</v>
      </c>
      <c r="M521" s="128">
        <f ca="1">IF(OFFSET('IWP29'!UnitsOfServicePeriod2, 3, 9, 1, 1) = "", 0, OFFSET('IWP29'!UnitsOfServicePeriod2, 3, 9, 1, 1))</f>
        <v>0</v>
      </c>
      <c r="N521" s="128">
        <f ca="1">OFFSET('IWP29'!UnitsOfServicePeriod2, 3, 10, 1, 1)</f>
        <v>0</v>
      </c>
      <c r="O521" s="128">
        <f ca="1">IF(OFFSET('IWP29'!UnitsOfServicePeriod2, 3, 11, 1, 1) = "", 0, OFFSET('IWP29'!UnitsOfServicePeriod2, 3, 11, 1, 1))</f>
        <v>0</v>
      </c>
      <c r="P521" s="128">
        <f ca="1">OFFSET('IWP29'!UnitsOfServicePeriod2, 3, 12, 1, 1)</f>
        <v>0</v>
      </c>
      <c r="Q521" s="128">
        <f ca="1">IF(OFFSET('IWP29'!UnitsOfServicePeriod2, 3, 13, 1, 1) = "", 0, OFFSET('IWP29'!UnitsOfServicePeriod2, 3, 13, 1, 1))</f>
        <v>0</v>
      </c>
      <c r="R521" s="128">
        <f ca="1">OFFSET('IWP29'!UnitsOfServicePeriod2, 3, 14, 1, 1)</f>
        <v>0</v>
      </c>
      <c r="S521" s="128">
        <f ca="1">IF(OFFSET('IWP29'!UnitsOfServicePeriod2, 3, 15, 1, 1) = "", 0, OFFSET('IWP29'!UnitsOfServicePeriod2, 3, 15, 1, 1))</f>
        <v>0</v>
      </c>
      <c r="T521" s="128">
        <f ca="1">IF(OFFSET('IWP29'!UnitsOfServicePeriod2, 3, 16, 1, 1) = "", 0, OFFSET('IWP29'!UnitsOfServicePeriod2, 3, 16, 1, 1))</f>
        <v>0</v>
      </c>
      <c r="U521" s="128">
        <f ca="1">OFFSET('IWP29'!UnitsOfServicePeriod2, 3, 17, 1, 1)</f>
        <v>0</v>
      </c>
      <c r="V521" s="128">
        <f ca="1">IF(OFFSET('IWP29'!UnitsOfServicePeriod2, 3, 19, 1, 1) = "", 0, OFFSET('IWP29'!UnitsOfServicePeriod2, 3, 19, 1, 1))</f>
        <v>0</v>
      </c>
      <c r="W521" s="128">
        <f ca="1">OFFSET('IWP29'!UnitsOfServicePeriod2, 3, 20, 1, 1)</f>
        <v>0</v>
      </c>
      <c r="X521" s="128">
        <f ca="1">IF(OFFSET('IWP29'!UnitsOfServicePeriod2, 3, 21, 1, 1) = "", 0, OFFSET('IWP29'!UnitsOfServicePeriod2, 3, 21, 1, 1))</f>
        <v>0</v>
      </c>
      <c r="Y521" s="137">
        <f ca="1">OFFSET('IWP29'!UnitsOfServicePeriod2, 3, 22, 1, 1)</f>
        <v>0</v>
      </c>
    </row>
    <row r="522" spans="1:25">
      <c r="A522" s="125" t="s">
        <v>502</v>
      </c>
      <c r="B522" s="128">
        <v>2</v>
      </c>
      <c r="C522" s="128">
        <v>5</v>
      </c>
      <c r="D522" s="107">
        <f ca="1">IF(OFFSET('IWP29'!UnitsOfServicePeriod2, 4, 0, 1, 1)=DATE(1900,1,0), DATE(1900,1,1),OFFSET('IWP29'!UnitsOfServicePeriod2, 4, 0, 1, 1))</f>
        <v>1</v>
      </c>
      <c r="E522" s="107">
        <f ca="1">IF(OFFSET('IWP29'!UnitsOfServicePeriod2, 4, 1, 1, 1)=DATE(1900,1,0), DATE(1900,1,1),OFFSET('IWP29'!UnitsOfServicePeriod2, 4, 1, 1, 1))</f>
        <v>1</v>
      </c>
      <c r="F522" s="128">
        <f ca="1">OFFSET('IWP29'!UnitsOfServicePeriod2, 4, 2, 1, 1)</f>
        <v>0</v>
      </c>
      <c r="G522" s="128">
        <f ca="1">IF(OFFSET('IWP29'!UnitsOfServicePeriod2, 4, 3, 1, 1) = "", 0, OFFSET('IWP29'!UnitsOfServicePeriod2, 4, 3, 1, 1))</f>
        <v>0</v>
      </c>
      <c r="H522" s="128">
        <f ca="1">OFFSET('IWP29'!UnitsOfServicePeriod2, 4, 4, 1, 1)</f>
        <v>0</v>
      </c>
      <c r="I522" s="128">
        <f ca="1">IF(OFFSET('IWP29'!UnitsOfServicePeriod2, 4, 5, 1, 1) = "", 0, OFFSET('IWP29'!UnitsOfServicePeriod2, 4, 5, 1, 1))</f>
        <v>0</v>
      </c>
      <c r="J522" s="128">
        <f ca="1">OFFSET('IWP29'!UnitsOfServicePeriod2, 4, 6, 1, 1)</f>
        <v>0</v>
      </c>
      <c r="K522" s="128">
        <f ca="1">IF(OFFSET('IWP29'!UnitsOfServicePeriod2, 4, 7, 1, 1) = "", 0, OFFSET('IWP29'!UnitsOfServicePeriod2, 4, 7, 1, 1))</f>
        <v>0</v>
      </c>
      <c r="L522" s="128">
        <f ca="1">OFFSET('IWP29'!UnitsOfServicePeriod2, 4, 8, 1, 1)</f>
        <v>0</v>
      </c>
      <c r="M522" s="128">
        <f ca="1">IF(OFFSET('IWP29'!UnitsOfServicePeriod2, 4, 9, 1, 1) = "", 0, OFFSET('IWP29'!UnitsOfServicePeriod2, 4, 9, 1, 1))</f>
        <v>0</v>
      </c>
      <c r="N522" s="128">
        <f ca="1">OFFSET('IWP29'!UnitsOfServicePeriod2, 4, 10, 1, 1)</f>
        <v>0</v>
      </c>
      <c r="O522" s="128">
        <f ca="1">IF(OFFSET('IWP29'!UnitsOfServicePeriod2, 4, 11, 1, 1) = "", 0, OFFSET('IWP29'!UnitsOfServicePeriod2, 4, 11, 1, 1))</f>
        <v>0</v>
      </c>
      <c r="P522" s="128">
        <f ca="1">OFFSET('IWP29'!UnitsOfServicePeriod2, 4, 12, 1, 1)</f>
        <v>0</v>
      </c>
      <c r="Q522" s="128">
        <f ca="1">IF(OFFSET('IWP29'!UnitsOfServicePeriod2, 4, 13, 1, 1) = "", 0, OFFSET('IWP29'!UnitsOfServicePeriod2, 4, 13, 1, 1))</f>
        <v>0</v>
      </c>
      <c r="R522" s="128">
        <f ca="1">OFFSET('IWP29'!UnitsOfServicePeriod2, 4, 14, 1, 1)</f>
        <v>0</v>
      </c>
      <c r="S522" s="128">
        <f ca="1">IF(OFFSET('IWP29'!UnitsOfServicePeriod2, 4, 15, 1, 1) = "", 0, OFFSET('IWP29'!UnitsOfServicePeriod2, 4, 15, 1, 1))</f>
        <v>0</v>
      </c>
      <c r="T522" s="128">
        <f ca="1">IF(OFFSET('IWP29'!UnitsOfServicePeriod2, 4, 16, 1, 1) = "", 0, OFFSET('IWP29'!UnitsOfServicePeriod2, 4, 16, 1, 1))</f>
        <v>0</v>
      </c>
      <c r="U522" s="128">
        <f ca="1">OFFSET('IWP29'!UnitsOfServicePeriod2, 4, 17, 1, 1)</f>
        <v>0</v>
      </c>
      <c r="V522" s="128">
        <f ca="1">IF(OFFSET('IWP29'!UnitsOfServicePeriod2, 4, 19, 1, 1) = "", 0, OFFSET('IWP29'!UnitsOfServicePeriod2, 4, 19, 1, 1))</f>
        <v>0</v>
      </c>
      <c r="W522" s="128">
        <f ca="1">OFFSET('IWP29'!UnitsOfServicePeriod2, 4, 20, 1, 1)</f>
        <v>0</v>
      </c>
      <c r="X522" s="128">
        <f ca="1">IF(OFFSET('IWP29'!UnitsOfServicePeriod2, 4, 21, 1, 1) = "", 0, OFFSET('IWP29'!UnitsOfServicePeriod2, 4, 21, 1, 1))</f>
        <v>0</v>
      </c>
      <c r="Y522" s="137">
        <f ca="1">OFFSET('IWP29'!UnitsOfServicePeriod2, 4, 22, 1, 1)</f>
        <v>0</v>
      </c>
    </row>
    <row r="523" spans="1:25">
      <c r="A523" s="125" t="s">
        <v>502</v>
      </c>
      <c r="B523" s="128">
        <v>2</v>
      </c>
      <c r="C523" s="128">
        <v>6</v>
      </c>
      <c r="D523" s="107">
        <f ca="1">IF(OFFSET('IWP29'!UnitsOfServicePeriod2, 5, 0, 1, 1)=DATE(1900,1,0), DATE(1900,1,1),OFFSET('IWP29'!UnitsOfServicePeriod2, 5, 0, 1, 1))</f>
        <v>1</v>
      </c>
      <c r="E523" s="107">
        <f ca="1">IF(OFFSET('IWP29'!UnitsOfServicePeriod2, 5, 1, 1, 1)=DATE(1900,1,0), DATE(1900,1,1),OFFSET('IWP29'!UnitsOfServicePeriod2, 5, 1, 1, 1))</f>
        <v>1</v>
      </c>
      <c r="F523" s="128">
        <f ca="1">OFFSET('IWP29'!UnitsOfServicePeriod2, 5, 2, 1, 1)</f>
        <v>0</v>
      </c>
      <c r="G523" s="128">
        <f ca="1">IF(OFFSET('IWP29'!UnitsOfServicePeriod2, 5, 3, 1, 1) = "", 0, OFFSET('IWP29'!UnitsOfServicePeriod2, 5, 3, 1, 1))</f>
        <v>0</v>
      </c>
      <c r="H523" s="128">
        <f ca="1">OFFSET('IWP29'!UnitsOfServicePeriod2, 5, 4, 1, 1)</f>
        <v>0</v>
      </c>
      <c r="I523" s="128">
        <f ca="1">IF(OFFSET('IWP29'!UnitsOfServicePeriod2, 5, 5, 1, 1) = "", 0, OFFSET('IWP29'!UnitsOfServicePeriod2, 5, 5, 1, 1))</f>
        <v>0</v>
      </c>
      <c r="J523" s="128">
        <f ca="1">OFFSET('IWP29'!UnitsOfServicePeriod2, 5, 6, 1, 1)</f>
        <v>0</v>
      </c>
      <c r="K523" s="128">
        <f ca="1">IF(OFFSET('IWP29'!UnitsOfServicePeriod2, 5, 7, 1, 1) = "", 0, OFFSET('IWP29'!UnitsOfServicePeriod2, 5, 7, 1, 1))</f>
        <v>0</v>
      </c>
      <c r="L523" s="128">
        <f ca="1">OFFSET('IWP29'!UnitsOfServicePeriod2, 5, 8, 1, 1)</f>
        <v>0</v>
      </c>
      <c r="M523" s="128">
        <f ca="1">IF(OFFSET('IWP29'!UnitsOfServicePeriod2, 5, 9, 1, 1) = "", 0, OFFSET('IWP29'!UnitsOfServicePeriod2, 5, 9, 1, 1))</f>
        <v>0</v>
      </c>
      <c r="N523" s="128">
        <f ca="1">OFFSET('IWP29'!UnitsOfServicePeriod2, 5, 10, 1, 1)</f>
        <v>0</v>
      </c>
      <c r="O523" s="128">
        <f ca="1">IF(OFFSET('IWP29'!UnitsOfServicePeriod2, 5, 11, 1, 1) = "", 0, OFFSET('IWP29'!UnitsOfServicePeriod2, 5, 11, 1, 1))</f>
        <v>0</v>
      </c>
      <c r="P523" s="128">
        <f ca="1">OFFSET('IWP29'!UnitsOfServicePeriod2, 5, 12, 1, 1)</f>
        <v>0</v>
      </c>
      <c r="Q523" s="128">
        <f ca="1">IF(OFFSET('IWP29'!UnitsOfServicePeriod2, 5, 13, 1, 1) = "", 0, OFFSET('IWP29'!UnitsOfServicePeriod2, 5, 13, 1, 1))</f>
        <v>0</v>
      </c>
      <c r="R523" s="128">
        <f ca="1">OFFSET('IWP29'!UnitsOfServicePeriod2, 5, 14, 1, 1)</f>
        <v>0</v>
      </c>
      <c r="S523" s="128">
        <f ca="1">IF(OFFSET('IWP29'!UnitsOfServicePeriod2, 5, 15, 1, 1) = "", 0, OFFSET('IWP29'!UnitsOfServicePeriod2, 5, 15, 1, 1))</f>
        <v>0</v>
      </c>
      <c r="T523" s="128">
        <f ca="1">IF(OFFSET('IWP29'!UnitsOfServicePeriod2, 5, 16, 1, 1) = "", 0, OFFSET('IWP29'!UnitsOfServicePeriod2, 5, 16, 1, 1))</f>
        <v>0</v>
      </c>
      <c r="U523" s="128">
        <f ca="1">OFFSET('IWP29'!UnitsOfServicePeriod2, 5, 17, 1, 1)</f>
        <v>0</v>
      </c>
      <c r="V523" s="128">
        <f ca="1">IF(OFFSET('IWP29'!UnitsOfServicePeriod2, 5, 19, 1, 1) = "", 0, OFFSET('IWP29'!UnitsOfServicePeriod2, 5, 19, 1, 1))</f>
        <v>0</v>
      </c>
      <c r="W523" s="128">
        <f ca="1">OFFSET('IWP29'!UnitsOfServicePeriod2, 5, 20, 1, 1)</f>
        <v>0</v>
      </c>
      <c r="X523" s="128">
        <f ca="1">IF(OFFSET('IWP29'!UnitsOfServicePeriod2, 5, 21, 1, 1) = "", 0, OFFSET('IWP29'!UnitsOfServicePeriod2, 5, 21, 1, 1))</f>
        <v>0</v>
      </c>
      <c r="Y523" s="137">
        <f ca="1">OFFSET('IWP29'!UnitsOfServicePeriod2, 5, 22, 1, 1)</f>
        <v>0</v>
      </c>
    </row>
    <row r="524" spans="1:25">
      <c r="A524" s="125" t="s">
        <v>503</v>
      </c>
      <c r="B524" s="128">
        <v>1</v>
      </c>
      <c r="C524" s="128">
        <v>1</v>
      </c>
      <c r="D524" s="107">
        <f ca="1">IF(OFFSET('IWP30'!UnitsOfServicePeriod1, 0, 0, 1, 1)=DATE(1900,1,0), DATE(1900,1,1),OFFSET('IWP30'!UnitsOfServicePeriod1, 0, 0, 1, 1))</f>
        <v>1</v>
      </c>
      <c r="E524" s="107">
        <f ca="1">IF(OFFSET('IWP30'!UnitsOfServicePeriod1, 0, 1, 1, 1)=DATE(1900,1,0), DATE(1900,1,1),OFFSET('IWP30'!UnitsOfServicePeriod1, 0, 1, 1, 1))</f>
        <v>1</v>
      </c>
      <c r="F524" s="128">
        <f ca="1">OFFSET('IWP30'!UnitsOfServicePeriod1, 0, 2, 1, 1)</f>
        <v>0</v>
      </c>
      <c r="G524" s="128">
        <f ca="1">IF(OFFSET('IWP30'!UnitsOfServicePeriod1, 0, 3, 1, 1) = "", 0, OFFSET('IWP30'!UnitsOfServicePeriod1, 0, 3, 1, 1))</f>
        <v>0</v>
      </c>
      <c r="H524" s="128">
        <f ca="1">OFFSET('IWP30'!UnitsOfServicePeriod1, 0, 4, 1, 1)</f>
        <v>0</v>
      </c>
      <c r="I524" s="128">
        <f ca="1">IF(OFFSET('IWP30'!UnitsOfServicePeriod1, 0, 5, 1, 1) = "", 0, OFFSET('IWP30'!UnitsOfServicePeriod1, 0, 5, 1, 1))</f>
        <v>0</v>
      </c>
      <c r="J524" s="128">
        <f ca="1">OFFSET('IWP30'!UnitsOfServicePeriod1, 0, 6, 1, 1)</f>
        <v>0</v>
      </c>
      <c r="K524" s="128">
        <f ca="1">IF(OFFSET('IWP30'!UnitsOfServicePeriod1, 0, 7, 1, 1) = "", 0, OFFSET('IWP30'!UnitsOfServicePeriod1, 0, 7, 1, 1))</f>
        <v>0</v>
      </c>
      <c r="L524" s="128">
        <f ca="1">OFFSET('IWP30'!UnitsOfServicePeriod1, 0, 8, 1, 1)</f>
        <v>0</v>
      </c>
      <c r="M524" s="128">
        <f ca="1">IF(OFFSET('IWP30'!UnitsOfServicePeriod1, 0, 9, 1, 1) = "", 0, OFFSET('IWP30'!UnitsOfServicePeriod1, 0, 9, 1, 1))</f>
        <v>0</v>
      </c>
      <c r="N524" s="128">
        <f ca="1">OFFSET('IWP30'!UnitsOfServicePeriod1, 0, 10, 1, 1)</f>
        <v>0</v>
      </c>
      <c r="O524" s="128">
        <f ca="1">IF(OFFSET('IWP30'!UnitsOfServicePeriod1, 0, 11, 1, 1) = "", 0, OFFSET('IWP30'!UnitsOfServicePeriod1, 0, 11, 1, 1))</f>
        <v>0</v>
      </c>
      <c r="P524" s="128">
        <f ca="1">OFFSET('IWP30'!UnitsOfServicePeriod1, 0, 12, 1, 1)</f>
        <v>0</v>
      </c>
      <c r="Q524" s="128">
        <f ca="1">IF(OFFSET('IWP30'!UnitsOfServicePeriod1, 0, 13, 1, 1) = "", 0, OFFSET('IWP30'!UnitsOfServicePeriod1, 0, 13, 1, 1))</f>
        <v>0</v>
      </c>
      <c r="R524" s="128">
        <f ca="1">OFFSET('IWP30'!UnitsOfServicePeriod1, 0, 14, 1, 1)</f>
        <v>0</v>
      </c>
      <c r="S524" s="128">
        <f ca="1">IF(OFFSET('IWP30'!UnitsOfServicePeriod1, 0, 15, 1, 1) = "", 0, OFFSET('IWP30'!UnitsOfServicePeriod1, 0, 15, 1, 1))</f>
        <v>0</v>
      </c>
      <c r="T524" s="128">
        <f ca="1">IF(OFFSET('IWP30'!UnitsOfServicePeriod1, 0, 16, 1, 1) = "", 0, OFFSET('IWP30'!UnitsOfServicePeriod1, 0, 16, 1, 1))</f>
        <v>0</v>
      </c>
      <c r="U524" s="128">
        <f ca="1">OFFSET('IWP30'!UnitsOfServicePeriod1, 0, 17, 1, 1)</f>
        <v>0</v>
      </c>
      <c r="V524" s="128">
        <f ca="1">IF(OFFSET('IWP30'!UnitsOfServicePeriod1, 0, 19, 1, 1) = "", 0, OFFSET('IWP30'!UnitsOfServicePeriod1, 0, 19, 1, 1))</f>
        <v>0</v>
      </c>
      <c r="W524" s="128">
        <f ca="1">OFFSET('IWP30'!UnitsOfServicePeriod1, 0, 20, 1, 1)</f>
        <v>0</v>
      </c>
      <c r="X524" s="128">
        <f ca="1">IF(OFFSET('IWP30'!UnitsOfServicePeriod1, 0, 21, 1, 1) = "", 0, OFFSET('IWP30'!UnitsOfServicePeriod1, 0, 21, 1, 1))</f>
        <v>0</v>
      </c>
      <c r="Y524" s="137">
        <f ca="1">OFFSET('IWP30'!UnitsOfServicePeriod1, 0, 22, 1, 1)</f>
        <v>0</v>
      </c>
    </row>
    <row r="525" spans="1:25">
      <c r="A525" s="125" t="s">
        <v>503</v>
      </c>
      <c r="B525" s="128">
        <v>1</v>
      </c>
      <c r="C525" s="128">
        <v>2</v>
      </c>
      <c r="D525" s="107">
        <f ca="1">IF(OFFSET('IWP30'!UnitsOfServicePeriod1, 1, 0, 1, 1)=DATE(1900,1,0), DATE(1900,1,1),OFFSET('IWP30'!UnitsOfServicePeriod1, 1, 0, 1, 1))</f>
        <v>1</v>
      </c>
      <c r="E525" s="107">
        <f ca="1">IF(OFFSET('IWP30'!UnitsOfServicePeriod1, 1, 1, 1, 1)=DATE(1900,1,0), DATE(1900,1,1),OFFSET('IWP30'!UnitsOfServicePeriod1, 1, 1, 1, 1))</f>
        <v>1</v>
      </c>
      <c r="F525" s="128">
        <f ca="1">OFFSET('IWP30'!UnitsOfServicePeriod1, 1, 2, 1, 1)</f>
        <v>0</v>
      </c>
      <c r="G525" s="128">
        <f ca="1">IF(OFFSET('IWP30'!UnitsOfServicePeriod1, 1, 3, 1, 1) = "", 0, OFFSET('IWP30'!UnitsOfServicePeriod1, 1, 3, 1, 1))</f>
        <v>0</v>
      </c>
      <c r="H525" s="128">
        <f ca="1">OFFSET('IWP30'!UnitsOfServicePeriod1, 1, 4, 1, 1)</f>
        <v>0</v>
      </c>
      <c r="I525" s="128">
        <f ca="1">IF(OFFSET('IWP30'!UnitsOfServicePeriod1, 1, 5, 1, 1) = "", 0, OFFSET('IWP30'!UnitsOfServicePeriod1, 1, 5, 1, 1))</f>
        <v>0</v>
      </c>
      <c r="J525" s="128">
        <f ca="1">OFFSET('IWP30'!UnitsOfServicePeriod1, 1, 6, 1, 1)</f>
        <v>0</v>
      </c>
      <c r="K525" s="128">
        <f ca="1">IF(OFFSET('IWP30'!UnitsOfServicePeriod1, 1, 7, 1, 1) = "", 0, OFFSET('IWP30'!UnitsOfServicePeriod1, 1, 7, 1, 1))</f>
        <v>0</v>
      </c>
      <c r="L525" s="128">
        <f ca="1">OFFSET('IWP30'!UnitsOfServicePeriod1, 1, 8, 1, 1)</f>
        <v>0</v>
      </c>
      <c r="M525" s="128">
        <f ca="1">IF(OFFSET('IWP30'!UnitsOfServicePeriod1, 1, 9, 1, 1) = "", 0, OFFSET('IWP30'!UnitsOfServicePeriod1, 1, 9, 1, 1))</f>
        <v>0</v>
      </c>
      <c r="N525" s="128">
        <f ca="1">OFFSET('IWP30'!UnitsOfServicePeriod1, 1, 10, 1, 1)</f>
        <v>0</v>
      </c>
      <c r="O525" s="128">
        <f ca="1">IF(OFFSET('IWP30'!UnitsOfServicePeriod1, 1, 11, 1, 1) = "", 0, OFFSET('IWP30'!UnitsOfServicePeriod1, 1, 11, 1, 1))</f>
        <v>0</v>
      </c>
      <c r="P525" s="128">
        <f ca="1">OFFSET('IWP30'!UnitsOfServicePeriod1, 1, 12, 1, 1)</f>
        <v>0</v>
      </c>
      <c r="Q525" s="128">
        <f ca="1">IF(OFFSET('IWP30'!UnitsOfServicePeriod1, 1, 13, 1, 1) = "", 0, OFFSET('IWP30'!UnitsOfServicePeriod1, 1, 13, 1, 1))</f>
        <v>0</v>
      </c>
      <c r="R525" s="128">
        <f ca="1">OFFSET('IWP30'!UnitsOfServicePeriod1, 1, 14, 1, 1)</f>
        <v>0</v>
      </c>
      <c r="S525" s="128">
        <f ca="1">IF(OFFSET('IWP30'!UnitsOfServicePeriod1, 1, 15, 1, 1) = "", 0, OFFSET('IWP30'!UnitsOfServicePeriod1, 1, 15, 1, 1))</f>
        <v>0</v>
      </c>
      <c r="T525" s="128">
        <f ca="1">IF(OFFSET('IWP30'!UnitsOfServicePeriod1, 1, 16, 1, 1) = "", 0, OFFSET('IWP30'!UnitsOfServicePeriod1, 1, 16, 1, 1))</f>
        <v>0</v>
      </c>
      <c r="U525" s="128">
        <f ca="1">OFFSET('IWP30'!UnitsOfServicePeriod1, 1, 17, 1, 1)</f>
        <v>0</v>
      </c>
      <c r="V525" s="128">
        <f ca="1">IF(OFFSET('IWP30'!UnitsOfServicePeriod1, 1, 19, 1, 1) = "", 0, OFFSET('IWP30'!UnitsOfServicePeriod1, 1, 19, 1, 1))</f>
        <v>0</v>
      </c>
      <c r="W525" s="128">
        <f ca="1">OFFSET('IWP30'!UnitsOfServicePeriod1, 1, 20, 1, 1)</f>
        <v>0</v>
      </c>
      <c r="X525" s="128">
        <f ca="1">IF(OFFSET('IWP30'!UnitsOfServicePeriod1, 1, 21, 1, 1) = "", 0, OFFSET('IWP30'!UnitsOfServicePeriod1, 1, 21, 1, 1))</f>
        <v>0</v>
      </c>
      <c r="Y525" s="137">
        <f ca="1">OFFSET('IWP30'!UnitsOfServicePeriod1, 1, 22, 1, 1)</f>
        <v>0</v>
      </c>
    </row>
    <row r="526" spans="1:25">
      <c r="A526" s="125" t="s">
        <v>503</v>
      </c>
      <c r="B526" s="128">
        <v>1</v>
      </c>
      <c r="C526" s="128">
        <v>3</v>
      </c>
      <c r="D526" s="107">
        <f ca="1">IF(OFFSET('IWP30'!UnitsOfServicePeriod1, 2, 0, 1, 1)=DATE(1900,1,0), DATE(1900,1,1),OFFSET('IWP30'!UnitsOfServicePeriod1, 2, 0, 1, 1))</f>
        <v>1</v>
      </c>
      <c r="E526" s="107">
        <f ca="1">IF(OFFSET('IWP30'!UnitsOfServicePeriod1, 2, 1, 1, 1)=DATE(1900,1,0), DATE(1900,1,1),OFFSET('IWP30'!UnitsOfServicePeriod1, 2, 1, 1, 1))</f>
        <v>1</v>
      </c>
      <c r="F526" s="128">
        <f ca="1">OFFSET('IWP30'!UnitsOfServicePeriod1, 2, 2, 1, 1)</f>
        <v>0</v>
      </c>
      <c r="G526" s="128">
        <f ca="1">IF(OFFSET('IWP30'!UnitsOfServicePeriod1, 2, 3, 1, 1) = "", 0, OFFSET('IWP30'!UnitsOfServicePeriod1, 2, 3, 1, 1))</f>
        <v>0</v>
      </c>
      <c r="H526" s="128">
        <f ca="1">OFFSET('IWP30'!UnitsOfServicePeriod1, 2, 4, 1, 1)</f>
        <v>0</v>
      </c>
      <c r="I526" s="128">
        <f ca="1">IF(OFFSET('IWP30'!UnitsOfServicePeriod1, 2, 5, 1, 1) = "", 0, OFFSET('IWP30'!UnitsOfServicePeriod1, 2, 5, 1, 1))</f>
        <v>0</v>
      </c>
      <c r="J526" s="128">
        <f ca="1">OFFSET('IWP30'!UnitsOfServicePeriod1, 2, 6, 1, 1)</f>
        <v>0</v>
      </c>
      <c r="K526" s="128">
        <f ca="1">IF(OFFSET('IWP30'!UnitsOfServicePeriod1, 2, 7, 1, 1) = "", 0, OFFSET('IWP30'!UnitsOfServicePeriod1, 2, 7, 1, 1))</f>
        <v>0</v>
      </c>
      <c r="L526" s="128">
        <f ca="1">OFFSET('IWP30'!UnitsOfServicePeriod1, 2, 8, 1, 1)</f>
        <v>0</v>
      </c>
      <c r="M526" s="128">
        <f ca="1">IF(OFFSET('IWP30'!UnitsOfServicePeriod1, 2, 9, 1, 1) = "", 0, OFFSET('IWP30'!UnitsOfServicePeriod1, 2, 9, 1, 1))</f>
        <v>0</v>
      </c>
      <c r="N526" s="128">
        <f ca="1">OFFSET('IWP30'!UnitsOfServicePeriod1, 2, 10, 1, 1)</f>
        <v>0</v>
      </c>
      <c r="O526" s="128">
        <f ca="1">IF(OFFSET('IWP30'!UnitsOfServicePeriod1, 2, 11, 1, 1) = "", 0, OFFSET('IWP30'!UnitsOfServicePeriod1, 2, 11, 1, 1))</f>
        <v>0</v>
      </c>
      <c r="P526" s="128">
        <f ca="1">OFFSET('IWP30'!UnitsOfServicePeriod1, 2, 12, 1, 1)</f>
        <v>0</v>
      </c>
      <c r="Q526" s="128">
        <f ca="1">IF(OFFSET('IWP30'!UnitsOfServicePeriod1, 2, 13, 1, 1) = "", 0, OFFSET('IWP30'!UnitsOfServicePeriod1, 2, 13, 1, 1))</f>
        <v>0</v>
      </c>
      <c r="R526" s="128">
        <f ca="1">OFFSET('IWP30'!UnitsOfServicePeriod1, 2, 14, 1, 1)</f>
        <v>0</v>
      </c>
      <c r="S526" s="128">
        <f ca="1">IF(OFFSET('IWP30'!UnitsOfServicePeriod1, 2, 15, 1, 1) = "", 0, OFFSET('IWP30'!UnitsOfServicePeriod1, 2, 15, 1, 1))</f>
        <v>0</v>
      </c>
      <c r="T526" s="128">
        <f ca="1">IF(OFFSET('IWP30'!UnitsOfServicePeriod1, 2, 16, 1, 1) = "", 0, OFFSET('IWP30'!UnitsOfServicePeriod1, 2, 16, 1, 1))</f>
        <v>0</v>
      </c>
      <c r="U526" s="128">
        <f ca="1">OFFSET('IWP30'!UnitsOfServicePeriod1, 2, 17, 1, 1)</f>
        <v>0</v>
      </c>
      <c r="V526" s="128">
        <f ca="1">IF(OFFSET('IWP30'!UnitsOfServicePeriod1, 2, 19, 1, 1) = "", 0, OFFSET('IWP30'!UnitsOfServicePeriod1, 2, 19, 1, 1))</f>
        <v>0</v>
      </c>
      <c r="W526" s="128">
        <f ca="1">OFFSET('IWP30'!UnitsOfServicePeriod1, 2, 20, 1, 1)</f>
        <v>0</v>
      </c>
      <c r="X526" s="128">
        <f ca="1">IF(OFFSET('IWP30'!UnitsOfServicePeriod1, 2, 21, 1, 1) = "", 0, OFFSET('IWP30'!UnitsOfServicePeriod1, 2, 21, 1, 1))</f>
        <v>0</v>
      </c>
      <c r="Y526" s="137">
        <f ca="1">OFFSET('IWP30'!UnitsOfServicePeriod1, 2, 22, 1, 1)</f>
        <v>0</v>
      </c>
    </row>
    <row r="527" spans="1:25">
      <c r="A527" s="125" t="s">
        <v>503</v>
      </c>
      <c r="B527" s="128">
        <v>1</v>
      </c>
      <c r="C527" s="128">
        <v>4</v>
      </c>
      <c r="D527" s="107">
        <f ca="1">IF(OFFSET('IWP30'!UnitsOfServicePeriod1, 3, 0, 1, 1)=DATE(1900,1,0), DATE(1900,1,1),OFFSET('IWP30'!UnitsOfServicePeriod1, 3, 0, 1, 1))</f>
        <v>1</v>
      </c>
      <c r="E527" s="107">
        <f ca="1">IF(OFFSET('IWP30'!UnitsOfServicePeriod1, 3, 1, 1, 1)=DATE(1900,1,0), DATE(1900,1,1),OFFSET('IWP30'!UnitsOfServicePeriod1, 3, 1, 1, 1))</f>
        <v>1</v>
      </c>
      <c r="F527" s="128">
        <f ca="1">OFFSET('IWP30'!UnitsOfServicePeriod1, 3, 2, 1, 1)</f>
        <v>0</v>
      </c>
      <c r="G527" s="128">
        <f ca="1">IF(OFFSET('IWP30'!UnitsOfServicePeriod1, 3, 3, 1, 1) = "", 0, OFFSET('IWP30'!UnitsOfServicePeriod1, 3, 3, 1, 1))</f>
        <v>0</v>
      </c>
      <c r="H527" s="128">
        <f ca="1">OFFSET('IWP30'!UnitsOfServicePeriod1, 3, 4, 1, 1)</f>
        <v>0</v>
      </c>
      <c r="I527" s="128">
        <f ca="1">IF(OFFSET('IWP30'!UnitsOfServicePeriod1, 3, 5, 1, 1) = "", 0, OFFSET('IWP30'!UnitsOfServicePeriod1, 3, 5, 1, 1))</f>
        <v>0</v>
      </c>
      <c r="J527" s="128">
        <f ca="1">OFFSET('IWP30'!UnitsOfServicePeriod1, 3, 6, 1, 1)</f>
        <v>0</v>
      </c>
      <c r="K527" s="128">
        <f ca="1">IF(OFFSET('IWP30'!UnitsOfServicePeriod1, 3, 7, 1, 1) = "", 0, OFFSET('IWP30'!UnitsOfServicePeriod1, 3, 7, 1, 1))</f>
        <v>0</v>
      </c>
      <c r="L527" s="128">
        <f ca="1">OFFSET('IWP30'!UnitsOfServicePeriod1, 3, 8, 1, 1)</f>
        <v>0</v>
      </c>
      <c r="M527" s="128">
        <f ca="1">IF(OFFSET('IWP30'!UnitsOfServicePeriod1, 3, 9, 1, 1) = "", 0, OFFSET('IWP30'!UnitsOfServicePeriod1, 3, 9, 1, 1))</f>
        <v>0</v>
      </c>
      <c r="N527" s="128">
        <f ca="1">OFFSET('IWP30'!UnitsOfServicePeriod1, 3, 10, 1, 1)</f>
        <v>0</v>
      </c>
      <c r="O527" s="128">
        <f ca="1">IF(OFFSET('IWP30'!UnitsOfServicePeriod1, 3, 11, 1, 1) = "", 0, OFFSET('IWP30'!UnitsOfServicePeriod1, 3, 11, 1, 1))</f>
        <v>0</v>
      </c>
      <c r="P527" s="128">
        <f ca="1">OFFSET('IWP30'!UnitsOfServicePeriod1, 3, 12, 1, 1)</f>
        <v>0</v>
      </c>
      <c r="Q527" s="128">
        <f ca="1">IF(OFFSET('IWP30'!UnitsOfServicePeriod1, 3, 13, 1, 1) = "", 0, OFFSET('IWP30'!UnitsOfServicePeriod1, 3, 13, 1, 1))</f>
        <v>0</v>
      </c>
      <c r="R527" s="128">
        <f ca="1">OFFSET('IWP30'!UnitsOfServicePeriod1, 3, 14, 1, 1)</f>
        <v>0</v>
      </c>
      <c r="S527" s="128">
        <f ca="1">IF(OFFSET('IWP30'!UnitsOfServicePeriod1, 3, 15, 1, 1) = "", 0, OFFSET('IWP30'!UnitsOfServicePeriod1, 3, 15, 1, 1))</f>
        <v>0</v>
      </c>
      <c r="T527" s="128">
        <f ca="1">IF(OFFSET('IWP30'!UnitsOfServicePeriod1, 3, 16, 1, 1) = "", 0, OFFSET('IWP30'!UnitsOfServicePeriod1, 3, 16, 1, 1))</f>
        <v>0</v>
      </c>
      <c r="U527" s="128">
        <f ca="1">OFFSET('IWP30'!UnitsOfServicePeriod1, 3, 17, 1, 1)</f>
        <v>0</v>
      </c>
      <c r="V527" s="128">
        <f ca="1">IF(OFFSET('IWP30'!UnitsOfServicePeriod1, 3, 19, 1, 1) = "", 0, OFFSET('IWP30'!UnitsOfServicePeriod1, 3, 19, 1, 1))</f>
        <v>0</v>
      </c>
      <c r="W527" s="128">
        <f ca="1">OFFSET('IWP30'!UnitsOfServicePeriod1, 3, 20, 1, 1)</f>
        <v>0</v>
      </c>
      <c r="X527" s="128">
        <f ca="1">IF(OFFSET('IWP30'!UnitsOfServicePeriod1, 3, 21, 1, 1) = "", 0, OFFSET('IWP30'!UnitsOfServicePeriod1, 3, 21, 1, 1))</f>
        <v>0</v>
      </c>
      <c r="Y527" s="137">
        <f ca="1">OFFSET('IWP30'!UnitsOfServicePeriod1, 3, 22, 1, 1)</f>
        <v>0</v>
      </c>
    </row>
    <row r="528" spans="1:25">
      <c r="A528" s="125" t="s">
        <v>503</v>
      </c>
      <c r="B528" s="128">
        <v>1</v>
      </c>
      <c r="C528" s="128">
        <v>5</v>
      </c>
      <c r="D528" s="107">
        <f ca="1">IF(OFFSET('IWP30'!UnitsOfServicePeriod1, 4, 0, 1, 1)=DATE(1900,1,0), DATE(1900,1,1),OFFSET('IWP30'!UnitsOfServicePeriod1, 4, 0, 1, 1))</f>
        <v>1</v>
      </c>
      <c r="E528" s="107">
        <f ca="1">IF(OFFSET('IWP30'!UnitsOfServicePeriod1, 4, 1, 1, 1)=DATE(1900,1,0), DATE(1900,1,1),OFFSET('IWP30'!UnitsOfServicePeriod1, 4, 1, 1, 1))</f>
        <v>1</v>
      </c>
      <c r="F528" s="128">
        <f ca="1">OFFSET('IWP30'!UnitsOfServicePeriod1, 4, 2, 1, 1)</f>
        <v>0</v>
      </c>
      <c r="G528" s="128">
        <f ca="1">IF(OFFSET('IWP30'!UnitsOfServicePeriod1, 4, 3, 1, 1) = "", 0, OFFSET('IWP30'!UnitsOfServicePeriod1, 4, 3, 1, 1))</f>
        <v>0</v>
      </c>
      <c r="H528" s="128">
        <f ca="1">OFFSET('IWP30'!UnitsOfServicePeriod1, 4, 4, 1, 1)</f>
        <v>0</v>
      </c>
      <c r="I528" s="128">
        <f ca="1">IF(OFFSET('IWP30'!UnitsOfServicePeriod1, 4, 5, 1, 1) = "", 0, OFFSET('IWP30'!UnitsOfServicePeriod1, 4, 5, 1, 1))</f>
        <v>0</v>
      </c>
      <c r="J528" s="128">
        <f ca="1">OFFSET('IWP30'!UnitsOfServicePeriod1, 4, 6, 1, 1)</f>
        <v>0</v>
      </c>
      <c r="K528" s="128">
        <f ca="1">IF(OFFSET('IWP30'!UnitsOfServicePeriod1, 4, 7, 1, 1) = "", 0, OFFSET('IWP30'!UnitsOfServicePeriod1, 4, 7, 1, 1))</f>
        <v>0</v>
      </c>
      <c r="L528" s="128">
        <f ca="1">OFFSET('IWP30'!UnitsOfServicePeriod1, 4, 8, 1, 1)</f>
        <v>0</v>
      </c>
      <c r="M528" s="128">
        <f ca="1">IF(OFFSET('IWP30'!UnitsOfServicePeriod1, 4, 9, 1, 1) = "", 0, OFFSET('IWP30'!UnitsOfServicePeriod1, 4, 9, 1, 1))</f>
        <v>0</v>
      </c>
      <c r="N528" s="128">
        <f ca="1">OFFSET('IWP30'!UnitsOfServicePeriod1, 4, 10, 1, 1)</f>
        <v>0</v>
      </c>
      <c r="O528" s="128">
        <f ca="1">IF(OFFSET('IWP30'!UnitsOfServicePeriod1, 4, 11, 1, 1) = "", 0, OFFSET('IWP30'!UnitsOfServicePeriod1, 4, 11, 1, 1))</f>
        <v>0</v>
      </c>
      <c r="P528" s="128">
        <f ca="1">OFFSET('IWP30'!UnitsOfServicePeriod1, 4, 12, 1, 1)</f>
        <v>0</v>
      </c>
      <c r="Q528" s="128">
        <f ca="1">IF(OFFSET('IWP30'!UnitsOfServicePeriod1, 4, 13, 1, 1) = "", 0, OFFSET('IWP30'!UnitsOfServicePeriod1, 4, 13, 1, 1))</f>
        <v>0</v>
      </c>
      <c r="R528" s="128">
        <f ca="1">OFFSET('IWP30'!UnitsOfServicePeriod1, 4, 14, 1, 1)</f>
        <v>0</v>
      </c>
      <c r="S528" s="128">
        <f ca="1">IF(OFFSET('IWP30'!UnitsOfServicePeriod1, 4, 15, 1, 1) = "", 0, OFFSET('IWP30'!UnitsOfServicePeriod1, 4, 15, 1, 1))</f>
        <v>0</v>
      </c>
      <c r="T528" s="128">
        <f ca="1">IF(OFFSET('IWP30'!UnitsOfServicePeriod1, 4, 16, 1, 1) = "", 0, OFFSET('IWP30'!UnitsOfServicePeriod1, 4, 16, 1, 1))</f>
        <v>0</v>
      </c>
      <c r="U528" s="128">
        <f ca="1">OFFSET('IWP30'!UnitsOfServicePeriod1, 4, 17, 1, 1)</f>
        <v>0</v>
      </c>
      <c r="V528" s="128">
        <f ca="1">IF(OFFSET('IWP30'!UnitsOfServicePeriod1, 4, 19, 1, 1) = "", 0, OFFSET('IWP30'!UnitsOfServicePeriod1, 4, 19, 1, 1))</f>
        <v>0</v>
      </c>
      <c r="W528" s="128">
        <f ca="1">OFFSET('IWP30'!UnitsOfServicePeriod1, 4, 20, 1, 1)</f>
        <v>0</v>
      </c>
      <c r="X528" s="128">
        <f ca="1">IF(OFFSET('IWP30'!UnitsOfServicePeriod1, 4, 21, 1, 1) = "", 0, OFFSET('IWP30'!UnitsOfServicePeriod1, 4, 21, 1, 1))</f>
        <v>0</v>
      </c>
      <c r="Y528" s="137">
        <f ca="1">OFFSET('IWP30'!UnitsOfServicePeriod1, 4, 22, 1, 1)</f>
        <v>0</v>
      </c>
    </row>
    <row r="529" spans="1:25">
      <c r="A529" s="125" t="s">
        <v>503</v>
      </c>
      <c r="B529" s="128">
        <v>1</v>
      </c>
      <c r="C529" s="128">
        <v>6</v>
      </c>
      <c r="D529" s="107">
        <f ca="1">IF(OFFSET('IWP30'!UnitsOfServicePeriod1, 5, 0, 1, 1)=DATE(1900,1,0), DATE(1900,1,1),OFFSET('IWP30'!UnitsOfServicePeriod1, 5, 0, 1, 1))</f>
        <v>1</v>
      </c>
      <c r="E529" s="107">
        <f ca="1">IF(OFFSET('IWP30'!UnitsOfServicePeriod1, 5, 1, 1, 1)=DATE(1900,1,0), DATE(1900,1,1),OFFSET('IWP30'!UnitsOfServicePeriod1, 5, 1, 1, 1))</f>
        <v>1</v>
      </c>
      <c r="F529" s="128">
        <f ca="1">OFFSET('IWP30'!UnitsOfServicePeriod1, 5, 2, 1, 1)</f>
        <v>0</v>
      </c>
      <c r="G529" s="128">
        <f ca="1">IF(OFFSET('IWP30'!UnitsOfServicePeriod1, 5, 3, 1, 1) = "", 0, OFFSET('IWP30'!UnitsOfServicePeriod1, 5, 3, 1, 1))</f>
        <v>0</v>
      </c>
      <c r="H529" s="128">
        <f ca="1">OFFSET('IWP30'!UnitsOfServicePeriod1, 5, 4, 1, 1)</f>
        <v>0</v>
      </c>
      <c r="I529" s="128">
        <f ca="1">IF(OFFSET('IWP30'!UnitsOfServicePeriod1, 5, 5, 1, 1) = "", 0, OFFSET('IWP30'!UnitsOfServicePeriod1, 5, 5, 1, 1))</f>
        <v>0</v>
      </c>
      <c r="J529" s="128">
        <f ca="1">OFFSET('IWP30'!UnitsOfServicePeriod1, 5, 6, 1, 1)</f>
        <v>0</v>
      </c>
      <c r="K529" s="128">
        <f ca="1">IF(OFFSET('IWP30'!UnitsOfServicePeriod1, 5, 7, 1, 1) = "", 0, OFFSET('IWP30'!UnitsOfServicePeriod1, 5, 7, 1, 1))</f>
        <v>0</v>
      </c>
      <c r="L529" s="128">
        <f ca="1">OFFSET('IWP30'!UnitsOfServicePeriod1, 5, 8, 1, 1)</f>
        <v>0</v>
      </c>
      <c r="M529" s="128">
        <f ca="1">IF(OFFSET('IWP30'!UnitsOfServicePeriod1, 5, 9, 1, 1) = "", 0, OFFSET('IWP30'!UnitsOfServicePeriod1, 5, 9, 1, 1))</f>
        <v>0</v>
      </c>
      <c r="N529" s="128">
        <f ca="1">OFFSET('IWP30'!UnitsOfServicePeriod1, 5, 10, 1, 1)</f>
        <v>0</v>
      </c>
      <c r="O529" s="128">
        <f ca="1">IF(OFFSET('IWP30'!UnitsOfServicePeriod1, 5, 11, 1, 1) = "", 0, OFFSET('IWP30'!UnitsOfServicePeriod1, 5, 11, 1, 1))</f>
        <v>0</v>
      </c>
      <c r="P529" s="128">
        <f ca="1">OFFSET('IWP30'!UnitsOfServicePeriod1, 5, 12, 1, 1)</f>
        <v>0</v>
      </c>
      <c r="Q529" s="128">
        <f ca="1">IF(OFFSET('IWP30'!UnitsOfServicePeriod1, 5, 13, 1, 1) = "", 0, OFFSET('IWP30'!UnitsOfServicePeriod1, 5, 13, 1, 1))</f>
        <v>0</v>
      </c>
      <c r="R529" s="128">
        <f ca="1">OFFSET('IWP30'!UnitsOfServicePeriod1, 5, 14, 1, 1)</f>
        <v>0</v>
      </c>
      <c r="S529" s="128">
        <f ca="1">IF(OFFSET('IWP30'!UnitsOfServicePeriod1, 5, 15, 1, 1) = "", 0, OFFSET('IWP30'!UnitsOfServicePeriod1, 5, 15, 1, 1))</f>
        <v>0</v>
      </c>
      <c r="T529" s="128">
        <f ca="1">IF(OFFSET('IWP30'!UnitsOfServicePeriod1, 5, 16, 1, 1) = "", 0, OFFSET('IWP30'!UnitsOfServicePeriod1, 5, 16, 1, 1))</f>
        <v>0</v>
      </c>
      <c r="U529" s="128">
        <f ca="1">OFFSET('IWP30'!UnitsOfServicePeriod1, 5, 17, 1, 1)</f>
        <v>0</v>
      </c>
      <c r="V529" s="128">
        <f ca="1">IF(OFFSET('IWP30'!UnitsOfServicePeriod1, 5, 19, 1, 1) = "", 0, OFFSET('IWP30'!UnitsOfServicePeriod1, 5, 19, 1, 1))</f>
        <v>0</v>
      </c>
      <c r="W529" s="128">
        <f ca="1">OFFSET('IWP30'!UnitsOfServicePeriod1, 5, 20, 1, 1)</f>
        <v>0</v>
      </c>
      <c r="X529" s="128">
        <f ca="1">IF(OFFSET('IWP30'!UnitsOfServicePeriod1, 5, 21, 1, 1) = "", 0, OFFSET('IWP30'!UnitsOfServicePeriod1, 5, 21, 1, 1))</f>
        <v>0</v>
      </c>
      <c r="Y529" s="137">
        <f ca="1">OFFSET('IWP30'!UnitsOfServicePeriod1, 5, 22, 1, 1)</f>
        <v>0</v>
      </c>
    </row>
    <row r="530" spans="1:25">
      <c r="A530" s="125" t="s">
        <v>503</v>
      </c>
      <c r="B530" s="128">
        <v>2</v>
      </c>
      <c r="C530" s="128">
        <v>1</v>
      </c>
      <c r="D530" s="107">
        <f ca="1">IF(OFFSET('IWP30'!UnitsOfServicePeriod2, 0, 0, 1, 1)=DATE(1900,1,0), DATE(1900,1,1),OFFSET('IWP30'!UnitsOfServicePeriod2, 0, 0, 1, 1))</f>
        <v>1</v>
      </c>
      <c r="E530" s="107">
        <f ca="1">IF(OFFSET('IWP30'!UnitsOfServicePeriod2, 0, 1, 1, 1)=DATE(1900,1,0), DATE(1900,1,1),OFFSET('IWP30'!UnitsOfServicePeriod2, 0, 1, 1, 1))</f>
        <v>1</v>
      </c>
      <c r="F530" s="128">
        <f ca="1">OFFSET('IWP30'!UnitsOfServicePeriod2, 0, 2, 1, 1)</f>
        <v>0</v>
      </c>
      <c r="G530" s="128">
        <f ca="1">IF(OFFSET('IWP30'!UnitsOfServicePeriod2, 0, 3, 1, 1) = "", 0, OFFSET('IWP30'!UnitsOfServicePeriod2, 0, 3, 1, 1))</f>
        <v>0</v>
      </c>
      <c r="H530" s="128">
        <f ca="1">OFFSET('IWP30'!UnitsOfServicePeriod2, 0, 4, 1, 1)</f>
        <v>0</v>
      </c>
      <c r="I530" s="128">
        <f ca="1">IF(OFFSET('IWP30'!UnitsOfServicePeriod2, 0, 5, 1, 1) = "", 0, OFFSET('IWP30'!UnitsOfServicePeriod2, 0, 5, 1, 1))</f>
        <v>0</v>
      </c>
      <c r="J530" s="128">
        <f ca="1">OFFSET('IWP30'!UnitsOfServicePeriod2, 0, 6, 1, 1)</f>
        <v>0</v>
      </c>
      <c r="K530" s="128">
        <f ca="1">IF(OFFSET('IWP30'!UnitsOfServicePeriod2, 0, 7, 1, 1) = "", 0, OFFSET('IWP30'!UnitsOfServicePeriod2, 0, 7, 1, 1))</f>
        <v>0</v>
      </c>
      <c r="L530" s="128">
        <f ca="1">OFFSET('IWP30'!UnitsOfServicePeriod2, 0, 8, 1, 1)</f>
        <v>0</v>
      </c>
      <c r="M530" s="128">
        <f ca="1">IF(OFFSET('IWP30'!UnitsOfServicePeriod2, 0, 9, 1, 1) = "", 0, OFFSET('IWP30'!UnitsOfServicePeriod2, 0, 9, 1, 1))</f>
        <v>0</v>
      </c>
      <c r="N530" s="128">
        <f ca="1">OFFSET('IWP30'!UnitsOfServicePeriod2, 0, 10, 1, 1)</f>
        <v>0</v>
      </c>
      <c r="O530" s="128">
        <f ca="1">IF(OFFSET('IWP30'!UnitsOfServicePeriod2, 0, 11, 1, 1) = "", 0, OFFSET('IWP30'!UnitsOfServicePeriod2, 0, 11, 1, 1))</f>
        <v>0</v>
      </c>
      <c r="P530" s="128">
        <f ca="1">OFFSET('IWP30'!UnitsOfServicePeriod2, 0, 12, 1, 1)</f>
        <v>0</v>
      </c>
      <c r="Q530" s="128">
        <f ca="1">IF(OFFSET('IWP30'!UnitsOfServicePeriod2, 0, 13, 1, 1) = "", 0, OFFSET('IWP30'!UnitsOfServicePeriod2, 0, 13, 1, 1))</f>
        <v>0</v>
      </c>
      <c r="R530" s="128">
        <f ca="1">OFFSET('IWP30'!UnitsOfServicePeriod2, 0, 14, 1, 1)</f>
        <v>0</v>
      </c>
      <c r="S530" s="128">
        <f ca="1">IF(OFFSET('IWP30'!UnitsOfServicePeriod2, 0, 15, 1, 1) = "", 0, OFFSET('IWP30'!UnitsOfServicePeriod2, 0, 15, 1, 1))</f>
        <v>0</v>
      </c>
      <c r="T530" s="128">
        <f ca="1">IF(OFFSET('IWP30'!UnitsOfServicePeriod2, 0, 16, 1, 1) = "", 0, OFFSET('IWP30'!UnitsOfServicePeriod2, 0, 16, 1, 1))</f>
        <v>0</v>
      </c>
      <c r="U530" s="128">
        <f ca="1">OFFSET('IWP30'!UnitsOfServicePeriod2, 0, 17, 1, 1)</f>
        <v>0</v>
      </c>
      <c r="V530" s="128">
        <f ca="1">IF(OFFSET('IWP30'!UnitsOfServicePeriod2, 0, 19, 1, 1) = "", 0, OFFSET('IWP30'!UnitsOfServicePeriod2, 0, 19, 1, 1))</f>
        <v>0</v>
      </c>
      <c r="W530" s="128">
        <f ca="1">OFFSET('IWP30'!UnitsOfServicePeriod2, 0, 20, 1, 1)</f>
        <v>0</v>
      </c>
      <c r="X530" s="128">
        <f ca="1">IF(OFFSET('IWP30'!UnitsOfServicePeriod2, 0, 21, 1, 1) = "", 0, OFFSET('IWP30'!UnitsOfServicePeriod2, 0, 21, 1, 1))</f>
        <v>0</v>
      </c>
      <c r="Y530" s="137">
        <f ca="1">OFFSET('IWP30'!UnitsOfServicePeriod2, 0, 22, 1, 1)</f>
        <v>0</v>
      </c>
    </row>
    <row r="531" spans="1:25">
      <c r="A531" s="125" t="s">
        <v>503</v>
      </c>
      <c r="B531" s="128">
        <v>2</v>
      </c>
      <c r="C531" s="128">
        <v>2</v>
      </c>
      <c r="D531" s="107">
        <f ca="1">IF(OFFSET('IWP30'!UnitsOfServicePeriod2, 1, 0, 1, 1)=DATE(1900,1,0), DATE(1900,1,1),OFFSET('IWP30'!UnitsOfServicePeriod2, 1, 0, 1, 1))</f>
        <v>1</v>
      </c>
      <c r="E531" s="107">
        <f ca="1">IF(OFFSET('IWP30'!UnitsOfServicePeriod2, 1, 1, 1, 1)=DATE(1900,1,0), DATE(1900,1,1),OFFSET('IWP30'!UnitsOfServicePeriod2, 1, 1, 1, 1))</f>
        <v>1</v>
      </c>
      <c r="F531" s="128">
        <f ca="1">OFFSET('IWP30'!UnitsOfServicePeriod2, 1, 2, 1, 1)</f>
        <v>0</v>
      </c>
      <c r="G531" s="128">
        <f ca="1">IF(OFFSET('IWP30'!UnitsOfServicePeriod2, 1, 3, 1, 1) = "", 0, OFFSET('IWP30'!UnitsOfServicePeriod2, 1, 3, 1, 1))</f>
        <v>0</v>
      </c>
      <c r="H531" s="128">
        <f ca="1">OFFSET('IWP30'!UnitsOfServicePeriod2, 1, 4, 1, 1)</f>
        <v>0</v>
      </c>
      <c r="I531" s="128">
        <f ca="1">IF(OFFSET('IWP30'!UnitsOfServicePeriod2, 1, 5, 1, 1) = "", 0, OFFSET('IWP30'!UnitsOfServicePeriod2, 1, 5, 1, 1))</f>
        <v>0</v>
      </c>
      <c r="J531" s="128">
        <f ca="1">OFFSET('IWP30'!UnitsOfServicePeriod2, 1, 6, 1, 1)</f>
        <v>0</v>
      </c>
      <c r="K531" s="128">
        <f ca="1">IF(OFFSET('IWP30'!UnitsOfServicePeriod2, 1, 7, 1, 1) = "", 0, OFFSET('IWP30'!UnitsOfServicePeriod2, 1, 7, 1, 1))</f>
        <v>0</v>
      </c>
      <c r="L531" s="128">
        <f ca="1">OFFSET('IWP30'!UnitsOfServicePeriod2, 1, 8, 1, 1)</f>
        <v>0</v>
      </c>
      <c r="M531" s="128">
        <f ca="1">IF(OFFSET('IWP30'!UnitsOfServicePeriod2, 1, 9, 1, 1) = "", 0, OFFSET('IWP30'!UnitsOfServicePeriod2, 1, 9, 1, 1))</f>
        <v>0</v>
      </c>
      <c r="N531" s="128">
        <f ca="1">OFFSET('IWP30'!UnitsOfServicePeriod2, 1, 10, 1, 1)</f>
        <v>0</v>
      </c>
      <c r="O531" s="128">
        <f ca="1">IF(OFFSET('IWP30'!UnitsOfServicePeriod2, 1, 11, 1, 1) = "", 0, OFFSET('IWP30'!UnitsOfServicePeriod2, 1, 11, 1, 1))</f>
        <v>0</v>
      </c>
      <c r="P531" s="128">
        <f ca="1">OFFSET('IWP30'!UnitsOfServicePeriod2, 1, 12, 1, 1)</f>
        <v>0</v>
      </c>
      <c r="Q531" s="128">
        <f ca="1">IF(OFFSET('IWP30'!UnitsOfServicePeriod2, 1, 13, 1, 1) = "", 0, OFFSET('IWP30'!UnitsOfServicePeriod2, 1, 13, 1, 1))</f>
        <v>0</v>
      </c>
      <c r="R531" s="128">
        <f ca="1">OFFSET('IWP30'!UnitsOfServicePeriod2, 1, 14, 1, 1)</f>
        <v>0</v>
      </c>
      <c r="S531" s="128">
        <f ca="1">IF(OFFSET('IWP30'!UnitsOfServicePeriod2, 1, 15, 1, 1) = "", 0, OFFSET('IWP30'!UnitsOfServicePeriod2, 1, 15, 1, 1))</f>
        <v>0</v>
      </c>
      <c r="T531" s="128">
        <f ca="1">IF(OFFSET('IWP30'!UnitsOfServicePeriod2, 1, 16, 1, 1) = "", 0, OFFSET('IWP30'!UnitsOfServicePeriod2, 1, 16, 1, 1))</f>
        <v>0</v>
      </c>
      <c r="U531" s="128">
        <f ca="1">OFFSET('IWP30'!UnitsOfServicePeriod2, 1, 17, 1, 1)</f>
        <v>0</v>
      </c>
      <c r="V531" s="128">
        <f ca="1">IF(OFFSET('IWP30'!UnitsOfServicePeriod2, 1, 19, 1, 1) = "", 0, OFFSET('IWP30'!UnitsOfServicePeriod2, 1, 19, 1, 1))</f>
        <v>0</v>
      </c>
      <c r="W531" s="128">
        <f ca="1">OFFSET('IWP30'!UnitsOfServicePeriod2, 1, 20, 1, 1)</f>
        <v>0</v>
      </c>
      <c r="X531" s="128">
        <f ca="1">IF(OFFSET('IWP30'!UnitsOfServicePeriod2, 1, 21, 1, 1) = "", 0, OFFSET('IWP30'!UnitsOfServicePeriod2, 1, 21, 1, 1))</f>
        <v>0</v>
      </c>
      <c r="Y531" s="137">
        <f ca="1">OFFSET('IWP30'!UnitsOfServicePeriod2, 1, 22, 1, 1)</f>
        <v>0</v>
      </c>
    </row>
    <row r="532" spans="1:25">
      <c r="A532" s="125" t="s">
        <v>503</v>
      </c>
      <c r="B532" s="128">
        <v>2</v>
      </c>
      <c r="C532" s="128">
        <v>3</v>
      </c>
      <c r="D532" s="107">
        <f ca="1">IF(OFFSET('IWP30'!UnitsOfServicePeriod2, 2, 0, 1, 1)=DATE(1900,1,0), DATE(1900,1,1),OFFSET('IWP30'!UnitsOfServicePeriod2, 2, 0, 1, 1))</f>
        <v>1</v>
      </c>
      <c r="E532" s="107">
        <f ca="1">IF(OFFSET('IWP30'!UnitsOfServicePeriod2, 2, 1, 1, 1)=DATE(1900,1,0), DATE(1900,1,1),OFFSET('IWP30'!UnitsOfServicePeriod2, 2, 1, 1, 1))</f>
        <v>1</v>
      </c>
      <c r="F532" s="128">
        <f ca="1">OFFSET('IWP30'!UnitsOfServicePeriod2, 2, 2, 1, 1)</f>
        <v>0</v>
      </c>
      <c r="G532" s="128">
        <f ca="1">IF(OFFSET('IWP30'!UnitsOfServicePeriod2, 2, 3, 1, 1) = "", 0, OFFSET('IWP30'!UnitsOfServicePeriod2, 2, 3, 1, 1))</f>
        <v>0</v>
      </c>
      <c r="H532" s="128">
        <f ca="1">OFFSET('IWP30'!UnitsOfServicePeriod2, 2, 4, 1, 1)</f>
        <v>0</v>
      </c>
      <c r="I532" s="128">
        <f ca="1">IF(OFFSET('IWP30'!UnitsOfServicePeriod2, 2, 5, 1, 1) = "", 0, OFFSET('IWP30'!UnitsOfServicePeriod2, 2, 5, 1, 1))</f>
        <v>0</v>
      </c>
      <c r="J532" s="128">
        <f ca="1">OFFSET('IWP30'!UnitsOfServicePeriod2, 2, 6, 1, 1)</f>
        <v>0</v>
      </c>
      <c r="K532" s="128">
        <f ca="1">IF(OFFSET('IWP30'!UnitsOfServicePeriod2, 2, 7, 1, 1) = "", 0, OFFSET('IWP30'!UnitsOfServicePeriod2, 2, 7, 1, 1))</f>
        <v>0</v>
      </c>
      <c r="L532" s="128">
        <f ca="1">OFFSET('IWP30'!UnitsOfServicePeriod2, 2, 8, 1, 1)</f>
        <v>0</v>
      </c>
      <c r="M532" s="128">
        <f ca="1">IF(OFFSET('IWP30'!UnitsOfServicePeriod2, 2, 9, 1, 1) = "", 0, OFFSET('IWP30'!UnitsOfServicePeriod2, 2, 9, 1, 1))</f>
        <v>0</v>
      </c>
      <c r="N532" s="128">
        <f ca="1">OFFSET('IWP30'!UnitsOfServicePeriod2, 2, 10, 1, 1)</f>
        <v>0</v>
      </c>
      <c r="O532" s="128">
        <f ca="1">IF(OFFSET('IWP30'!UnitsOfServicePeriod2, 2, 11, 1, 1) = "", 0, OFFSET('IWP30'!UnitsOfServicePeriod2, 2, 11, 1, 1))</f>
        <v>0</v>
      </c>
      <c r="P532" s="128">
        <f ca="1">OFFSET('IWP30'!UnitsOfServicePeriod2, 2, 12, 1, 1)</f>
        <v>0</v>
      </c>
      <c r="Q532" s="128">
        <f ca="1">IF(OFFSET('IWP30'!UnitsOfServicePeriod2, 2, 13, 1, 1) = "", 0, OFFSET('IWP30'!UnitsOfServicePeriod2, 2, 13, 1, 1))</f>
        <v>0</v>
      </c>
      <c r="R532" s="128">
        <f ca="1">OFFSET('IWP30'!UnitsOfServicePeriod2, 2, 14, 1, 1)</f>
        <v>0</v>
      </c>
      <c r="S532" s="128">
        <f ca="1">IF(OFFSET('IWP30'!UnitsOfServicePeriod2, 2, 15, 1, 1) = "", 0, OFFSET('IWP30'!UnitsOfServicePeriod2, 2, 15, 1, 1))</f>
        <v>0</v>
      </c>
      <c r="T532" s="128">
        <f ca="1">IF(OFFSET('IWP30'!UnitsOfServicePeriod2, 2, 16, 1, 1) = "", 0, OFFSET('IWP30'!UnitsOfServicePeriod2, 2, 16, 1, 1))</f>
        <v>0</v>
      </c>
      <c r="U532" s="128">
        <f ca="1">OFFSET('IWP30'!UnitsOfServicePeriod2, 2, 17, 1, 1)</f>
        <v>0</v>
      </c>
      <c r="V532" s="128">
        <f ca="1">IF(OFFSET('IWP30'!UnitsOfServicePeriod2, 2, 19, 1, 1) = "", 0, OFFSET('IWP30'!UnitsOfServicePeriod2, 2, 19, 1, 1))</f>
        <v>0</v>
      </c>
      <c r="W532" s="128">
        <f ca="1">OFFSET('IWP30'!UnitsOfServicePeriod2, 2, 20, 1, 1)</f>
        <v>0</v>
      </c>
      <c r="X532" s="128">
        <f ca="1">IF(OFFSET('IWP30'!UnitsOfServicePeriod2, 2, 21, 1, 1) = "", 0, OFFSET('IWP30'!UnitsOfServicePeriod2, 2, 21, 1, 1))</f>
        <v>0</v>
      </c>
      <c r="Y532" s="137">
        <f ca="1">OFFSET('IWP30'!UnitsOfServicePeriod2, 2, 22, 1, 1)</f>
        <v>0</v>
      </c>
    </row>
    <row r="533" spans="1:25">
      <c r="A533" s="125" t="s">
        <v>503</v>
      </c>
      <c r="B533" s="128">
        <v>2</v>
      </c>
      <c r="C533" s="128">
        <v>4</v>
      </c>
      <c r="D533" s="107">
        <f ca="1">IF(OFFSET('IWP30'!UnitsOfServicePeriod2, 3, 0, 1, 1)=DATE(1900,1,0), DATE(1900,1,1),OFFSET('IWP30'!UnitsOfServicePeriod2, 3, 0, 1, 1))</f>
        <v>1</v>
      </c>
      <c r="E533" s="107">
        <f ca="1">IF(OFFSET('IWP30'!UnitsOfServicePeriod2, 3, 1, 1, 1)=DATE(1900,1,0), DATE(1900,1,1),OFFSET('IWP30'!UnitsOfServicePeriod2, 3, 1, 1, 1))</f>
        <v>1</v>
      </c>
      <c r="F533" s="128">
        <f ca="1">OFFSET('IWP30'!UnitsOfServicePeriod2, 3, 2, 1, 1)</f>
        <v>0</v>
      </c>
      <c r="G533" s="128">
        <f ca="1">IF(OFFSET('IWP30'!UnitsOfServicePeriod2, 3, 3, 1, 1) = "", 0, OFFSET('IWP30'!UnitsOfServicePeriod2, 3, 3, 1, 1))</f>
        <v>0</v>
      </c>
      <c r="H533" s="128">
        <f ca="1">OFFSET('IWP30'!UnitsOfServicePeriod2, 3, 4, 1, 1)</f>
        <v>0</v>
      </c>
      <c r="I533" s="128">
        <f ca="1">IF(OFFSET('IWP30'!UnitsOfServicePeriod2, 3, 5, 1, 1) = "", 0, OFFSET('IWP30'!UnitsOfServicePeriod2, 3, 5, 1, 1))</f>
        <v>0</v>
      </c>
      <c r="J533" s="128">
        <f ca="1">OFFSET('IWP30'!UnitsOfServicePeriod2, 3, 6, 1, 1)</f>
        <v>0</v>
      </c>
      <c r="K533" s="128">
        <f ca="1">IF(OFFSET('IWP30'!UnitsOfServicePeriod2, 3, 7, 1, 1) = "", 0, OFFSET('IWP30'!UnitsOfServicePeriod2, 3, 7, 1, 1))</f>
        <v>0</v>
      </c>
      <c r="L533" s="128">
        <f ca="1">OFFSET('IWP30'!UnitsOfServicePeriod2, 3, 8, 1, 1)</f>
        <v>0</v>
      </c>
      <c r="M533" s="128">
        <f ca="1">IF(OFFSET('IWP30'!UnitsOfServicePeriod2, 3, 9, 1, 1) = "", 0, OFFSET('IWP30'!UnitsOfServicePeriod2, 3, 9, 1, 1))</f>
        <v>0</v>
      </c>
      <c r="N533" s="128">
        <f ca="1">OFFSET('IWP30'!UnitsOfServicePeriod2, 3, 10, 1, 1)</f>
        <v>0</v>
      </c>
      <c r="O533" s="128">
        <f ca="1">IF(OFFSET('IWP30'!UnitsOfServicePeriod2, 3, 11, 1, 1) = "", 0, OFFSET('IWP30'!UnitsOfServicePeriod2, 3, 11, 1, 1))</f>
        <v>0</v>
      </c>
      <c r="P533" s="128">
        <f ca="1">OFFSET('IWP30'!UnitsOfServicePeriod2, 3, 12, 1, 1)</f>
        <v>0</v>
      </c>
      <c r="Q533" s="128">
        <f ca="1">IF(OFFSET('IWP30'!UnitsOfServicePeriod2, 3, 13, 1, 1) = "", 0, OFFSET('IWP30'!UnitsOfServicePeriod2, 3, 13, 1, 1))</f>
        <v>0</v>
      </c>
      <c r="R533" s="128">
        <f ca="1">OFFSET('IWP30'!UnitsOfServicePeriod2, 3, 14, 1, 1)</f>
        <v>0</v>
      </c>
      <c r="S533" s="128">
        <f ca="1">IF(OFFSET('IWP30'!UnitsOfServicePeriod2, 3, 15, 1, 1) = "", 0, OFFSET('IWP30'!UnitsOfServicePeriod2, 3, 15, 1, 1))</f>
        <v>0</v>
      </c>
      <c r="T533" s="128">
        <f ca="1">IF(OFFSET('IWP30'!UnitsOfServicePeriod2, 3, 16, 1, 1) = "", 0, OFFSET('IWP30'!UnitsOfServicePeriod2, 3, 16, 1, 1))</f>
        <v>0</v>
      </c>
      <c r="U533" s="128">
        <f ca="1">OFFSET('IWP30'!UnitsOfServicePeriod2, 3, 17, 1, 1)</f>
        <v>0</v>
      </c>
      <c r="V533" s="128">
        <f ca="1">IF(OFFSET('IWP30'!UnitsOfServicePeriod2, 3, 19, 1, 1) = "", 0, OFFSET('IWP30'!UnitsOfServicePeriod2, 3, 19, 1, 1))</f>
        <v>0</v>
      </c>
      <c r="W533" s="128">
        <f ca="1">OFFSET('IWP30'!UnitsOfServicePeriod2, 3, 20, 1, 1)</f>
        <v>0</v>
      </c>
      <c r="X533" s="128">
        <f ca="1">IF(OFFSET('IWP30'!UnitsOfServicePeriod2, 3, 21, 1, 1) = "", 0, OFFSET('IWP30'!UnitsOfServicePeriod2, 3, 21, 1, 1))</f>
        <v>0</v>
      </c>
      <c r="Y533" s="137">
        <f ca="1">OFFSET('IWP30'!UnitsOfServicePeriod2, 3, 22, 1, 1)</f>
        <v>0</v>
      </c>
    </row>
    <row r="534" spans="1:25">
      <c r="A534" s="106" t="s">
        <v>503</v>
      </c>
      <c r="B534" s="128">
        <v>2</v>
      </c>
      <c r="C534" s="128">
        <v>5</v>
      </c>
      <c r="D534" s="107">
        <f ca="1">IF(OFFSET('IWP30'!UnitsOfServicePeriod2, 4, 0, 1, 1)=DATE(1900,1,0), DATE(1900,1,1),OFFSET('IWP30'!UnitsOfServicePeriod2, 4, 0, 1, 1))</f>
        <v>1</v>
      </c>
      <c r="E534" s="107">
        <f ca="1">IF(OFFSET('IWP30'!UnitsOfServicePeriod2, 4, 1, 1, 1)=DATE(1900,1,0), DATE(1900,1,1),OFFSET('IWP30'!UnitsOfServicePeriod2, 4, 1, 1, 1))</f>
        <v>1</v>
      </c>
      <c r="F534" s="128">
        <f ca="1">OFFSET('IWP30'!UnitsOfServicePeriod2, 4, 2, 1, 1)</f>
        <v>0</v>
      </c>
      <c r="G534" s="128">
        <f ca="1">IF(OFFSET('IWP30'!UnitsOfServicePeriod2, 4, 3, 1, 1) = "", 0, OFFSET('IWP30'!UnitsOfServicePeriod2, 4, 3, 1, 1))</f>
        <v>0</v>
      </c>
      <c r="H534" s="128">
        <f ca="1">OFFSET('IWP30'!UnitsOfServicePeriod2, 4, 4, 1, 1)</f>
        <v>0</v>
      </c>
      <c r="I534" s="128">
        <f ca="1">IF(OFFSET('IWP30'!UnitsOfServicePeriod2, 4, 5, 1, 1) = "", 0, OFFSET('IWP30'!UnitsOfServicePeriod2, 4, 5, 1, 1))</f>
        <v>0</v>
      </c>
      <c r="J534" s="128">
        <f ca="1">OFFSET('IWP30'!UnitsOfServicePeriod2, 4, 6, 1, 1)</f>
        <v>0</v>
      </c>
      <c r="K534" s="128">
        <f ca="1">IF(OFFSET('IWP30'!UnitsOfServicePeriod2, 4, 7, 1, 1) = "", 0, OFFSET('IWP30'!UnitsOfServicePeriod2, 4, 7, 1, 1))</f>
        <v>0</v>
      </c>
      <c r="L534" s="128">
        <f ca="1">OFFSET('IWP30'!UnitsOfServicePeriod2, 4, 8, 1, 1)</f>
        <v>0</v>
      </c>
      <c r="M534" s="128">
        <f ca="1">IF(OFFSET('IWP30'!UnitsOfServicePeriod2, 4, 9, 1, 1) = "", 0, OFFSET('IWP30'!UnitsOfServicePeriod2, 4, 9, 1, 1))</f>
        <v>0</v>
      </c>
      <c r="N534" s="128">
        <f ca="1">OFFSET('IWP30'!UnitsOfServicePeriod2, 4, 10, 1, 1)</f>
        <v>0</v>
      </c>
      <c r="O534" s="128">
        <f ca="1">IF(OFFSET('IWP30'!UnitsOfServicePeriod2, 4, 11, 1, 1) = "", 0, OFFSET('IWP30'!UnitsOfServicePeriod2, 4, 11, 1, 1))</f>
        <v>0</v>
      </c>
      <c r="P534" s="128">
        <f ca="1">OFFSET('IWP30'!UnitsOfServicePeriod2, 4, 12, 1, 1)</f>
        <v>0</v>
      </c>
      <c r="Q534" s="128">
        <f ca="1">IF(OFFSET('IWP30'!UnitsOfServicePeriod2, 4, 13, 1, 1) = "", 0, OFFSET('IWP30'!UnitsOfServicePeriod2, 4, 13, 1, 1))</f>
        <v>0</v>
      </c>
      <c r="R534" s="128">
        <f ca="1">OFFSET('IWP30'!UnitsOfServicePeriod2, 4, 14, 1, 1)</f>
        <v>0</v>
      </c>
      <c r="S534" s="128">
        <f ca="1">IF(OFFSET('IWP30'!UnitsOfServicePeriod2, 4, 15, 1, 1) = "", 0, OFFSET('IWP30'!UnitsOfServicePeriod2, 4, 15, 1, 1))</f>
        <v>0</v>
      </c>
      <c r="T534" s="128">
        <f ca="1">IF(OFFSET('IWP30'!UnitsOfServicePeriod2, 4, 16, 1, 1) = "", 0, OFFSET('IWP30'!UnitsOfServicePeriod2, 4, 16, 1, 1))</f>
        <v>0</v>
      </c>
      <c r="U534" s="128">
        <f ca="1">OFFSET('IWP30'!UnitsOfServicePeriod2, 4, 17, 1, 1)</f>
        <v>0</v>
      </c>
      <c r="V534" s="128">
        <f ca="1">IF(OFFSET('IWP30'!UnitsOfServicePeriod2, 4, 19, 1, 1) = "", 0, OFFSET('IWP30'!UnitsOfServicePeriod2, 4, 19, 1, 1))</f>
        <v>0</v>
      </c>
      <c r="W534" s="128">
        <f ca="1">OFFSET('IWP30'!UnitsOfServicePeriod2, 4, 20, 1, 1)</f>
        <v>0</v>
      </c>
      <c r="X534" s="128">
        <f ca="1">IF(OFFSET('IWP30'!UnitsOfServicePeriod2, 4, 21, 1, 1) = "", 0, OFFSET('IWP30'!UnitsOfServicePeriod2, 4, 21, 1, 1))</f>
        <v>0</v>
      </c>
      <c r="Y534" s="168">
        <f ca="1">OFFSET('IWP30'!UnitsOfServicePeriod2, 4, 22, 1, 1)</f>
        <v>0</v>
      </c>
    </row>
    <row r="535" spans="1:25" ht="13" thickBot="1">
      <c r="A535" s="104" t="s">
        <v>503</v>
      </c>
      <c r="B535" s="118">
        <v>2</v>
      </c>
      <c r="C535" s="118">
        <v>6</v>
      </c>
      <c r="D535" s="126">
        <f ca="1">IF(OFFSET('IWP30'!UnitsOfServicePeriod2, 5, 0, 1, 1)=DATE(1900,1,0), DATE(1900,1,1),OFFSET('IWP30'!UnitsOfServicePeriod2, 5, 0, 1, 1))</f>
        <v>1</v>
      </c>
      <c r="E535" s="126">
        <f ca="1">IF(OFFSET('IWP30'!UnitsOfServicePeriod2, 5, 1, 1, 1)=DATE(1900,1,0), DATE(1900,1,1),OFFSET('IWP30'!UnitsOfServicePeriod2, 5, 1, 1, 1))</f>
        <v>1</v>
      </c>
      <c r="F535" s="118">
        <f ca="1">OFFSET('IWP30'!UnitsOfServicePeriod2, 5, 2, 1, 1)</f>
        <v>0</v>
      </c>
      <c r="G535" s="118">
        <f ca="1">IF(OFFSET('IWP30'!UnitsOfServicePeriod2, 5, 3, 1, 1) = "", 0, OFFSET('IWP30'!UnitsOfServicePeriod2, 5, 3, 1, 1))</f>
        <v>0</v>
      </c>
      <c r="H535" s="118">
        <f ca="1">OFFSET('IWP30'!UnitsOfServicePeriod2, 5, 4, 1, 1)</f>
        <v>0</v>
      </c>
      <c r="I535" s="118">
        <f ca="1">IF(OFFSET('IWP30'!UnitsOfServicePeriod2, 5, 5, 1, 1) = "", 0, OFFSET('IWP30'!UnitsOfServicePeriod2, 5, 5, 1, 1))</f>
        <v>0</v>
      </c>
      <c r="J535" s="118">
        <f ca="1">OFFSET('IWP30'!UnitsOfServicePeriod2, 5, 6, 1, 1)</f>
        <v>0</v>
      </c>
      <c r="K535" s="118">
        <f ca="1">IF(OFFSET('IWP30'!UnitsOfServicePeriod2, 5, 7, 1, 1) = "", 0, OFFSET('IWP30'!UnitsOfServicePeriod2, 5, 7, 1, 1))</f>
        <v>0</v>
      </c>
      <c r="L535" s="118">
        <f ca="1">OFFSET('IWP30'!UnitsOfServicePeriod2, 5, 8, 1, 1)</f>
        <v>0</v>
      </c>
      <c r="M535" s="118">
        <f ca="1">IF(OFFSET('IWP30'!UnitsOfServicePeriod2, 5, 9, 1, 1) = "", 0, OFFSET('IWP30'!UnitsOfServicePeriod2, 5, 9, 1, 1))</f>
        <v>0</v>
      </c>
      <c r="N535" s="118">
        <f ca="1">OFFSET('IWP30'!UnitsOfServicePeriod2, 5, 10, 1, 1)</f>
        <v>0</v>
      </c>
      <c r="O535" s="118">
        <f ca="1">IF(OFFSET('IWP30'!UnitsOfServicePeriod2, 5, 11, 1, 1) = "", 0, OFFSET('IWP30'!UnitsOfServicePeriod2, 5, 11, 1, 1))</f>
        <v>0</v>
      </c>
      <c r="P535" s="118">
        <f ca="1">OFFSET('IWP30'!UnitsOfServicePeriod2, 5, 12, 1, 1)</f>
        <v>0</v>
      </c>
      <c r="Q535" s="118">
        <f ca="1">IF(OFFSET('IWP30'!UnitsOfServicePeriod2, 5, 13, 1, 1) = "", 0, OFFSET('IWP30'!UnitsOfServicePeriod2, 5, 13, 1, 1))</f>
        <v>0</v>
      </c>
      <c r="R535" s="118">
        <f ca="1">OFFSET('IWP30'!UnitsOfServicePeriod2, 5, 14, 1, 1)</f>
        <v>0</v>
      </c>
      <c r="S535" s="118">
        <f ca="1">IF(OFFSET('IWP30'!UnitsOfServicePeriod2, 5, 15, 1, 1) = "", 0, OFFSET('IWP30'!UnitsOfServicePeriod2, 5, 15, 1, 1))</f>
        <v>0</v>
      </c>
      <c r="T535" s="118">
        <f ca="1">IF(OFFSET('IWP30'!UnitsOfServicePeriod2, 5, 16, 1, 1) = "", 0, OFFSET('IWP30'!UnitsOfServicePeriod2, 5, 16, 1, 1))</f>
        <v>0</v>
      </c>
      <c r="U535" s="118">
        <f ca="1">OFFSET('IWP30'!UnitsOfServicePeriod2, 5, 17, 1, 1)</f>
        <v>0</v>
      </c>
      <c r="V535" s="118">
        <f ca="1">IF(OFFSET('IWP30'!UnitsOfServicePeriod2, 5, 19, 1, 1) = "", 0, OFFSET('IWP30'!UnitsOfServicePeriod2, 5, 19, 1, 1))</f>
        <v>0</v>
      </c>
      <c r="W535" s="118">
        <f ca="1">OFFSET('IWP30'!UnitsOfServicePeriod2, 5, 20, 1, 1)</f>
        <v>0</v>
      </c>
      <c r="X535" s="118">
        <f ca="1">IF(OFFSET('IWP30'!UnitsOfServicePeriod2, 5, 21, 1, 1) = "", 0, OFFSET('IWP30'!UnitsOfServicePeriod2, 5, 21, 1, 1))</f>
        <v>0</v>
      </c>
      <c r="Y535" s="169">
        <f ca="1">OFFSET('IWP30'!UnitsOfServicePeriod2, 5, 22, 1, 1)</f>
        <v>0</v>
      </c>
    </row>
  </sheetData>
  <sheetProtection algorithmName="SHA-512" hashValue="w+8/YCMwkX0pVl8XWBrbtuh7+TuLc+b0oDnWxlrXzrJXvZpgRoq2DNiNOeYX3wasmKsle+Udhg6RlIGr6+NEJg==" saltValue="w5Fb7exUKCgEqcIBDlCdwg==" spinCount="100000" sheet="1" objects="1" scenarios="1" selectLockedCells="1"/>
  <customSheetViews>
    <customSheetView guid="{FA063EB1-52B3-49D8-83D1-441968C7020F}" scale="95" state="hidden">
      <selection activeCell="E4" sqref="E4"/>
      <pageMargins left="0.7" right="0.7" top="0.75" bottom="0.75" header="0.3" footer="0.3"/>
      <pageSetup orientation="portrait" r:id="rId1"/>
    </customSheetView>
  </customSheetView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8</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g8G/gFD8sf1vQMf5STTP9UWTTYxyoABETP7tigsH9JhnshpLDys1Va3q7+zbJ+szkZsGLjozmpm8qjdwzEZOyw==" saltValue="rwU/CBE1WQuLDnVGSVxpu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900-000000000000}">
      <formula1>I6</formula1>
    </dataValidation>
    <dataValidation type="date" operator="greaterThanOrEqual" allowBlank="1" showInputMessage="1" showErrorMessage="1" errorTitle="Date Error" error="End date must be later than begin date." sqref="C81:C86 C90:C95" xr:uid="{00000000-0002-0000-0900-000001000000}">
      <formula1>B81</formula1>
    </dataValidation>
    <dataValidation type="list" allowBlank="1" showInputMessage="1" showErrorMessage="1" sqref="I12 I14 I20 I23 I38:J38" xr:uid="{00000000-0002-0000-0900-000002000000}">
      <formula1>"Y,N"</formula1>
    </dataValidation>
    <dataValidation type="list" allowBlank="1" showInputMessage="1" showErrorMessage="1" sqref="D2" xr:uid="{00000000-0002-0000-0900-000003000000}">
      <formula1>"29,29A"</formula1>
    </dataValidation>
    <dataValidation type="whole" allowBlank="1" showInputMessage="1" showErrorMessage="1" sqref="A2" xr:uid="{00000000-0002-0000-0900-000004000000}">
      <formula1>1</formula1>
      <formula2>99</formula2>
    </dataValidation>
    <dataValidation type="textLength" operator="greaterThan" allowBlank="1" showInputMessage="1" showErrorMessage="1" sqref="D3:F4" xr:uid="{00000000-0002-0000-0900-000005000000}">
      <formula1>1</formula1>
    </dataValidation>
    <dataValidation type="whole" allowBlank="1" showInputMessage="1" showErrorMessage="1" sqref="X81:X86 V90:V95 V81:V86 X90:X95" xr:uid="{00000000-0002-0000-0900-000006000000}">
      <formula1>0</formula1>
      <formula2>99</formula2>
    </dataValidation>
    <dataValidation type="whole" allowBlank="1" showInputMessage="1" showErrorMessage="1" sqref="S81:S86 S90:S95" xr:uid="{00000000-0002-0000-0900-000007000000}">
      <formula1>0</formula1>
      <formula2>14</formula2>
    </dataValidation>
    <dataValidation type="date" operator="greaterThan" allowBlank="1" showInputMessage="1" showErrorMessage="1" errorTitle="Date Error" error="Begin date must be later than previous end date." sqref="B82:B86 B91:B95" xr:uid="{00000000-0002-0000-0900-000008000000}">
      <formula1>C81</formula1>
    </dataValidation>
    <dataValidation type="decimal" operator="greaterThanOrEqual" allowBlank="1" showInputMessage="1" showErrorMessage="1" sqref="F81:F86 L90:L95 P90:P95 H81:H86 J81:J86 L81:L86 D90:D95 F90:F95 P81:P86 N81:N86 H90:H95 J90:J95 D81:D86 N90:N95" xr:uid="{00000000-0002-0000-0900-000009000000}">
      <formula1>0</formula1>
    </dataValidation>
    <dataValidation type="list" allowBlank="1" showInputMessage="1" showErrorMessage="1" sqref="I42:J42 C45 H45 I46:J46 C49 H49 I50:J50 C53 H53 I35:J35 I65 I25:J28 I54:J61" xr:uid="{00000000-0002-0000-0900-00000A000000}">
      <formula1>"Y,N,NA"</formula1>
    </dataValidation>
    <dataValidation type="date" operator="greaterThanOrEqual" allowBlank="1" showInputMessage="1" showErrorMessage="1" sqref="E45 J45 E49 J49 E53 J53 B81 B90 G4:J4 I8:J11 I6:J6 L2 J2 D6:E11" xr:uid="{00000000-0002-0000-09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9</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0fv/K7mfmTkdOKcZBBi3E4b5H8tEan+ZvtaV3ShasfW8+raV5hsEPWSxzVZbHaguXNkxHB0C86CGxQWXyPsMFA==" saltValue="QOFAsxwjq/9vG0mXTQRQq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A00-000000000000}">
      <formula1>I6</formula1>
    </dataValidation>
    <dataValidation type="date" operator="greaterThanOrEqual" allowBlank="1" showInputMessage="1" showErrorMessage="1" errorTitle="Date Error" error="End date must be later than begin date." sqref="C81:C86 C90:C95" xr:uid="{00000000-0002-0000-0A00-000001000000}">
      <formula1>B81</formula1>
    </dataValidation>
    <dataValidation type="list" allowBlank="1" showInputMessage="1" showErrorMessage="1" sqref="I12 I14 I20 I23 I38:J38" xr:uid="{00000000-0002-0000-0A00-000002000000}">
      <formula1>"Y,N"</formula1>
    </dataValidation>
    <dataValidation type="list" allowBlank="1" showInputMessage="1" showErrorMessage="1" sqref="D2" xr:uid="{00000000-0002-0000-0A00-000003000000}">
      <formula1>"29,29A"</formula1>
    </dataValidation>
    <dataValidation type="whole" allowBlank="1" showInputMessage="1" showErrorMessage="1" sqref="A2" xr:uid="{00000000-0002-0000-0A00-000004000000}">
      <formula1>1</formula1>
      <formula2>99</formula2>
    </dataValidation>
    <dataValidation type="textLength" operator="greaterThan" allowBlank="1" showInputMessage="1" showErrorMessage="1" sqref="D3:F4" xr:uid="{00000000-0002-0000-0A00-000005000000}">
      <formula1>1</formula1>
    </dataValidation>
    <dataValidation type="whole" allowBlank="1" showInputMessage="1" showErrorMessage="1" sqref="X81:X86 V90:V95 V81:V86 X90:X95" xr:uid="{00000000-0002-0000-0A00-000006000000}">
      <formula1>0</formula1>
      <formula2>99</formula2>
    </dataValidation>
    <dataValidation type="whole" allowBlank="1" showInputMessage="1" showErrorMessage="1" sqref="S81:S86 S90:S95" xr:uid="{00000000-0002-0000-0A00-000007000000}">
      <formula1>0</formula1>
      <formula2>14</formula2>
    </dataValidation>
    <dataValidation type="date" operator="greaterThan" allowBlank="1" showInputMessage="1" showErrorMessage="1" errorTitle="Date Error" error="Begin date must be later than previous end date." sqref="B82:B86 B91:B95" xr:uid="{00000000-0002-0000-0A00-000008000000}">
      <formula1>C81</formula1>
    </dataValidation>
    <dataValidation type="decimal" operator="greaterThanOrEqual" allowBlank="1" showInputMessage="1" showErrorMessage="1" sqref="F81:F86 L90:L95 P90:P95 H81:H86 J81:J86 L81:L86 D90:D95 F90:F95 P81:P86 N81:N86 H90:H95 J90:J95 D81:D86 N90:N95" xr:uid="{00000000-0002-0000-0A00-000009000000}">
      <formula1>0</formula1>
    </dataValidation>
    <dataValidation type="list" allowBlank="1" showInputMessage="1" showErrorMessage="1" sqref="I42:J42 C45 H45 I46:J46 C49 H49 I50:J50 C53 H53 I35:J35 I65 I25:J28 I54:J61" xr:uid="{00000000-0002-0000-0A00-00000A000000}">
      <formula1>"Y,N,NA"</formula1>
    </dataValidation>
    <dataValidation type="date" operator="greaterThanOrEqual" allowBlank="1" showInputMessage="1" showErrorMessage="1" sqref="E45 J45 E49 J49 E53 J53 B81 B90 G4:J4 I8:J11 I6:J6 L2 J2 D6:E11" xr:uid="{00000000-0002-0000-0A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10</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UBN6Bf8VuKAArCLIWLq1JkwrkDB+Opy7R9eRCnqpQG4HY6PEwD3jaUIqvphPwLJRUqnk6x0QaHGj+6xEQvBg/w==" saltValue="o4BcjsXID8DnNuSnBzrCV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B00-000000000000}">
      <formula1>I6</formula1>
    </dataValidation>
    <dataValidation type="date" operator="greaterThanOrEqual" allowBlank="1" showInputMessage="1" showErrorMessage="1" errorTitle="Date Error" error="End date must be later than begin date." sqref="C81:C86 C90:C95" xr:uid="{00000000-0002-0000-0B00-000001000000}">
      <formula1>B81</formula1>
    </dataValidation>
    <dataValidation type="list" allowBlank="1" showInputMessage="1" showErrorMessage="1" sqref="I12 I14 I20 I23 I38:J38" xr:uid="{00000000-0002-0000-0B00-000002000000}">
      <formula1>"Y,N"</formula1>
    </dataValidation>
    <dataValidation type="list" allowBlank="1" showInputMessage="1" showErrorMessage="1" sqref="D2" xr:uid="{00000000-0002-0000-0B00-000003000000}">
      <formula1>"29,29A"</formula1>
    </dataValidation>
    <dataValidation type="whole" allowBlank="1" showInputMessage="1" showErrorMessage="1" sqref="A2" xr:uid="{00000000-0002-0000-0B00-000004000000}">
      <formula1>1</formula1>
      <formula2>99</formula2>
    </dataValidation>
    <dataValidation type="textLength" operator="greaterThan" allowBlank="1" showInputMessage="1" showErrorMessage="1" sqref="D3:F4" xr:uid="{00000000-0002-0000-0B00-000005000000}">
      <formula1>1</formula1>
    </dataValidation>
    <dataValidation type="whole" allowBlank="1" showInputMessage="1" showErrorMessage="1" sqref="X81:X86 V90:V95 V81:V86 X90:X95" xr:uid="{00000000-0002-0000-0B00-000006000000}">
      <formula1>0</formula1>
      <formula2>99</formula2>
    </dataValidation>
    <dataValidation type="whole" allowBlank="1" showInputMessage="1" showErrorMessage="1" sqref="S81:S86 S90:S95" xr:uid="{00000000-0002-0000-0B00-000007000000}">
      <formula1>0</formula1>
      <formula2>14</formula2>
    </dataValidation>
    <dataValidation type="date" operator="greaterThan" allowBlank="1" showInputMessage="1" showErrorMessage="1" errorTitle="Date Error" error="Begin date must be later than previous end date." sqref="B82:B86 B91:B95" xr:uid="{00000000-0002-0000-0B00-000008000000}">
      <formula1>C81</formula1>
    </dataValidation>
    <dataValidation type="decimal" operator="greaterThanOrEqual" allowBlank="1" showInputMessage="1" showErrorMessage="1" sqref="F81:F86 L90:L95 P90:P95 H81:H86 J81:J86 L81:L86 D90:D95 F90:F95 P81:P86 N81:N86 H90:H95 J90:J95 D81:D86 N90:N95" xr:uid="{00000000-0002-0000-0B00-000009000000}">
      <formula1>0</formula1>
    </dataValidation>
    <dataValidation type="list" allowBlank="1" showInputMessage="1" showErrorMessage="1" sqref="I42:J42 C45 H45 I46:J46 C49 H49 I50:J50 C53 H53 I35:J35 I65 I25:J28 I54:J61" xr:uid="{00000000-0002-0000-0B00-00000A000000}">
      <formula1>"Y,N,NA"</formula1>
    </dataValidation>
    <dataValidation type="date" operator="greaterThanOrEqual" allowBlank="1" showInputMessage="1" showErrorMessage="1" sqref="E45 J45 E49 J49 E53 J53 B81 B90 G4:J4 I8:J11 I6:J6 L2 J2 D6:E11" xr:uid="{00000000-0002-0000-0B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11</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Mu5R240ZO/xceQwapmpC1jA2iHXAWlsRP1i9pPfV/OSXoyxC86MONq5JxmDlZTJyN/HmyLcpCyeeGal6GPH1Fg==" saltValue="+oBpGxWO0e0LkwXeIqggNg=="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C00-000000000000}">
      <formula1>I6</formula1>
    </dataValidation>
    <dataValidation type="date" operator="greaterThanOrEqual" allowBlank="1" showInputMessage="1" showErrorMessage="1" errorTitle="Date Error" error="End date must be later than begin date." sqref="C81:C86 C90:C95" xr:uid="{00000000-0002-0000-0C00-000001000000}">
      <formula1>B81</formula1>
    </dataValidation>
    <dataValidation type="list" allowBlank="1" showInputMessage="1" showErrorMessage="1" sqref="I12 I14 I20 I23 I38:J38" xr:uid="{00000000-0002-0000-0C00-000002000000}">
      <formula1>"Y,N"</formula1>
    </dataValidation>
    <dataValidation type="list" allowBlank="1" showInputMessage="1" showErrorMessage="1" sqref="D2" xr:uid="{00000000-0002-0000-0C00-000003000000}">
      <formula1>"29,29A"</formula1>
    </dataValidation>
    <dataValidation type="whole" allowBlank="1" showInputMessage="1" showErrorMessage="1" sqref="A2" xr:uid="{00000000-0002-0000-0C00-000004000000}">
      <formula1>1</formula1>
      <formula2>99</formula2>
    </dataValidation>
    <dataValidation type="textLength" operator="greaterThan" allowBlank="1" showInputMessage="1" showErrorMessage="1" sqref="D3:F4" xr:uid="{00000000-0002-0000-0C00-000005000000}">
      <formula1>1</formula1>
    </dataValidation>
    <dataValidation type="whole" allowBlank="1" showInputMessage="1" showErrorMessage="1" sqref="X81:X86 V90:V95 V81:V86 X90:X95" xr:uid="{00000000-0002-0000-0C00-000006000000}">
      <formula1>0</formula1>
      <formula2>99</formula2>
    </dataValidation>
    <dataValidation type="whole" allowBlank="1" showInputMessage="1" showErrorMessage="1" sqref="S81:S86 S90:S95" xr:uid="{00000000-0002-0000-0C00-000007000000}">
      <formula1>0</formula1>
      <formula2>14</formula2>
    </dataValidation>
    <dataValidation type="date" operator="greaterThan" allowBlank="1" showInputMessage="1" showErrorMessage="1" errorTitle="Date Error" error="Begin date must be later than previous end date." sqref="B82:B86 B91:B95" xr:uid="{00000000-0002-0000-0C00-000008000000}">
      <formula1>C81</formula1>
    </dataValidation>
    <dataValidation type="decimal" operator="greaterThanOrEqual" allowBlank="1" showInputMessage="1" showErrorMessage="1" sqref="F81:F86 L90:L95 P90:P95 H81:H86 J81:J86 L81:L86 D90:D95 F90:F95 P81:P86 N81:N86 H90:H95 J90:J95 D81:D86 N90:N95" xr:uid="{00000000-0002-0000-0C00-000009000000}">
      <formula1>0</formula1>
    </dataValidation>
    <dataValidation type="list" allowBlank="1" showInputMessage="1" showErrorMessage="1" sqref="I42:J42 C45 H45 I46:J46 C49 H49 I50:J50 C53 H53 I35:J35 I65 I25:J28 I54:J61" xr:uid="{00000000-0002-0000-0C00-00000A000000}">
      <formula1>"Y,N,NA"</formula1>
    </dataValidation>
    <dataValidation type="date" operator="greaterThanOrEqual" allowBlank="1" showInputMessage="1" showErrorMessage="1" sqref="E45 J45 E49 J49 E53 J53 B81 B90 G4:J4 I8:J11 I6:J6 L2 J2 D6:E11" xr:uid="{00000000-0002-0000-0C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12</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jqQ38jtI0buibeVVBW0rrKuitm0OB5Ey6Cfj0evK9fhZxYtxT73xTadfMXhccLqXvLJJhwq2KdU+oR/DL/khUA==" saltValue="LjcN8BzB1wPYauqs0rIDF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D00-000000000000}">
      <formula1>I6</formula1>
    </dataValidation>
    <dataValidation type="date" operator="greaterThanOrEqual" allowBlank="1" showInputMessage="1" showErrorMessage="1" errorTitle="Date Error" error="End date must be later than begin date." sqref="C81:C86 C90:C95" xr:uid="{00000000-0002-0000-0D00-000001000000}">
      <formula1>B81</formula1>
    </dataValidation>
    <dataValidation type="list" allowBlank="1" showInputMessage="1" showErrorMessage="1" sqref="I12 I14 I20 I23 I38:J38" xr:uid="{00000000-0002-0000-0D00-000002000000}">
      <formula1>"Y,N"</formula1>
    </dataValidation>
    <dataValidation type="list" allowBlank="1" showInputMessage="1" showErrorMessage="1" sqref="D2" xr:uid="{00000000-0002-0000-0D00-000003000000}">
      <formula1>"29,29A"</formula1>
    </dataValidation>
    <dataValidation type="whole" allowBlank="1" showInputMessage="1" showErrorMessage="1" sqref="A2" xr:uid="{00000000-0002-0000-0D00-000004000000}">
      <formula1>1</formula1>
      <formula2>99</formula2>
    </dataValidation>
    <dataValidation type="textLength" operator="greaterThan" allowBlank="1" showInputMessage="1" showErrorMessage="1" sqref="D3:F4" xr:uid="{00000000-0002-0000-0D00-000005000000}">
      <formula1>1</formula1>
    </dataValidation>
    <dataValidation type="whole" allowBlank="1" showInputMessage="1" showErrorMessage="1" sqref="X81:X86 V90:V95 V81:V86 X90:X95" xr:uid="{00000000-0002-0000-0D00-000006000000}">
      <formula1>0</formula1>
      <formula2>99</formula2>
    </dataValidation>
    <dataValidation type="whole" allowBlank="1" showInputMessage="1" showErrorMessage="1" sqref="S81:S86 S90:S95" xr:uid="{00000000-0002-0000-0D00-000007000000}">
      <formula1>0</formula1>
      <formula2>14</formula2>
    </dataValidation>
    <dataValidation type="date" operator="greaterThan" allowBlank="1" showInputMessage="1" showErrorMessage="1" errorTitle="Date Error" error="Begin date must be later than previous end date." sqref="B82:B86 B91:B95" xr:uid="{00000000-0002-0000-0D00-000008000000}">
      <formula1>C81</formula1>
    </dataValidation>
    <dataValidation type="decimal" operator="greaterThanOrEqual" allowBlank="1" showInputMessage="1" showErrorMessage="1" sqref="F81:F86 L90:L95 P90:P95 H81:H86 J81:J86 L81:L86 D90:D95 F90:F95 P81:P86 N81:N86 H90:H95 J90:J95 D81:D86 N90:N95" xr:uid="{00000000-0002-0000-0D00-000009000000}">
      <formula1>0</formula1>
    </dataValidation>
    <dataValidation type="list" allowBlank="1" showInputMessage="1" showErrorMessage="1" sqref="I42:J42 C45 H45 I46:J46 C49 H49 I50:J50 C53 H53 I35:J35 I65 I25:J28 I54:J61" xr:uid="{00000000-0002-0000-0D00-00000A000000}">
      <formula1>"Y,N,NA"</formula1>
    </dataValidation>
    <dataValidation type="date" operator="greaterThanOrEqual" allowBlank="1" showInputMessage="1" showErrorMessage="1" sqref="E45 J45 E49 J49 E53 J53 B81 B90 G4:J4 I8:J11 I6:J6 L2 J2 D6:E11" xr:uid="{00000000-0002-0000-0D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13</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BOLuWeL5QRbJSLZkjaSHniJncF8n2GfJNhu3fwQWHnCiAgbIV3yhncaqI54jiuVlhLAmIkv8UBobXhdfIFK2GQ==" saltValue="R3JefkdZ1VoZQAxm1Nqm3g=="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E00-000000000000}">
      <formula1>I6</formula1>
    </dataValidation>
    <dataValidation type="date" operator="greaterThanOrEqual" allowBlank="1" showInputMessage="1" showErrorMessage="1" errorTitle="Date Error" error="End date must be later than begin date." sqref="C81:C86 C90:C95" xr:uid="{00000000-0002-0000-0E00-000001000000}">
      <formula1>B81</formula1>
    </dataValidation>
    <dataValidation type="list" allowBlank="1" showInputMessage="1" showErrorMessage="1" sqref="I12 I14 I20 I23 I38:J38" xr:uid="{00000000-0002-0000-0E00-000002000000}">
      <formula1>"Y,N"</formula1>
    </dataValidation>
    <dataValidation type="list" allowBlank="1" showInputMessage="1" showErrorMessage="1" sqref="D2" xr:uid="{00000000-0002-0000-0E00-000003000000}">
      <formula1>"29,29A"</formula1>
    </dataValidation>
    <dataValidation type="whole" allowBlank="1" showInputMessage="1" showErrorMessage="1" sqref="A2" xr:uid="{00000000-0002-0000-0E00-000004000000}">
      <formula1>1</formula1>
      <formula2>99</formula2>
    </dataValidation>
    <dataValidation type="textLength" operator="greaterThan" allowBlank="1" showInputMessage="1" showErrorMessage="1" sqref="D3:F4" xr:uid="{00000000-0002-0000-0E00-000005000000}">
      <formula1>1</formula1>
    </dataValidation>
    <dataValidation type="whole" allowBlank="1" showInputMessage="1" showErrorMessage="1" sqref="X81:X86 V90:V95 V81:V86 X90:X95" xr:uid="{00000000-0002-0000-0E00-000006000000}">
      <formula1>0</formula1>
      <formula2>99</formula2>
    </dataValidation>
    <dataValidation type="whole" allowBlank="1" showInputMessage="1" showErrorMessage="1" sqref="S81:S86 S90:S95" xr:uid="{00000000-0002-0000-0E00-000007000000}">
      <formula1>0</formula1>
      <formula2>14</formula2>
    </dataValidation>
    <dataValidation type="date" operator="greaterThan" allowBlank="1" showInputMessage="1" showErrorMessage="1" errorTitle="Date Error" error="Begin date must be later than previous end date." sqref="B82:B86 B91:B95" xr:uid="{00000000-0002-0000-0E00-000008000000}">
      <formula1>C81</formula1>
    </dataValidation>
    <dataValidation type="decimal" operator="greaterThanOrEqual" allowBlank="1" showInputMessage="1" showErrorMessage="1" sqref="F81:F86 L90:L95 P90:P95 H81:H86 J81:J86 L81:L86 D90:D95 F90:F95 P81:P86 N81:N86 H90:H95 J90:J95 D81:D86 N90:N95" xr:uid="{00000000-0002-0000-0E00-000009000000}">
      <formula1>0</formula1>
    </dataValidation>
    <dataValidation type="list" allowBlank="1" showInputMessage="1" showErrorMessage="1" sqref="I42:J42 C45 H45 I46:J46 C49 H49 I50:J50 C53 H53 I35:J35 I65 I25:J28 I54:J61" xr:uid="{00000000-0002-0000-0E00-00000A000000}">
      <formula1>"Y,N,NA"</formula1>
    </dataValidation>
    <dataValidation type="date" operator="greaterThanOrEqual" allowBlank="1" showInputMessage="1" showErrorMessage="1" sqref="E45 J45 E49 J49 E53 J53 B81 B90 G4:J4 I8:J11 I6:J6 L2 J2 D6:E11" xr:uid="{00000000-0002-0000-0E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14</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uhXjggAK3JXbX/ZvJo0jEpqRx4SI7ZfHwauFnuMimvij5+kFJJr/nJRnma9Q+D9ng0S6bsNWT+7EsJ9O184wtQ==" saltValue="m8lMpyA8pYAPYoO8Dxn+C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F00-000000000000}">
      <formula1>I6</formula1>
    </dataValidation>
    <dataValidation type="date" operator="greaterThanOrEqual" allowBlank="1" showInputMessage="1" showErrorMessage="1" errorTitle="Date Error" error="End date must be later than begin date." sqref="C81:C86 C90:C95" xr:uid="{00000000-0002-0000-0F00-000001000000}">
      <formula1>B81</formula1>
    </dataValidation>
    <dataValidation type="list" allowBlank="1" showInputMessage="1" showErrorMessage="1" sqref="I12 I14 I20 I23 I38:J38" xr:uid="{00000000-0002-0000-0F00-000002000000}">
      <formula1>"Y,N"</formula1>
    </dataValidation>
    <dataValidation type="list" allowBlank="1" showInputMessage="1" showErrorMessage="1" sqref="D2" xr:uid="{00000000-0002-0000-0F00-000003000000}">
      <formula1>"29,29A"</formula1>
    </dataValidation>
    <dataValidation type="whole" allowBlank="1" showInputMessage="1" showErrorMessage="1" sqref="A2" xr:uid="{00000000-0002-0000-0F00-000004000000}">
      <formula1>1</formula1>
      <formula2>99</formula2>
    </dataValidation>
    <dataValidation type="textLength" operator="greaterThan" allowBlank="1" showInputMessage="1" showErrorMessage="1" sqref="D3:F4" xr:uid="{00000000-0002-0000-0F00-000005000000}">
      <formula1>1</formula1>
    </dataValidation>
    <dataValidation type="whole" allowBlank="1" showInputMessage="1" showErrorMessage="1" sqref="X81:X86 V90:V95 V81:V86 X90:X95" xr:uid="{00000000-0002-0000-0F00-000006000000}">
      <formula1>0</formula1>
      <formula2>99</formula2>
    </dataValidation>
    <dataValidation type="whole" allowBlank="1" showInputMessage="1" showErrorMessage="1" sqref="S81:S86 S90:S95" xr:uid="{00000000-0002-0000-0F00-000007000000}">
      <formula1>0</formula1>
      <formula2>14</formula2>
    </dataValidation>
    <dataValidation type="date" operator="greaterThan" allowBlank="1" showInputMessage="1" showErrorMessage="1" errorTitle="Date Error" error="Begin date must be later than previous end date." sqref="B82:B86 B91:B95" xr:uid="{00000000-0002-0000-0F00-000008000000}">
      <formula1>C81</formula1>
    </dataValidation>
    <dataValidation type="decimal" operator="greaterThanOrEqual" allowBlank="1" showInputMessage="1" showErrorMessage="1" sqref="F81:F86 L90:L95 P90:P95 H81:H86 J81:J86 L81:L86 D90:D95 F90:F95 P81:P86 N81:N86 H90:H95 J90:J95 D81:D86 N90:N95" xr:uid="{00000000-0002-0000-0F00-000009000000}">
      <formula1>0</formula1>
    </dataValidation>
    <dataValidation type="list" allowBlank="1" showInputMessage="1" showErrorMessage="1" sqref="I42:J42 C45 H45 I46:J46 C49 H49 I50:J50 C53 H53 I35:J35 I65 I25:J28 I54:J61" xr:uid="{00000000-0002-0000-0F00-00000A000000}">
      <formula1>"Y,N,NA"</formula1>
    </dataValidation>
    <dataValidation type="date" operator="greaterThanOrEqual" allowBlank="1" showInputMessage="1" showErrorMessage="1" sqref="E45 J45 E49 J49 E53 J53 B81 B90 G4:J4 I8:J11 I6:J6 L2 J2 D6:E11" xr:uid="{00000000-0002-0000-0F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15</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50m3Gh/3a+cNfwyNb4MSF5f162NYd5bb23YXglzHCyOtWpfcJGO8njizRNefysKOBvVwCgNwvsB7Z7BFVBjsrw==" saltValue="MntZeh7RS6UODBNIIMpAb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000-000000000000}">
      <formula1>I6</formula1>
    </dataValidation>
    <dataValidation type="date" operator="greaterThanOrEqual" allowBlank="1" showInputMessage="1" showErrorMessage="1" errorTitle="Date Error" error="End date must be later than begin date." sqref="C81:C86 C90:C95" xr:uid="{00000000-0002-0000-1000-000001000000}">
      <formula1>B81</formula1>
    </dataValidation>
    <dataValidation type="list" allowBlank="1" showInputMessage="1" showErrorMessage="1" sqref="I12 I14 I20 I23 I38:J38" xr:uid="{00000000-0002-0000-1000-000002000000}">
      <formula1>"Y,N"</formula1>
    </dataValidation>
    <dataValidation type="list" allowBlank="1" showInputMessage="1" showErrorMessage="1" sqref="D2" xr:uid="{00000000-0002-0000-1000-000003000000}">
      <formula1>"29,29A"</formula1>
    </dataValidation>
    <dataValidation type="whole" allowBlank="1" showInputMessage="1" showErrorMessage="1" sqref="A2" xr:uid="{00000000-0002-0000-1000-000004000000}">
      <formula1>1</formula1>
      <formula2>99</formula2>
    </dataValidation>
    <dataValidation type="textLength" operator="greaterThan" allowBlank="1" showInputMessage="1" showErrorMessage="1" sqref="D3:F4" xr:uid="{00000000-0002-0000-1000-000005000000}">
      <formula1>1</formula1>
    </dataValidation>
    <dataValidation type="whole" allowBlank="1" showInputMessage="1" showErrorMessage="1" sqref="X81:X86 V90:V95 V81:V86 X90:X95" xr:uid="{00000000-0002-0000-1000-000006000000}">
      <formula1>0</formula1>
      <formula2>99</formula2>
    </dataValidation>
    <dataValidation type="whole" allowBlank="1" showInputMessage="1" showErrorMessage="1" sqref="S81:S86 S90:S95" xr:uid="{00000000-0002-0000-1000-000007000000}">
      <formula1>0</formula1>
      <formula2>14</formula2>
    </dataValidation>
    <dataValidation type="date" operator="greaterThan" allowBlank="1" showInputMessage="1" showErrorMessage="1" errorTitle="Date Error" error="Begin date must be later than previous end date." sqref="B82:B86 B91:B95" xr:uid="{00000000-0002-0000-1000-000008000000}">
      <formula1>C81</formula1>
    </dataValidation>
    <dataValidation type="decimal" operator="greaterThanOrEqual" allowBlank="1" showInputMessage="1" showErrorMessage="1" sqref="F81:F86 L90:L95 P90:P95 H81:H86 J81:J86 L81:L86 D90:D95 F90:F95 P81:P86 N81:N86 H90:H95 J90:J95 D81:D86 N90:N95" xr:uid="{00000000-0002-0000-1000-000009000000}">
      <formula1>0</formula1>
    </dataValidation>
    <dataValidation type="list" allowBlank="1" showInputMessage="1" showErrorMessage="1" sqref="I42:J42 C45 H45 I46:J46 C49 H49 I50:J50 C53 H53 I35:J35 I65 I25:J28 I54:J61" xr:uid="{00000000-0002-0000-1000-00000A000000}">
      <formula1>"Y,N,NA"</formula1>
    </dataValidation>
    <dataValidation type="date" operator="greaterThanOrEqual" allowBlank="1" showInputMessage="1" showErrorMessage="1" sqref="E45 J45 E49 J49 E53 J53 B81 B90 G4:J4 I8:J11 I6:J6 L2 J2 D6:E11" xr:uid="{00000000-0002-0000-10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16</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ItSVXR+LuBWLHBfY2L4UvzxdBeCruwDdQtF/YhtwNLcgu6tsOye/KyCB3kAYYPZ88BhFpS8P2s304wlSxKQ8nA==" saltValue="TZyjPf6kZwmnzpKXPKpnF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100-000000000000}">
      <formula1>I6</formula1>
    </dataValidation>
    <dataValidation type="date" operator="greaterThanOrEqual" allowBlank="1" showInputMessage="1" showErrorMessage="1" errorTitle="Date Error" error="End date must be later than begin date." sqref="C81:C86 C90:C95" xr:uid="{00000000-0002-0000-1100-000001000000}">
      <formula1>B81</formula1>
    </dataValidation>
    <dataValidation type="list" allowBlank="1" showInputMessage="1" showErrorMessage="1" sqref="I12 I14 I20 I23 I38:J38" xr:uid="{00000000-0002-0000-1100-000002000000}">
      <formula1>"Y,N"</formula1>
    </dataValidation>
    <dataValidation type="list" allowBlank="1" showInputMessage="1" showErrorMessage="1" sqref="D2" xr:uid="{00000000-0002-0000-1100-000003000000}">
      <formula1>"29,29A"</formula1>
    </dataValidation>
    <dataValidation type="whole" allowBlank="1" showInputMessage="1" showErrorMessage="1" sqref="A2" xr:uid="{00000000-0002-0000-1100-000004000000}">
      <formula1>1</formula1>
      <formula2>99</formula2>
    </dataValidation>
    <dataValidation type="textLength" operator="greaterThan" allowBlank="1" showInputMessage="1" showErrorMessage="1" sqref="D3:F4" xr:uid="{00000000-0002-0000-1100-000005000000}">
      <formula1>1</formula1>
    </dataValidation>
    <dataValidation type="whole" allowBlank="1" showInputMessage="1" showErrorMessage="1" sqref="X81:X86 V90:V95 V81:V86 X90:X95" xr:uid="{00000000-0002-0000-1100-000006000000}">
      <formula1>0</formula1>
      <formula2>99</formula2>
    </dataValidation>
    <dataValidation type="whole" allowBlank="1" showInputMessage="1" showErrorMessage="1" sqref="S81:S86 S90:S95" xr:uid="{00000000-0002-0000-1100-000007000000}">
      <formula1>0</formula1>
      <formula2>14</formula2>
    </dataValidation>
    <dataValidation type="date" operator="greaterThan" allowBlank="1" showInputMessage="1" showErrorMessage="1" errorTitle="Date Error" error="Begin date must be later than previous end date." sqref="B82:B86 B91:B95" xr:uid="{00000000-0002-0000-1100-000008000000}">
      <formula1>C81</formula1>
    </dataValidation>
    <dataValidation type="decimal" operator="greaterThanOrEqual" allowBlank="1" showInputMessage="1" showErrorMessage="1" sqref="F81:F86 L90:L95 P90:P95 H81:H86 J81:J86 L81:L86 D90:D95 F90:F95 P81:P86 N81:N86 H90:H95 J90:J95 D81:D86 N90:N95" xr:uid="{00000000-0002-0000-1100-000009000000}">
      <formula1>0</formula1>
    </dataValidation>
    <dataValidation type="list" allowBlank="1" showInputMessage="1" showErrorMessage="1" sqref="I42:J42 C45 H45 I46:J46 C49 H49 I50:J50 C53 H53 I35:J35 I65 I25:J28 I54:J61" xr:uid="{00000000-0002-0000-1100-00000A000000}">
      <formula1>"Y,N,NA"</formula1>
    </dataValidation>
    <dataValidation type="date" operator="greaterThanOrEqual" allowBlank="1" showInputMessage="1" showErrorMessage="1" sqref="E45 J45 E49 J49 E53 J53 B81 B90 G4:J4 I8:J11 I6:J6 L2 J2 D6:E11" xr:uid="{00000000-0002-0000-11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17</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AOrJkWMAH2lQDYqL3YW132R4GU9YkzFPAW5cfGPPVDkaSKYj2MCiyvdld/ephl8XarW0NpLZMn9ZlO0dzxUcw==" saltValue="DX4vbPvQ1T7579RZRzuO4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200-000000000000}">
      <formula1>I6</formula1>
    </dataValidation>
    <dataValidation type="date" operator="greaterThanOrEqual" allowBlank="1" showInputMessage="1" showErrorMessage="1" errorTitle="Date Error" error="End date must be later than begin date." sqref="C81:C86 C90:C95" xr:uid="{00000000-0002-0000-1200-000001000000}">
      <formula1>B81</formula1>
    </dataValidation>
    <dataValidation type="list" allowBlank="1" showInputMessage="1" showErrorMessage="1" sqref="I12 I14 I20 I23 I38:J38" xr:uid="{00000000-0002-0000-1200-000002000000}">
      <formula1>"Y,N"</formula1>
    </dataValidation>
    <dataValidation type="list" allowBlank="1" showInputMessage="1" showErrorMessage="1" sqref="D2" xr:uid="{00000000-0002-0000-1200-000003000000}">
      <formula1>"29,29A"</formula1>
    </dataValidation>
    <dataValidation type="whole" allowBlank="1" showInputMessage="1" showErrorMessage="1" sqref="A2" xr:uid="{00000000-0002-0000-1200-000004000000}">
      <formula1>1</formula1>
      <formula2>99</formula2>
    </dataValidation>
    <dataValidation type="textLength" operator="greaterThan" allowBlank="1" showInputMessage="1" showErrorMessage="1" sqref="D3:F4" xr:uid="{00000000-0002-0000-1200-000005000000}">
      <formula1>1</formula1>
    </dataValidation>
    <dataValidation type="whole" allowBlank="1" showInputMessage="1" showErrorMessage="1" sqref="X81:X86 V90:V95 V81:V86 X90:X95" xr:uid="{00000000-0002-0000-1200-000006000000}">
      <formula1>0</formula1>
      <formula2>99</formula2>
    </dataValidation>
    <dataValidation type="whole" allowBlank="1" showInputMessage="1" showErrorMessage="1" sqref="S81:S86 S90:S95" xr:uid="{00000000-0002-0000-1200-000007000000}">
      <formula1>0</formula1>
      <formula2>14</formula2>
    </dataValidation>
    <dataValidation type="date" operator="greaterThan" allowBlank="1" showInputMessage="1" showErrorMessage="1" errorTitle="Date Error" error="Begin date must be later than previous end date." sqref="B82:B86 B91:B95" xr:uid="{00000000-0002-0000-1200-000008000000}">
      <formula1>C81</formula1>
    </dataValidation>
    <dataValidation type="decimal" operator="greaterThanOrEqual" allowBlank="1" showInputMessage="1" showErrorMessage="1" sqref="F81:F86 L90:L95 P90:P95 H81:H86 J81:J86 L81:L86 D90:D95 F90:F95 P81:P86 N81:N86 H90:H95 J90:J95 D81:D86 N90:N95" xr:uid="{00000000-0002-0000-1200-000009000000}">
      <formula1>0</formula1>
    </dataValidation>
    <dataValidation type="list" allowBlank="1" showInputMessage="1" showErrorMessage="1" sqref="I42:J42 C45 H45 I46:J46 C49 H49 I50:J50 C53 H53 I35:J35 I65 I25:J28 I54:J61" xr:uid="{00000000-0002-0000-1200-00000A000000}">
      <formula1>"Y,N,NA"</formula1>
    </dataValidation>
    <dataValidation type="date" operator="greaterThanOrEqual" allowBlank="1" showInputMessage="1" showErrorMessage="1" sqref="E45 J45 E49 J49 E53 J53 B81 B90 G4:J4 I8:J11 I6:J6 L2 J2 D6:E11" xr:uid="{00000000-0002-0000-12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S318"/>
  <sheetViews>
    <sheetView tabSelected="1" zoomScaleNormal="100" workbookViewId="0">
      <selection activeCell="G2" sqref="G2:H2"/>
    </sheetView>
  </sheetViews>
  <sheetFormatPr defaultColWidth="9.08984375" defaultRowHeight="15.5"/>
  <cols>
    <col min="1" max="1" width="9.08984375" style="1"/>
    <col min="2" max="2" width="14.453125" style="1" customWidth="1"/>
    <col min="3" max="7" width="9.08984375" style="1"/>
    <col min="8" max="8" width="17.453125" style="1" customWidth="1"/>
    <col min="9" max="10" width="10.90625" style="1" customWidth="1"/>
    <col min="11" max="11" width="11" style="1" bestFit="1" customWidth="1"/>
    <col min="12" max="12" width="13.08984375" style="1" bestFit="1" customWidth="1"/>
    <col min="13" max="13" width="10.90625" style="1" bestFit="1" customWidth="1"/>
    <col min="14" max="16384" width="9.08984375" style="1"/>
  </cols>
  <sheetData>
    <row r="1" spans="1:12" ht="15.75" customHeight="1" thickTop="1" thickBot="1">
      <c r="A1" s="285" t="s">
        <v>0</v>
      </c>
      <c r="B1" s="286"/>
      <c r="C1" s="286"/>
      <c r="D1" s="287"/>
      <c r="E1" s="285" t="s">
        <v>1</v>
      </c>
      <c r="F1" s="287"/>
      <c r="G1" s="285" t="s">
        <v>2</v>
      </c>
      <c r="H1" s="286"/>
      <c r="I1" s="285" t="s">
        <v>43</v>
      </c>
      <c r="J1" s="287"/>
      <c r="K1" s="223"/>
      <c r="L1" s="224" t="s">
        <v>646</v>
      </c>
    </row>
    <row r="2" spans="1:12" ht="16" thickBot="1">
      <c r="A2" s="288"/>
      <c r="B2" s="289"/>
      <c r="C2" s="289"/>
      <c r="D2" s="290"/>
      <c r="E2" s="291"/>
      <c r="F2" s="292"/>
      <c r="G2" s="291"/>
      <c r="H2" s="293"/>
      <c r="I2" s="294"/>
      <c r="J2" s="295"/>
      <c r="K2" s="223" t="str">
        <f ca="1">Data!D1</f>
        <v>V5.0.11</v>
      </c>
      <c r="L2" s="225">
        <v>45330</v>
      </c>
    </row>
    <row r="3" spans="1:12" ht="15.75" customHeight="1" thickTop="1" thickBot="1">
      <c r="A3" s="438" t="s">
        <v>3</v>
      </c>
      <c r="B3" s="439"/>
      <c r="C3" s="265" t="s">
        <v>4</v>
      </c>
      <c r="D3" s="266"/>
      <c r="E3" s="265" t="s">
        <v>531</v>
      </c>
      <c r="F3" s="266"/>
      <c r="G3" s="265" t="s">
        <v>531</v>
      </c>
      <c r="H3" s="266"/>
      <c r="I3" s="265" t="s">
        <v>567</v>
      </c>
      <c r="J3" s="266"/>
    </row>
    <row r="4" spans="1:12" ht="15" customHeight="1" thickBot="1">
      <c r="A4" s="48" t="s">
        <v>6</v>
      </c>
      <c r="B4" s="183"/>
      <c r="C4" s="267" t="s">
        <v>7</v>
      </c>
      <c r="D4" s="268"/>
      <c r="E4" s="267" t="s">
        <v>532</v>
      </c>
      <c r="F4" s="268"/>
      <c r="G4" s="267" t="s">
        <v>578</v>
      </c>
      <c r="H4" s="268"/>
      <c r="I4" s="34" t="s">
        <v>8</v>
      </c>
      <c r="J4" s="78" t="str">
        <f>IF(DateOfMonitoringPeriodBegin="","",DateOfMonitoringPeriodBegin)</f>
        <v/>
      </c>
    </row>
    <row r="5" spans="1:12" ht="16.5" customHeight="1" thickBot="1">
      <c r="A5" s="49" t="s">
        <v>9</v>
      </c>
      <c r="B5" s="184"/>
      <c r="C5" s="440"/>
      <c r="D5" s="441"/>
      <c r="E5" s="440"/>
      <c r="F5" s="441"/>
      <c r="G5" s="315"/>
      <c r="H5" s="316"/>
      <c r="I5" s="34" t="s">
        <v>10</v>
      </c>
      <c r="J5" s="79" t="str">
        <f>IF(DateOfMonitoringPeriodEnd="","",DateOfMonitoringPeriodEnd)</f>
        <v/>
      </c>
    </row>
    <row r="6" spans="1:12" ht="37.5" customHeight="1" thickTop="1" thickBot="1">
      <c r="A6" s="298" t="s">
        <v>86</v>
      </c>
      <c r="B6" s="299"/>
      <c r="C6" s="299"/>
      <c r="D6" s="299"/>
      <c r="E6" s="299"/>
      <c r="F6" s="299"/>
      <c r="G6" s="299"/>
      <c r="H6" s="299"/>
      <c r="I6" s="299"/>
      <c r="J6" s="300"/>
    </row>
    <row r="7" spans="1:12" ht="17.25" customHeight="1" thickTop="1" thickBot="1">
      <c r="A7" s="309" t="s">
        <v>87</v>
      </c>
      <c r="B7" s="310"/>
      <c r="C7" s="310"/>
      <c r="D7" s="310"/>
      <c r="E7" s="310"/>
      <c r="F7" s="310"/>
      <c r="G7" s="310"/>
      <c r="H7" s="310"/>
      <c r="I7" s="310"/>
      <c r="J7" s="311"/>
    </row>
    <row r="8" spans="1:12" ht="27.75" customHeight="1" thickTop="1" thickBot="1">
      <c r="A8" s="253" t="s">
        <v>655</v>
      </c>
      <c r="B8" s="296"/>
      <c r="C8" s="296"/>
      <c r="D8" s="296"/>
      <c r="E8" s="296"/>
      <c r="F8" s="296"/>
      <c r="G8" s="296"/>
      <c r="H8" s="296"/>
      <c r="I8" s="297"/>
      <c r="J8" s="42" t="s">
        <v>11</v>
      </c>
    </row>
    <row r="9" spans="1:12" ht="15" customHeight="1" thickTop="1">
      <c r="A9" s="304" t="s">
        <v>658</v>
      </c>
      <c r="B9" s="305"/>
      <c r="C9" s="305"/>
      <c r="D9" s="305"/>
      <c r="E9" s="305"/>
      <c r="F9" s="305"/>
      <c r="G9" s="305"/>
      <c r="H9" s="305"/>
      <c r="I9" s="306"/>
      <c r="J9" s="307"/>
    </row>
    <row r="10" spans="1:12" ht="26.25" customHeight="1">
      <c r="A10" s="301" t="s">
        <v>88</v>
      </c>
      <c r="B10" s="302"/>
      <c r="C10" s="302"/>
      <c r="D10" s="302"/>
      <c r="E10" s="302"/>
      <c r="F10" s="302"/>
      <c r="G10" s="302"/>
      <c r="H10" s="302"/>
      <c r="I10" s="303"/>
      <c r="J10" s="307"/>
    </row>
    <row r="11" spans="1:12" ht="15.75" customHeight="1">
      <c r="A11" s="301" t="s">
        <v>656</v>
      </c>
      <c r="B11" s="302"/>
      <c r="C11" s="302"/>
      <c r="D11" s="302"/>
      <c r="E11" s="302"/>
      <c r="F11" s="302"/>
      <c r="G11" s="302"/>
      <c r="H11" s="302"/>
      <c r="I11" s="303"/>
      <c r="J11" s="307"/>
    </row>
    <row r="12" spans="1:12" ht="15.75" customHeight="1">
      <c r="A12" s="301" t="s">
        <v>657</v>
      </c>
      <c r="B12" s="302"/>
      <c r="C12" s="302"/>
      <c r="D12" s="302"/>
      <c r="E12" s="302"/>
      <c r="F12" s="302"/>
      <c r="G12" s="302"/>
      <c r="H12" s="302"/>
      <c r="I12" s="303"/>
      <c r="J12" s="307"/>
    </row>
    <row r="13" spans="1:12" ht="16" thickBot="1">
      <c r="A13" s="312" t="s">
        <v>659</v>
      </c>
      <c r="B13" s="313"/>
      <c r="C13" s="313"/>
      <c r="D13" s="313"/>
      <c r="E13" s="313"/>
      <c r="F13" s="313"/>
      <c r="G13" s="313"/>
      <c r="H13" s="313"/>
      <c r="I13" s="314"/>
      <c r="J13" s="308"/>
    </row>
    <row r="14" spans="1:12" ht="32.25" customHeight="1" thickTop="1" thickBot="1">
      <c r="A14" s="253" t="s">
        <v>660</v>
      </c>
      <c r="B14" s="296"/>
      <c r="C14" s="296"/>
      <c r="D14" s="296"/>
      <c r="E14" s="296"/>
      <c r="F14" s="296"/>
      <c r="G14" s="296"/>
      <c r="H14" s="296"/>
      <c r="I14" s="297"/>
      <c r="J14" s="42" t="s">
        <v>11</v>
      </c>
    </row>
    <row r="15" spans="1:12" ht="38.25" customHeight="1" thickTop="1">
      <c r="A15" s="445" t="s">
        <v>661</v>
      </c>
      <c r="B15" s="446"/>
      <c r="C15" s="446"/>
      <c r="D15" s="446"/>
      <c r="E15" s="446"/>
      <c r="F15" s="446"/>
      <c r="G15" s="446"/>
      <c r="H15" s="446"/>
      <c r="I15" s="447"/>
      <c r="J15" s="323"/>
    </row>
    <row r="16" spans="1:12" ht="14.25" customHeight="1">
      <c r="A16" s="301" t="s">
        <v>662</v>
      </c>
      <c r="B16" s="302"/>
      <c r="C16" s="302"/>
      <c r="D16" s="302"/>
      <c r="E16" s="302"/>
      <c r="F16" s="302"/>
      <c r="G16" s="302"/>
      <c r="H16" s="302"/>
      <c r="I16" s="303"/>
      <c r="J16" s="307"/>
    </row>
    <row r="17" spans="1:10" ht="13.5" customHeight="1">
      <c r="A17" s="301" t="s">
        <v>663</v>
      </c>
      <c r="B17" s="302"/>
      <c r="C17" s="302"/>
      <c r="D17" s="302"/>
      <c r="E17" s="302"/>
      <c r="F17" s="302"/>
      <c r="G17" s="302"/>
      <c r="H17" s="302"/>
      <c r="I17" s="303"/>
      <c r="J17" s="307"/>
    </row>
    <row r="18" spans="1:10" ht="15" customHeight="1">
      <c r="A18" s="301" t="s">
        <v>664</v>
      </c>
      <c r="B18" s="302"/>
      <c r="C18" s="302"/>
      <c r="D18" s="302"/>
      <c r="E18" s="302"/>
      <c r="F18" s="302"/>
      <c r="G18" s="302"/>
      <c r="H18" s="302"/>
      <c r="I18" s="303"/>
      <c r="J18" s="307"/>
    </row>
    <row r="19" spans="1:10" ht="16.5" customHeight="1">
      <c r="A19" s="364" t="s">
        <v>665</v>
      </c>
      <c r="B19" s="365"/>
      <c r="C19" s="365"/>
      <c r="D19" s="365"/>
      <c r="E19" s="365"/>
      <c r="F19" s="365"/>
      <c r="G19" s="365"/>
      <c r="H19" s="365"/>
      <c r="I19" s="366"/>
      <c r="J19" s="307"/>
    </row>
    <row r="20" spans="1:10" ht="26.25" customHeight="1">
      <c r="A20" s="364" t="s">
        <v>666</v>
      </c>
      <c r="B20" s="365"/>
      <c r="C20" s="365"/>
      <c r="D20" s="365"/>
      <c r="E20" s="365"/>
      <c r="F20" s="365"/>
      <c r="G20" s="365"/>
      <c r="H20" s="365"/>
      <c r="I20" s="366"/>
      <c r="J20" s="307"/>
    </row>
    <row r="21" spans="1:10" ht="16" thickBot="1">
      <c r="A21" s="312" t="s">
        <v>685</v>
      </c>
      <c r="B21" s="313"/>
      <c r="C21" s="313"/>
      <c r="D21" s="313"/>
      <c r="E21" s="313"/>
      <c r="F21" s="313"/>
      <c r="G21" s="313"/>
      <c r="H21" s="313"/>
      <c r="I21" s="314"/>
      <c r="J21" s="308"/>
    </row>
    <row r="22" spans="1:10" ht="42" customHeight="1" thickTop="1" thickBot="1">
      <c r="A22" s="253" t="s">
        <v>667</v>
      </c>
      <c r="B22" s="296"/>
      <c r="C22" s="296"/>
      <c r="D22" s="296"/>
      <c r="E22" s="296"/>
      <c r="F22" s="296"/>
      <c r="G22" s="296"/>
      <c r="H22" s="296"/>
      <c r="I22" s="297"/>
      <c r="J22" s="42" t="s">
        <v>11</v>
      </c>
    </row>
    <row r="23" spans="1:10" ht="17.149999999999999" customHeight="1" thickTop="1">
      <c r="A23" s="454" t="s">
        <v>688</v>
      </c>
      <c r="B23" s="455"/>
      <c r="C23" s="455"/>
      <c r="D23" s="455"/>
      <c r="E23" s="455"/>
      <c r="F23" s="455"/>
      <c r="G23" s="455"/>
      <c r="H23" s="455"/>
      <c r="I23" s="456"/>
      <c r="J23" s="323"/>
    </row>
    <row r="24" spans="1:10" ht="17.149999999999999" customHeight="1">
      <c r="A24" s="454"/>
      <c r="B24" s="455"/>
      <c r="C24" s="455"/>
      <c r="D24" s="455"/>
      <c r="E24" s="455"/>
      <c r="F24" s="455"/>
      <c r="G24" s="455"/>
      <c r="H24" s="455"/>
      <c r="I24" s="456"/>
      <c r="J24" s="307"/>
    </row>
    <row r="25" spans="1:10" ht="17.149999999999999" customHeight="1">
      <c r="A25" s="454" t="s">
        <v>689</v>
      </c>
      <c r="B25" s="455"/>
      <c r="C25" s="455"/>
      <c r="D25" s="455"/>
      <c r="E25" s="455"/>
      <c r="F25" s="455"/>
      <c r="G25" s="455"/>
      <c r="H25" s="455"/>
      <c r="I25" s="456"/>
      <c r="J25" s="307"/>
    </row>
    <row r="26" spans="1:10" ht="17.149999999999999" customHeight="1">
      <c r="A26" s="454"/>
      <c r="B26" s="455"/>
      <c r="C26" s="455"/>
      <c r="D26" s="455"/>
      <c r="E26" s="455"/>
      <c r="F26" s="455"/>
      <c r="G26" s="455"/>
      <c r="H26" s="455"/>
      <c r="I26" s="456"/>
      <c r="J26" s="307"/>
    </row>
    <row r="27" spans="1:10" ht="18" customHeight="1">
      <c r="A27" s="454" t="s">
        <v>690</v>
      </c>
      <c r="B27" s="455"/>
      <c r="C27" s="455"/>
      <c r="D27" s="455"/>
      <c r="E27" s="455"/>
      <c r="F27" s="455"/>
      <c r="G27" s="455"/>
      <c r="H27" s="455"/>
      <c r="I27" s="456"/>
      <c r="J27" s="307"/>
    </row>
    <row r="28" spans="1:10" ht="18" customHeight="1">
      <c r="A28" s="454"/>
      <c r="B28" s="455"/>
      <c r="C28" s="455"/>
      <c r="D28" s="455"/>
      <c r="E28" s="455"/>
      <c r="F28" s="455"/>
      <c r="G28" s="455"/>
      <c r="H28" s="455"/>
      <c r="I28" s="456"/>
      <c r="J28" s="307"/>
    </row>
    <row r="29" spans="1:10" ht="17.149999999999999" customHeight="1" thickBot="1">
      <c r="A29" s="451" t="s">
        <v>687</v>
      </c>
      <c r="B29" s="452"/>
      <c r="C29" s="452"/>
      <c r="D29" s="452"/>
      <c r="E29" s="452"/>
      <c r="F29" s="452"/>
      <c r="G29" s="452"/>
      <c r="H29" s="452"/>
      <c r="I29" s="453"/>
      <c r="J29" s="308"/>
    </row>
    <row r="30" spans="1:10" ht="40.5" customHeight="1" thickTop="1" thickBot="1">
      <c r="A30" s="253" t="s">
        <v>580</v>
      </c>
      <c r="B30" s="296"/>
      <c r="C30" s="296"/>
      <c r="D30" s="296"/>
      <c r="E30" s="296"/>
      <c r="F30" s="296"/>
      <c r="G30" s="296"/>
      <c r="H30" s="296"/>
      <c r="I30" s="297"/>
      <c r="J30" s="42" t="s">
        <v>11</v>
      </c>
    </row>
    <row r="31" spans="1:10" ht="16" thickTop="1">
      <c r="A31" s="320" t="s">
        <v>89</v>
      </c>
      <c r="B31" s="321"/>
      <c r="C31" s="321"/>
      <c r="D31" s="321"/>
      <c r="E31" s="321"/>
      <c r="F31" s="321"/>
      <c r="G31" s="321"/>
      <c r="H31" s="321"/>
      <c r="I31" s="322"/>
      <c r="J31" s="448"/>
    </row>
    <row r="32" spans="1:10" ht="40.5" customHeight="1">
      <c r="A32" s="364" t="s">
        <v>765</v>
      </c>
      <c r="B32" s="365"/>
      <c r="C32" s="365"/>
      <c r="D32" s="365"/>
      <c r="E32" s="365"/>
      <c r="F32" s="365"/>
      <c r="G32" s="365"/>
      <c r="H32" s="365"/>
      <c r="I32" s="366"/>
      <c r="J32" s="449"/>
    </row>
    <row r="33" spans="1:10" ht="26.25" customHeight="1">
      <c r="A33" s="364" t="s">
        <v>90</v>
      </c>
      <c r="B33" s="365"/>
      <c r="C33" s="365"/>
      <c r="D33" s="365"/>
      <c r="E33" s="365"/>
      <c r="F33" s="365"/>
      <c r="G33" s="365"/>
      <c r="H33" s="365"/>
      <c r="I33" s="366"/>
      <c r="J33" s="449"/>
    </row>
    <row r="34" spans="1:10" ht="29.25" customHeight="1">
      <c r="A34" s="364" t="s">
        <v>766</v>
      </c>
      <c r="B34" s="365"/>
      <c r="C34" s="365"/>
      <c r="D34" s="365"/>
      <c r="E34" s="365"/>
      <c r="F34" s="365"/>
      <c r="G34" s="365"/>
      <c r="H34" s="365"/>
      <c r="I34" s="366"/>
      <c r="J34" s="449"/>
    </row>
    <row r="35" spans="1:10" ht="25.5" customHeight="1" thickBot="1">
      <c r="A35" s="312" t="s">
        <v>668</v>
      </c>
      <c r="B35" s="313"/>
      <c r="C35" s="313"/>
      <c r="D35" s="313"/>
      <c r="E35" s="313"/>
      <c r="F35" s="313"/>
      <c r="G35" s="313"/>
      <c r="H35" s="313"/>
      <c r="I35" s="314"/>
      <c r="J35" s="450"/>
    </row>
    <row r="36" spans="1:10" s="2" customFormat="1" ht="40.5" customHeight="1" thickTop="1" thickBot="1">
      <c r="A36" s="463" t="s">
        <v>732</v>
      </c>
      <c r="B36" s="464"/>
      <c r="C36" s="464"/>
      <c r="D36" s="464"/>
      <c r="E36" s="464"/>
      <c r="F36" s="464"/>
      <c r="G36" s="464"/>
      <c r="H36" s="464"/>
      <c r="I36" s="465"/>
      <c r="J36" s="26" t="s">
        <v>11</v>
      </c>
    </row>
    <row r="37" spans="1:10" s="80" customFormat="1" ht="27.75" customHeight="1" thickTop="1">
      <c r="A37" s="460" t="s">
        <v>595</v>
      </c>
      <c r="B37" s="461"/>
      <c r="C37" s="461"/>
      <c r="D37" s="461"/>
      <c r="E37" s="461"/>
      <c r="F37" s="461"/>
      <c r="G37" s="461"/>
      <c r="H37" s="461"/>
      <c r="I37" s="462"/>
      <c r="J37" s="457"/>
    </row>
    <row r="38" spans="1:10" s="80" customFormat="1" ht="15" customHeight="1">
      <c r="A38" s="442" t="s">
        <v>581</v>
      </c>
      <c r="B38" s="443"/>
      <c r="C38" s="443"/>
      <c r="D38" s="443"/>
      <c r="E38" s="443"/>
      <c r="F38" s="443"/>
      <c r="G38" s="443"/>
      <c r="H38" s="443"/>
      <c r="I38" s="444"/>
      <c r="J38" s="458"/>
    </row>
    <row r="39" spans="1:10" s="80" customFormat="1" ht="15" customHeight="1">
      <c r="A39" s="442" t="s">
        <v>582</v>
      </c>
      <c r="B39" s="443"/>
      <c r="C39" s="443"/>
      <c r="D39" s="443"/>
      <c r="E39" s="443"/>
      <c r="F39" s="443"/>
      <c r="G39" s="443"/>
      <c r="H39" s="443"/>
      <c r="I39" s="444"/>
      <c r="J39" s="458"/>
    </row>
    <row r="40" spans="1:10" s="80" customFormat="1" ht="15" customHeight="1">
      <c r="A40" s="442" t="s">
        <v>583</v>
      </c>
      <c r="B40" s="443"/>
      <c r="C40" s="443"/>
      <c r="D40" s="443"/>
      <c r="E40" s="443"/>
      <c r="F40" s="443"/>
      <c r="G40" s="443"/>
      <c r="H40" s="443"/>
      <c r="I40" s="444"/>
      <c r="J40" s="458"/>
    </row>
    <row r="41" spans="1:10" s="80" customFormat="1" ht="15" customHeight="1">
      <c r="A41" s="442" t="s">
        <v>767</v>
      </c>
      <c r="B41" s="443"/>
      <c r="C41" s="443"/>
      <c r="D41" s="443"/>
      <c r="E41" s="443"/>
      <c r="F41" s="443"/>
      <c r="G41" s="443"/>
      <c r="H41" s="443"/>
      <c r="I41" s="444"/>
      <c r="J41" s="458"/>
    </row>
    <row r="42" spans="1:10" s="80" customFormat="1" ht="15" customHeight="1">
      <c r="A42" s="442" t="s">
        <v>584</v>
      </c>
      <c r="B42" s="443"/>
      <c r="C42" s="443"/>
      <c r="D42" s="443"/>
      <c r="E42" s="443"/>
      <c r="F42" s="443"/>
      <c r="G42" s="443"/>
      <c r="H42" s="443"/>
      <c r="I42" s="444"/>
      <c r="J42" s="458"/>
    </row>
    <row r="43" spans="1:10" s="80" customFormat="1" ht="15.75" customHeight="1">
      <c r="A43" s="442" t="s">
        <v>585</v>
      </c>
      <c r="B43" s="443"/>
      <c r="C43" s="443"/>
      <c r="D43" s="443"/>
      <c r="E43" s="443"/>
      <c r="F43" s="443"/>
      <c r="G43" s="443"/>
      <c r="H43" s="443"/>
      <c r="I43" s="444"/>
      <c r="J43" s="458"/>
    </row>
    <row r="44" spans="1:10" s="80" customFormat="1" ht="15.75" customHeight="1" thickBot="1">
      <c r="A44" s="312" t="s">
        <v>686</v>
      </c>
      <c r="B44" s="313"/>
      <c r="C44" s="313"/>
      <c r="D44" s="313"/>
      <c r="E44" s="313"/>
      <c r="F44" s="313"/>
      <c r="G44" s="313"/>
      <c r="H44" s="313"/>
      <c r="I44" s="314"/>
      <c r="J44" s="459"/>
    </row>
    <row r="45" spans="1:10" ht="26.25" customHeight="1" thickTop="1" thickBot="1">
      <c r="A45" s="253" t="s">
        <v>91</v>
      </c>
      <c r="B45" s="254"/>
      <c r="C45" s="254"/>
      <c r="D45" s="254"/>
      <c r="E45" s="254"/>
      <c r="F45" s="254"/>
      <c r="G45" s="254"/>
      <c r="H45" s="254"/>
      <c r="I45" s="255"/>
      <c r="J45" s="42" t="s">
        <v>11</v>
      </c>
    </row>
    <row r="46" spans="1:10" ht="26.25" customHeight="1" thickTop="1">
      <c r="A46" s="367" t="s">
        <v>92</v>
      </c>
      <c r="B46" s="368"/>
      <c r="C46" s="368"/>
      <c r="D46" s="368"/>
      <c r="E46" s="368"/>
      <c r="F46" s="368"/>
      <c r="G46" s="368"/>
      <c r="H46" s="368"/>
      <c r="I46" s="369"/>
      <c r="J46" s="323"/>
    </row>
    <row r="47" spans="1:10" ht="16" thickBot="1">
      <c r="A47" s="344" t="s">
        <v>93</v>
      </c>
      <c r="B47" s="345"/>
      <c r="C47" s="345"/>
      <c r="D47" s="345"/>
      <c r="E47" s="345"/>
      <c r="F47" s="345"/>
      <c r="G47" s="345"/>
      <c r="H47" s="345"/>
      <c r="I47" s="346"/>
      <c r="J47" s="308"/>
    </row>
    <row r="48" spans="1:10" ht="26.25" customHeight="1" thickTop="1" thickBot="1">
      <c r="A48" s="253" t="s">
        <v>94</v>
      </c>
      <c r="B48" s="296"/>
      <c r="C48" s="296"/>
      <c r="D48" s="296"/>
      <c r="E48" s="296"/>
      <c r="F48" s="296"/>
      <c r="G48" s="296"/>
      <c r="H48" s="296"/>
      <c r="I48" s="297"/>
      <c r="J48" s="42" t="s">
        <v>11</v>
      </c>
    </row>
    <row r="49" spans="1:10" ht="26.25" customHeight="1" thickTop="1">
      <c r="A49" s="320" t="s">
        <v>95</v>
      </c>
      <c r="B49" s="321"/>
      <c r="C49" s="321"/>
      <c r="D49" s="321"/>
      <c r="E49" s="321"/>
      <c r="F49" s="321"/>
      <c r="G49" s="321"/>
      <c r="H49" s="321"/>
      <c r="I49" s="322"/>
      <c r="J49" s="323"/>
    </row>
    <row r="50" spans="1:10" ht="26.25" customHeight="1">
      <c r="A50" s="324" t="s">
        <v>96</v>
      </c>
      <c r="B50" s="325"/>
      <c r="C50" s="325"/>
      <c r="D50" s="325"/>
      <c r="E50" s="325"/>
      <c r="F50" s="325"/>
      <c r="G50" s="325"/>
      <c r="H50" s="325"/>
      <c r="I50" s="326"/>
      <c r="J50" s="307"/>
    </row>
    <row r="51" spans="1:10" ht="26.25" customHeight="1">
      <c r="A51" s="324" t="s">
        <v>97</v>
      </c>
      <c r="B51" s="325"/>
      <c r="C51" s="325"/>
      <c r="D51" s="325"/>
      <c r="E51" s="325"/>
      <c r="F51" s="325"/>
      <c r="G51" s="325"/>
      <c r="H51" s="325"/>
      <c r="I51" s="326"/>
      <c r="J51" s="307"/>
    </row>
    <row r="52" spans="1:10">
      <c r="A52" s="324" t="s">
        <v>98</v>
      </c>
      <c r="B52" s="325"/>
      <c r="C52" s="325"/>
      <c r="D52" s="325"/>
      <c r="E52" s="325"/>
      <c r="F52" s="325"/>
      <c r="G52" s="325"/>
      <c r="H52" s="325"/>
      <c r="I52" s="326"/>
      <c r="J52" s="307"/>
    </row>
    <row r="53" spans="1:10" ht="26.25" customHeight="1" thickBot="1">
      <c r="A53" s="312" t="s">
        <v>99</v>
      </c>
      <c r="B53" s="313"/>
      <c r="C53" s="313"/>
      <c r="D53" s="313"/>
      <c r="E53" s="313"/>
      <c r="F53" s="313"/>
      <c r="G53" s="313"/>
      <c r="H53" s="313"/>
      <c r="I53" s="314"/>
      <c r="J53" s="308"/>
    </row>
    <row r="54" spans="1:10" ht="16" thickTop="1">
      <c r="A54" s="253" t="s">
        <v>100</v>
      </c>
      <c r="B54" s="296"/>
      <c r="C54" s="296"/>
      <c r="D54" s="296"/>
      <c r="E54" s="296"/>
      <c r="F54" s="296"/>
      <c r="G54" s="296"/>
      <c r="H54" s="296"/>
      <c r="I54" s="297"/>
      <c r="J54" s="330" t="str">
        <f>IF(COUNTBLANK(D59:J59) = 7, "", IF(COUNTIF(D59:J59, "Y") = 7 - COUNTBLANK(D59:J59), "Y", IF(COUNTIF(D59:J59, "N") &gt; 0, "N", "")))</f>
        <v/>
      </c>
    </row>
    <row r="55" spans="1:10" ht="16.5" customHeight="1" thickBot="1">
      <c r="A55" s="320" t="s">
        <v>576</v>
      </c>
      <c r="B55" s="321"/>
      <c r="C55" s="321"/>
      <c r="D55" s="321"/>
      <c r="E55" s="321"/>
      <c r="F55" s="321"/>
      <c r="G55" s="321"/>
      <c r="H55" s="321"/>
      <c r="I55" s="322"/>
      <c r="J55" s="331"/>
    </row>
    <row r="56" spans="1:10" ht="26.25" customHeight="1" thickTop="1" thickBot="1">
      <c r="A56" s="364" t="s">
        <v>101</v>
      </c>
      <c r="B56" s="365"/>
      <c r="C56" s="365"/>
      <c r="D56" s="365"/>
      <c r="E56" s="365"/>
      <c r="F56" s="365"/>
      <c r="G56" s="365"/>
      <c r="H56" s="365"/>
      <c r="I56" s="366"/>
      <c r="J56" s="54"/>
    </row>
    <row r="57" spans="1:10" ht="16" thickBot="1">
      <c r="A57" s="370" t="s">
        <v>103</v>
      </c>
      <c r="B57" s="371"/>
      <c r="C57" s="371"/>
      <c r="D57" s="15" t="s">
        <v>84</v>
      </c>
      <c r="E57" s="15" t="s">
        <v>61</v>
      </c>
      <c r="F57" s="15" t="s">
        <v>67</v>
      </c>
      <c r="G57" s="15" t="s">
        <v>70</v>
      </c>
      <c r="H57" s="15" t="s">
        <v>102</v>
      </c>
      <c r="I57" s="15" t="s">
        <v>50</v>
      </c>
      <c r="J57" s="16" t="s">
        <v>85</v>
      </c>
    </row>
    <row r="58" spans="1:10" ht="39" customHeight="1" thickBot="1">
      <c r="A58" s="372" t="s">
        <v>104</v>
      </c>
      <c r="B58" s="373"/>
      <c r="C58" s="373"/>
      <c r="D58" s="55"/>
      <c r="E58" s="55"/>
      <c r="F58" s="55"/>
      <c r="G58" s="55"/>
      <c r="H58" s="55"/>
      <c r="I58" s="55"/>
      <c r="J58" s="56"/>
    </row>
    <row r="59" spans="1:10" ht="64.5" customHeight="1" thickBot="1">
      <c r="A59" s="372" t="s">
        <v>105</v>
      </c>
      <c r="B59" s="373"/>
      <c r="C59" s="373"/>
      <c r="D59" s="12" t="str">
        <f t="shared" ref="D59:J59" si="0">IF(OR(D58 = "", Standard_I_6a = ""), "", IF(D58 &lt;= Standard_I_6a, "Y", "N"))</f>
        <v/>
      </c>
      <c r="E59" s="12" t="str">
        <f t="shared" si="0"/>
        <v/>
      </c>
      <c r="F59" s="12" t="str">
        <f t="shared" si="0"/>
        <v/>
      </c>
      <c r="G59" s="12" t="str">
        <f t="shared" si="0"/>
        <v/>
      </c>
      <c r="H59" s="12" t="str">
        <f t="shared" si="0"/>
        <v/>
      </c>
      <c r="I59" s="12" t="str">
        <f t="shared" si="0"/>
        <v/>
      </c>
      <c r="J59" s="14" t="str">
        <f t="shared" si="0"/>
        <v/>
      </c>
    </row>
    <row r="60" spans="1:10" ht="15.75" customHeight="1">
      <c r="A60" s="327" t="s">
        <v>704</v>
      </c>
      <c r="B60" s="328"/>
      <c r="C60" s="328"/>
      <c r="D60" s="328"/>
      <c r="E60" s="328"/>
      <c r="F60" s="328"/>
      <c r="G60" s="328"/>
      <c r="H60" s="328"/>
      <c r="I60" s="328"/>
      <c r="J60" s="329"/>
    </row>
    <row r="61" spans="1:10" ht="15.75" customHeight="1" thickBot="1">
      <c r="A61" s="312" t="s">
        <v>106</v>
      </c>
      <c r="B61" s="313"/>
      <c r="C61" s="313"/>
      <c r="D61" s="313"/>
      <c r="E61" s="313"/>
      <c r="F61" s="313"/>
      <c r="G61" s="313"/>
      <c r="H61" s="313"/>
      <c r="I61" s="313"/>
      <c r="J61" s="314"/>
    </row>
    <row r="62" spans="1:10" ht="45" customHeight="1" thickTop="1" thickBot="1">
      <c r="A62" s="275" t="s">
        <v>647</v>
      </c>
      <c r="B62" s="276"/>
      <c r="C62" s="276"/>
      <c r="D62" s="276"/>
      <c r="E62" s="276"/>
      <c r="F62" s="276"/>
      <c r="G62" s="276"/>
      <c r="H62" s="276"/>
      <c r="I62" s="277"/>
      <c r="J62" s="42" t="s">
        <v>11</v>
      </c>
    </row>
    <row r="63" spans="1:10" ht="30" customHeight="1" thickTop="1" thickBot="1">
      <c r="A63" s="349" t="s">
        <v>669</v>
      </c>
      <c r="B63" s="350"/>
      <c r="C63" s="350"/>
      <c r="D63" s="350"/>
      <c r="E63" s="350"/>
      <c r="F63" s="350"/>
      <c r="G63" s="350"/>
      <c r="H63" s="350"/>
      <c r="I63" s="351"/>
      <c r="J63" s="220"/>
    </row>
    <row r="64" spans="1:10" ht="33.75" customHeight="1" thickTop="1" thickBot="1">
      <c r="A64" s="33" t="s">
        <v>12</v>
      </c>
      <c r="B64" s="347"/>
      <c r="C64" s="347"/>
      <c r="D64" s="347"/>
      <c r="E64" s="347"/>
      <c r="F64" s="348"/>
      <c r="G64" s="243" t="s">
        <v>13</v>
      </c>
      <c r="H64" s="244"/>
      <c r="I64" s="243" t="s">
        <v>14</v>
      </c>
      <c r="J64" s="244"/>
    </row>
    <row r="65" spans="1:10" ht="17.25" customHeight="1" thickTop="1" thickBot="1">
      <c r="A65" s="361" t="s">
        <v>87</v>
      </c>
      <c r="B65" s="362"/>
      <c r="C65" s="362"/>
      <c r="D65" s="362"/>
      <c r="E65" s="362"/>
      <c r="F65" s="363"/>
      <c r="G65" s="245">
        <f>COUNTIF(J9:J63, "Y")</f>
        <v>0</v>
      </c>
      <c r="H65" s="246"/>
      <c r="I65" s="245">
        <f>COUNTIF(J9:J63, "N")</f>
        <v>0</v>
      </c>
      <c r="J65" s="246"/>
    </row>
    <row r="66" spans="1:10" ht="16.5" customHeight="1" thickTop="1">
      <c r="A66" s="259" t="s">
        <v>107</v>
      </c>
      <c r="B66" s="260"/>
      <c r="C66" s="260"/>
      <c r="D66" s="260"/>
      <c r="E66" s="260"/>
      <c r="F66" s="260"/>
      <c r="G66" s="260"/>
      <c r="H66" s="260"/>
      <c r="I66" s="260"/>
      <c r="J66" s="261"/>
    </row>
    <row r="67" spans="1:10" ht="16" thickBot="1">
      <c r="A67" s="262" t="s">
        <v>108</v>
      </c>
      <c r="B67" s="263"/>
      <c r="C67" s="263"/>
      <c r="D67" s="263"/>
      <c r="E67" s="263"/>
      <c r="F67" s="263"/>
      <c r="G67" s="263"/>
      <c r="H67" s="263"/>
      <c r="I67" s="263"/>
      <c r="J67" s="264"/>
    </row>
    <row r="68" spans="1:10" ht="15" customHeight="1" thickTop="1" thickBot="1">
      <c r="A68" s="352" t="s">
        <v>577</v>
      </c>
      <c r="B68" s="353"/>
      <c r="C68" s="353"/>
      <c r="D68" s="353"/>
      <c r="E68" s="354"/>
      <c r="F68" s="42" t="s">
        <v>45</v>
      </c>
      <c r="G68" s="42" t="s">
        <v>46</v>
      </c>
      <c r="H68" s="42" t="s">
        <v>47</v>
      </c>
      <c r="I68" s="42" t="s">
        <v>48</v>
      </c>
      <c r="J68" s="42" t="s">
        <v>49</v>
      </c>
    </row>
    <row r="69" spans="1:10" ht="15" customHeight="1" thickTop="1" thickBot="1">
      <c r="A69" s="278"/>
      <c r="B69" s="279"/>
      <c r="C69" s="279"/>
      <c r="D69" s="279"/>
      <c r="E69" s="280"/>
      <c r="F69" s="147" t="str">
        <f ca="1">OFFSET('Employee Req. Table (Print)'!Std2dot1Range, 0, 0, 1, 1)</f>
        <v/>
      </c>
      <c r="G69" s="147" t="str">
        <f ca="1">OFFSET('Employee Req. Table (Print)'!Std2dot1Range, 1, 0, 1, 1)</f>
        <v/>
      </c>
      <c r="H69" s="147" t="str">
        <f ca="1">OFFSET('Employee Req. Table (Print)'!Std2dot1Range, 2, 0, 1, 1)</f>
        <v/>
      </c>
      <c r="I69" s="147" t="str">
        <f ca="1">OFFSET('Employee Req. Table (Print)'!Std2dot1Range, 3, 0, 1, 1)</f>
        <v/>
      </c>
      <c r="J69" s="147" t="str">
        <f ca="1">OFFSET('Employee Req. Table (Print)'!Std2dot1Range, 4, 0, 1, 1)</f>
        <v/>
      </c>
    </row>
    <row r="70" spans="1:10" ht="15" customHeight="1" thickTop="1" thickBot="1">
      <c r="A70" s="278"/>
      <c r="B70" s="279"/>
      <c r="C70" s="279"/>
      <c r="D70" s="279"/>
      <c r="E70" s="280"/>
      <c r="F70" s="42" t="s">
        <v>50</v>
      </c>
      <c r="G70" s="42" t="s">
        <v>51</v>
      </c>
      <c r="H70" s="42" t="s">
        <v>52</v>
      </c>
      <c r="I70" s="42" t="s">
        <v>53</v>
      </c>
      <c r="J70" s="42" t="s">
        <v>58</v>
      </c>
    </row>
    <row r="71" spans="1:10" ht="15" customHeight="1" thickTop="1" thickBot="1">
      <c r="A71" s="278"/>
      <c r="B71" s="279"/>
      <c r="C71" s="279"/>
      <c r="D71" s="279"/>
      <c r="E71" s="280"/>
      <c r="F71" s="147" t="str">
        <f ca="1">OFFSET('Employee Req. Table (Print)'!Std2dot1Range, 5, 0, 1, 1)</f>
        <v/>
      </c>
      <c r="G71" s="147" t="str">
        <f ca="1">OFFSET('Employee Req. Table (Print)'!Std2dot1Range, 6, 0, 1, 1)</f>
        <v/>
      </c>
      <c r="H71" s="147" t="str">
        <f ca="1">OFFSET('Employee Req. Table (Print)'!Std2dot1Range, 7, 0, 1, 1)</f>
        <v/>
      </c>
      <c r="I71" s="147" t="str">
        <f ca="1">OFFSET('Employee Req. Table (Print)'!Std2dot1Range, 8, 0, 1, 1)</f>
        <v/>
      </c>
      <c r="J71" s="147" t="str">
        <f ca="1">OFFSET('Employee Req. Table (Print)'!Std2dot1Range, 9, 0, 1, 1)</f>
        <v/>
      </c>
    </row>
    <row r="72" spans="1:10" ht="15" customHeight="1" thickTop="1" thickBot="1">
      <c r="A72" s="278"/>
      <c r="B72" s="279"/>
      <c r="C72" s="279"/>
      <c r="D72" s="279"/>
      <c r="E72" s="280"/>
      <c r="F72" s="42" t="s">
        <v>59</v>
      </c>
      <c r="G72" s="42" t="s">
        <v>60</v>
      </c>
      <c r="H72" s="42" t="s">
        <v>61</v>
      </c>
      <c r="I72" s="42" t="s">
        <v>82</v>
      </c>
      <c r="J72" s="42" t="s">
        <v>62</v>
      </c>
    </row>
    <row r="73" spans="1:10" ht="15" customHeight="1" thickTop="1" thickBot="1">
      <c r="A73" s="278"/>
      <c r="B73" s="279"/>
      <c r="C73" s="279"/>
      <c r="D73" s="279"/>
      <c r="E73" s="280"/>
      <c r="F73" s="147" t="str">
        <f ca="1">OFFSET('Employee Req. Table (Print)'!Std2dot1Range, 10, 0, 1, 1)</f>
        <v/>
      </c>
      <c r="G73" s="147" t="str">
        <f ca="1">OFFSET('Employee Req. Table (Print)'!Std2dot1Range, 11, 0, 1, 1)</f>
        <v/>
      </c>
      <c r="H73" s="147" t="str">
        <f ca="1">OFFSET('Employee Req. Table (Print)'!Std2dot1Range, 12, 0, 1, 1)</f>
        <v/>
      </c>
      <c r="I73" s="147" t="str">
        <f ca="1">OFFSET('Employee Req. Table (Print)'!Std2dot1Range, 13, 0, 1, 1)</f>
        <v/>
      </c>
      <c r="J73" s="147" t="str">
        <f ca="1">OFFSET('Employee Req. Table (Print)'!Std2dot1Range, 14, 0, 1, 1)</f>
        <v/>
      </c>
    </row>
    <row r="74" spans="1:10" ht="15" customHeight="1" thickTop="1" thickBot="1">
      <c r="A74" s="278"/>
      <c r="B74" s="279"/>
      <c r="C74" s="279"/>
      <c r="D74" s="279"/>
      <c r="E74" s="280"/>
      <c r="F74" s="42" t="s">
        <v>63</v>
      </c>
      <c r="G74" s="42" t="s">
        <v>64</v>
      </c>
      <c r="H74" s="42" t="s">
        <v>65</v>
      </c>
      <c r="I74" s="42" t="s">
        <v>66</v>
      </c>
      <c r="J74" s="42" t="s">
        <v>67</v>
      </c>
    </row>
    <row r="75" spans="1:10" ht="15" customHeight="1" thickTop="1" thickBot="1">
      <c r="A75" s="278"/>
      <c r="B75" s="279"/>
      <c r="C75" s="279"/>
      <c r="D75" s="279"/>
      <c r="E75" s="280"/>
      <c r="F75" s="147" t="str">
        <f ca="1">OFFSET('Employee Req. Table (Print)'!Std2dot1Range, 15, 0, 1, 1)</f>
        <v/>
      </c>
      <c r="G75" s="147" t="str">
        <f ca="1">OFFSET('Employee Req. Table (Print)'!Std2dot1Range, 16, 0, 1, 1)</f>
        <v/>
      </c>
      <c r="H75" s="147" t="str">
        <f ca="1">OFFSET('Employee Req. Table (Print)'!Std2dot1Range, 17, 0, 1, 1)</f>
        <v/>
      </c>
      <c r="I75" s="147" t="str">
        <f ca="1">OFFSET('Employee Req. Table (Print)'!Std2dot1Range, 18, 0, 1, 1)</f>
        <v/>
      </c>
      <c r="J75" s="147" t="str">
        <f ca="1">OFFSET('Employee Req. Table (Print)'!Std2dot1Range, 19, 0, 1, 1)</f>
        <v/>
      </c>
    </row>
    <row r="76" spans="1:10" ht="15" customHeight="1" thickTop="1" thickBot="1">
      <c r="A76" s="278"/>
      <c r="B76" s="279"/>
      <c r="C76" s="279"/>
      <c r="D76" s="279"/>
      <c r="E76" s="280"/>
      <c r="F76" s="42" t="s">
        <v>68</v>
      </c>
      <c r="G76" s="42" t="s">
        <v>69</v>
      </c>
      <c r="H76" s="42" t="s">
        <v>70</v>
      </c>
      <c r="I76" s="42" t="s">
        <v>71</v>
      </c>
      <c r="J76" s="42" t="s">
        <v>81</v>
      </c>
    </row>
    <row r="77" spans="1:10" ht="15" customHeight="1" thickTop="1" thickBot="1">
      <c r="A77" s="335" t="s">
        <v>109</v>
      </c>
      <c r="B77" s="336"/>
      <c r="C77" s="336"/>
      <c r="D77" s="336"/>
      <c r="E77" s="337"/>
      <c r="F77" s="147" t="str">
        <f ca="1">OFFSET('Employee Req. Table (Print)'!Std2dot1Range, 20, 0, 1, 1)</f>
        <v/>
      </c>
      <c r="G77" s="147" t="str">
        <f ca="1">OFFSET('Employee Req. Table (Print)'!Std2dot1Range, 21, 0, 1, 1)</f>
        <v/>
      </c>
      <c r="H77" s="147" t="str">
        <f ca="1">OFFSET('Employee Req. Table (Print)'!Std2dot1Range, 22, 0, 1, 1)</f>
        <v/>
      </c>
      <c r="I77" s="147" t="str">
        <f ca="1">OFFSET('Employee Req. Table (Print)'!Std2dot1Range, 23, 0, 1, 1)</f>
        <v/>
      </c>
      <c r="J77" s="147" t="str">
        <f ca="1">OFFSET('Employee Req. Table (Print)'!Std2dot1Range, 24, 0, 1, 1)</f>
        <v/>
      </c>
    </row>
    <row r="78" spans="1:10" ht="15" customHeight="1" thickTop="1" thickBot="1">
      <c r="A78" s="335"/>
      <c r="B78" s="336"/>
      <c r="C78" s="336"/>
      <c r="D78" s="336"/>
      <c r="E78" s="337"/>
      <c r="F78" s="42" t="s">
        <v>72</v>
      </c>
      <c r="G78" s="42" t="s">
        <v>73</v>
      </c>
      <c r="H78" s="42" t="s">
        <v>74</v>
      </c>
      <c r="I78" s="42" t="s">
        <v>75</v>
      </c>
      <c r="J78" s="42" t="s">
        <v>76</v>
      </c>
    </row>
    <row r="79" spans="1:10" ht="15" customHeight="1" thickTop="1" thickBot="1">
      <c r="A79" s="338"/>
      <c r="B79" s="339"/>
      <c r="C79" s="339"/>
      <c r="D79" s="339"/>
      <c r="E79" s="340"/>
      <c r="F79" s="147" t="str">
        <f ca="1">OFFSET('Employee Req. Table (Print)'!Std2dot1Range, 25, 0, 1, 1)</f>
        <v/>
      </c>
      <c r="G79" s="147" t="str">
        <f ca="1">OFFSET('Employee Req. Table (Print)'!Std2dot1Range, 26, 0, 1, 1)</f>
        <v/>
      </c>
      <c r="H79" s="147" t="str">
        <f ca="1">OFFSET('Employee Req. Table (Print)'!Std2dot1Range, 27, 0, 1, 1)</f>
        <v/>
      </c>
      <c r="I79" s="147" t="str">
        <f ca="1">OFFSET('Employee Req. Table (Print)'!Std2dot1Range, 28, 0, 1, 1)</f>
        <v/>
      </c>
      <c r="J79" s="147" t="str">
        <f ca="1">OFFSET('Employee Req. Table (Print)'!Std2dot1Range, 29, 0, 1, 1)</f>
        <v/>
      </c>
    </row>
    <row r="80" spans="1:10" ht="15" customHeight="1" thickTop="1" thickBot="1">
      <c r="A80" s="247" t="s">
        <v>12</v>
      </c>
      <c r="B80" s="249"/>
      <c r="C80" s="249"/>
      <c r="D80" s="249"/>
      <c r="E80" s="249"/>
      <c r="F80" s="250"/>
      <c r="G80" s="243" t="s">
        <v>15</v>
      </c>
      <c r="H80" s="244"/>
      <c r="I80" s="243" t="s">
        <v>16</v>
      </c>
      <c r="J80" s="244"/>
    </row>
    <row r="81" spans="1:10" ht="15" customHeight="1" thickTop="1" thickBot="1">
      <c r="A81" s="341"/>
      <c r="B81" s="342"/>
      <c r="C81" s="342"/>
      <c r="D81" s="342"/>
      <c r="E81" s="342"/>
      <c r="F81" s="343"/>
      <c r="G81" s="245">
        <f ca="1">COUNTIF(F69:J79, "Y")</f>
        <v>0</v>
      </c>
      <c r="H81" s="246"/>
      <c r="I81" s="245">
        <f ca="1">COUNTIF(F69:J79, "N")</f>
        <v>0</v>
      </c>
      <c r="J81" s="246"/>
    </row>
    <row r="82" spans="1:10" ht="15" customHeight="1" thickTop="1" thickBot="1">
      <c r="A82" s="352" t="s">
        <v>587</v>
      </c>
      <c r="B82" s="353"/>
      <c r="C82" s="353"/>
      <c r="D82" s="353"/>
      <c r="E82" s="354"/>
      <c r="F82" s="42" t="s">
        <v>45</v>
      </c>
      <c r="G82" s="42" t="s">
        <v>46</v>
      </c>
      <c r="H82" s="42" t="s">
        <v>47</v>
      </c>
      <c r="I82" s="42" t="s">
        <v>48</v>
      </c>
      <c r="J82" s="42" t="s">
        <v>49</v>
      </c>
    </row>
    <row r="83" spans="1:10" ht="15" customHeight="1" thickTop="1" thickBot="1">
      <c r="A83" s="278"/>
      <c r="B83" s="279"/>
      <c r="C83" s="279"/>
      <c r="D83" s="279"/>
      <c r="E83" s="280"/>
      <c r="F83" s="147" t="str">
        <f ca="1">OFFSET('Employee Req. Table (Print)'!Std2dot2Range, 0, 0, 1, 1)</f>
        <v/>
      </c>
      <c r="G83" s="147" t="str">
        <f ca="1">OFFSET('Employee Req. Table (Print)'!Std2dot2Range, 1, 0, 1, 1)</f>
        <v/>
      </c>
      <c r="H83" s="147" t="str">
        <f ca="1">OFFSET('Employee Req. Table (Print)'!Std2dot2Range, 2, 0, 1, 1)</f>
        <v/>
      </c>
      <c r="I83" s="147" t="str">
        <f ca="1">OFFSET('Employee Req. Table (Print)'!Std2dot2Range, 3, 0, 1, 1)</f>
        <v/>
      </c>
      <c r="J83" s="147" t="str">
        <f ca="1">OFFSET('Employee Req. Table (Print)'!Std2dot2Range, 4, 0, 1, 1)</f>
        <v/>
      </c>
    </row>
    <row r="84" spans="1:10" ht="15" customHeight="1" thickTop="1" thickBot="1">
      <c r="A84" s="278"/>
      <c r="B84" s="279"/>
      <c r="C84" s="279"/>
      <c r="D84" s="279"/>
      <c r="E84" s="280"/>
      <c r="F84" s="42" t="s">
        <v>50</v>
      </c>
      <c r="G84" s="42" t="s">
        <v>51</v>
      </c>
      <c r="H84" s="42" t="s">
        <v>52</v>
      </c>
      <c r="I84" s="42" t="s">
        <v>53</v>
      </c>
      <c r="J84" s="42" t="s">
        <v>58</v>
      </c>
    </row>
    <row r="85" spans="1:10" ht="15" customHeight="1" thickTop="1" thickBot="1">
      <c r="A85" s="278"/>
      <c r="B85" s="279"/>
      <c r="C85" s="279"/>
      <c r="D85" s="279"/>
      <c r="E85" s="280"/>
      <c r="F85" s="147" t="str">
        <f ca="1">OFFSET('Employee Req. Table (Print)'!Std2dot2Range, 5, 0, 1, 1)</f>
        <v/>
      </c>
      <c r="G85" s="147" t="str">
        <f ca="1">OFFSET('Employee Req. Table (Print)'!Std2dot2Range, 6, 0, 1, 1)</f>
        <v/>
      </c>
      <c r="H85" s="147" t="str">
        <f ca="1">OFFSET('Employee Req. Table (Print)'!Std2dot2Range, 7, 0, 1, 1)</f>
        <v/>
      </c>
      <c r="I85" s="147" t="str">
        <f ca="1">OFFSET('Employee Req. Table (Print)'!Std2dot2Range, 8, 0, 1, 1)</f>
        <v/>
      </c>
      <c r="J85" s="147" t="str">
        <f ca="1">OFFSET('Employee Req. Table (Print)'!Std2dot2Range, 9, 0, 1, 1)</f>
        <v/>
      </c>
    </row>
    <row r="86" spans="1:10" ht="15" customHeight="1" thickTop="1" thickBot="1">
      <c r="A86" s="278"/>
      <c r="B86" s="279"/>
      <c r="C86" s="279"/>
      <c r="D86" s="279"/>
      <c r="E86" s="280"/>
      <c r="F86" s="42" t="s">
        <v>59</v>
      </c>
      <c r="G86" s="42" t="s">
        <v>60</v>
      </c>
      <c r="H86" s="42" t="s">
        <v>61</v>
      </c>
      <c r="I86" s="42" t="s">
        <v>82</v>
      </c>
      <c r="J86" s="42" t="s">
        <v>62</v>
      </c>
    </row>
    <row r="87" spans="1:10" ht="15" customHeight="1" thickTop="1" thickBot="1">
      <c r="A87" s="335" t="s">
        <v>670</v>
      </c>
      <c r="B87" s="336"/>
      <c r="C87" s="336"/>
      <c r="D87" s="336"/>
      <c r="E87" s="337"/>
      <c r="F87" s="147" t="str">
        <f ca="1">OFFSET('Employee Req. Table (Print)'!Std2dot2Range, 10, 0, 1, 1)</f>
        <v/>
      </c>
      <c r="G87" s="147" t="str">
        <f ca="1">OFFSET('Employee Req. Table (Print)'!Std2dot2Range, 11, 0, 1, 1)</f>
        <v/>
      </c>
      <c r="H87" s="147" t="str">
        <f ca="1">OFFSET('Employee Req. Table (Print)'!Std2dot2Range, 12, 0, 1, 1)</f>
        <v/>
      </c>
      <c r="I87" s="147" t="str">
        <f ca="1">OFFSET('Employee Req. Table (Print)'!Std2dot2Range, 13, 0, 1, 1)</f>
        <v/>
      </c>
      <c r="J87" s="147" t="str">
        <f ca="1">OFFSET('Employee Req. Table (Print)'!Std2dot2Range, 14, 0, 1, 1)</f>
        <v/>
      </c>
    </row>
    <row r="88" spans="1:10" ht="15" customHeight="1" thickTop="1" thickBot="1">
      <c r="A88" s="335"/>
      <c r="B88" s="336"/>
      <c r="C88" s="336"/>
      <c r="D88" s="336"/>
      <c r="E88" s="337"/>
      <c r="F88" s="42" t="s">
        <v>63</v>
      </c>
      <c r="G88" s="42" t="s">
        <v>64</v>
      </c>
      <c r="H88" s="42" t="s">
        <v>65</v>
      </c>
      <c r="I88" s="42" t="s">
        <v>66</v>
      </c>
      <c r="J88" s="42" t="s">
        <v>67</v>
      </c>
    </row>
    <row r="89" spans="1:10" ht="15" customHeight="1" thickTop="1" thickBot="1">
      <c r="A89" s="335"/>
      <c r="B89" s="336"/>
      <c r="C89" s="336"/>
      <c r="D89" s="336"/>
      <c r="E89" s="337"/>
      <c r="F89" s="147" t="str">
        <f ca="1">OFFSET('Employee Req. Table (Print)'!Std2dot2Range, 15, 0, 1, 1)</f>
        <v/>
      </c>
      <c r="G89" s="147" t="str">
        <f ca="1">OFFSET('Employee Req. Table (Print)'!Std2dot2Range, 16, 0, 1, 1)</f>
        <v/>
      </c>
      <c r="H89" s="147" t="str">
        <f ca="1">OFFSET('Employee Req. Table (Print)'!Std2dot2Range, 17, 0, 1, 1)</f>
        <v/>
      </c>
      <c r="I89" s="147" t="str">
        <f ca="1">OFFSET('Employee Req. Table (Print)'!Std2dot2Range, 18, 0, 1, 1)</f>
        <v/>
      </c>
      <c r="J89" s="147" t="str">
        <f ca="1">OFFSET('Employee Req. Table (Print)'!Std2dot2Range, 19, 0, 1, 1)</f>
        <v/>
      </c>
    </row>
    <row r="90" spans="1:10" ht="15" customHeight="1" thickTop="1" thickBot="1">
      <c r="A90" s="335"/>
      <c r="B90" s="336"/>
      <c r="C90" s="336"/>
      <c r="D90" s="336"/>
      <c r="E90" s="337"/>
      <c r="F90" s="42" t="s">
        <v>68</v>
      </c>
      <c r="G90" s="42" t="s">
        <v>69</v>
      </c>
      <c r="H90" s="42" t="s">
        <v>70</v>
      </c>
      <c r="I90" s="42" t="s">
        <v>71</v>
      </c>
      <c r="J90" s="42" t="s">
        <v>81</v>
      </c>
    </row>
    <row r="91" spans="1:10" ht="15" customHeight="1" thickTop="1" thickBot="1">
      <c r="A91" s="335"/>
      <c r="B91" s="336"/>
      <c r="C91" s="336"/>
      <c r="D91" s="336"/>
      <c r="E91" s="337"/>
      <c r="F91" s="147" t="str">
        <f ca="1">OFFSET('Employee Req. Table (Print)'!Std2dot2Range, 20, 0, 1, 1)</f>
        <v/>
      </c>
      <c r="G91" s="147" t="str">
        <f ca="1">OFFSET('Employee Req. Table (Print)'!Std2dot2Range, 21, 0, 1, 1)</f>
        <v/>
      </c>
      <c r="H91" s="147" t="str">
        <f ca="1">OFFSET('Employee Req. Table (Print)'!Std2dot2Range, 22, 0, 1, 1)</f>
        <v/>
      </c>
      <c r="I91" s="147" t="str">
        <f ca="1">OFFSET('Employee Req. Table (Print)'!Std2dot2Range, 23, 0, 1, 1)</f>
        <v/>
      </c>
      <c r="J91" s="147" t="str">
        <f ca="1">OFFSET('Employee Req. Table (Print)'!Std2dot2Range, 24, 0, 1, 1)</f>
        <v/>
      </c>
    </row>
    <row r="92" spans="1:10" ht="15" customHeight="1" thickTop="1" thickBot="1">
      <c r="A92" s="335"/>
      <c r="B92" s="336"/>
      <c r="C92" s="336"/>
      <c r="D92" s="336"/>
      <c r="E92" s="337"/>
      <c r="F92" s="42" t="s">
        <v>72</v>
      </c>
      <c r="G92" s="42" t="s">
        <v>73</v>
      </c>
      <c r="H92" s="42" t="s">
        <v>74</v>
      </c>
      <c r="I92" s="42" t="s">
        <v>75</v>
      </c>
      <c r="J92" s="42" t="s">
        <v>76</v>
      </c>
    </row>
    <row r="93" spans="1:10" ht="15" customHeight="1" thickTop="1" thickBot="1">
      <c r="A93" s="338"/>
      <c r="B93" s="339"/>
      <c r="C93" s="339"/>
      <c r="D93" s="339"/>
      <c r="E93" s="340"/>
      <c r="F93" s="147" t="str">
        <f ca="1">OFFSET('Employee Req. Table (Print)'!Std2dot2Range, 25, 0, 1, 1)</f>
        <v/>
      </c>
      <c r="G93" s="147" t="str">
        <f ca="1">OFFSET('Employee Req. Table (Print)'!Std2dot2Range, 26, 0, 1, 1)</f>
        <v/>
      </c>
      <c r="H93" s="147" t="str">
        <f ca="1">OFFSET('Employee Req. Table (Print)'!Std2dot2Range, 27, 0, 1, 1)</f>
        <v/>
      </c>
      <c r="I93" s="147" t="str">
        <f ca="1">OFFSET('Employee Req. Table (Print)'!Std2dot2Range, 28, 0, 1, 1)</f>
        <v/>
      </c>
      <c r="J93" s="147" t="str">
        <f ca="1">OFFSET('Employee Req. Table (Print)'!Std2dot2Range, 29, 0, 1, 1)</f>
        <v/>
      </c>
    </row>
    <row r="94" spans="1:10" ht="15" customHeight="1" thickTop="1" thickBot="1">
      <c r="A94" s="247" t="s">
        <v>12</v>
      </c>
      <c r="B94" s="249"/>
      <c r="C94" s="249"/>
      <c r="D94" s="249"/>
      <c r="E94" s="249"/>
      <c r="F94" s="250"/>
      <c r="G94" s="243" t="s">
        <v>15</v>
      </c>
      <c r="H94" s="244"/>
      <c r="I94" s="243" t="s">
        <v>16</v>
      </c>
      <c r="J94" s="244"/>
    </row>
    <row r="95" spans="1:10" ht="15" customHeight="1" thickTop="1" thickBot="1">
      <c r="A95" s="341"/>
      <c r="B95" s="342"/>
      <c r="C95" s="342"/>
      <c r="D95" s="342"/>
      <c r="E95" s="342"/>
      <c r="F95" s="343"/>
      <c r="G95" s="245">
        <f ca="1">COUNTIF(F83:J93, "Y")</f>
        <v>0</v>
      </c>
      <c r="H95" s="246"/>
      <c r="I95" s="245">
        <f ca="1">COUNTIF(F83:J93, "N")</f>
        <v>0</v>
      </c>
      <c r="J95" s="246"/>
    </row>
    <row r="96" spans="1:10" ht="15" customHeight="1" thickTop="1" thickBot="1">
      <c r="A96" s="355" t="s">
        <v>632</v>
      </c>
      <c r="B96" s="356"/>
      <c r="C96" s="356"/>
      <c r="D96" s="356"/>
      <c r="E96" s="357"/>
      <c r="F96" s="42" t="s">
        <v>45</v>
      </c>
      <c r="G96" s="42" t="s">
        <v>46</v>
      </c>
      <c r="H96" s="42" t="s">
        <v>47</v>
      </c>
      <c r="I96" s="42" t="s">
        <v>48</v>
      </c>
      <c r="J96" s="42" t="s">
        <v>49</v>
      </c>
    </row>
    <row r="97" spans="1:10" ht="15" customHeight="1" thickTop="1" thickBot="1">
      <c r="A97" s="358"/>
      <c r="B97" s="359"/>
      <c r="C97" s="359"/>
      <c r="D97" s="359"/>
      <c r="E97" s="360"/>
      <c r="F97" s="147" t="str">
        <f>IF('Employee Req. Table (Print)'!P19="","",'Employee Req. Table (Print)'!P19)</f>
        <v/>
      </c>
      <c r="G97" s="147" t="str">
        <f>IF('Employee Req. Table (Print)'!P20="","",'Employee Req. Table (Print)'!P20)</f>
        <v/>
      </c>
      <c r="H97" s="147" t="str">
        <f>IF('Employee Req. Table (Print)'!P21="","",'Employee Req. Table (Print)'!P21)</f>
        <v/>
      </c>
      <c r="I97" s="147" t="str">
        <f>IF('Employee Req. Table (Print)'!P22="","",'Employee Req. Table (Print)'!P22)</f>
        <v/>
      </c>
      <c r="J97" s="147" t="str">
        <f>IF('Employee Req. Table (Print)'!P23="","",'Employee Req. Table (Print)'!P23)</f>
        <v/>
      </c>
    </row>
    <row r="98" spans="1:10" ht="15" customHeight="1" thickTop="1" thickBot="1">
      <c r="A98" s="358"/>
      <c r="B98" s="359"/>
      <c r="C98" s="359"/>
      <c r="D98" s="359"/>
      <c r="E98" s="360"/>
      <c r="F98" s="42" t="s">
        <v>50</v>
      </c>
      <c r="G98" s="42" t="s">
        <v>51</v>
      </c>
      <c r="H98" s="42" t="s">
        <v>52</v>
      </c>
      <c r="I98" s="42" t="s">
        <v>53</v>
      </c>
      <c r="J98" s="42" t="s">
        <v>58</v>
      </c>
    </row>
    <row r="99" spans="1:10" ht="15" customHeight="1" thickTop="1" thickBot="1">
      <c r="A99" s="358"/>
      <c r="B99" s="359"/>
      <c r="C99" s="359"/>
      <c r="D99" s="359"/>
      <c r="E99" s="360"/>
      <c r="F99" s="147" t="str">
        <f>IF('Employee Req. Table (Print)'!P24="","",'Employee Req. Table (Print)'!P24)</f>
        <v/>
      </c>
      <c r="G99" s="147" t="str">
        <f>IF('Employee Req. Table (Print)'!P25="","",'Employee Req. Table (Print)'!P25)</f>
        <v/>
      </c>
      <c r="H99" s="147" t="str">
        <f>IF('Employee Req. Table (Print)'!P26="","",'Employee Req. Table (Print)'!P26)</f>
        <v/>
      </c>
      <c r="I99" s="147" t="str">
        <f>IF('Employee Req. Table (Print)'!P27="","",'Employee Req. Table (Print)'!P27)</f>
        <v/>
      </c>
      <c r="J99" s="147" t="str">
        <f>IF('Employee Req. Table (Print)'!P28="","",'Employee Req. Table (Print)'!P28)</f>
        <v/>
      </c>
    </row>
    <row r="100" spans="1:10" ht="15" customHeight="1" thickTop="1" thickBot="1">
      <c r="A100" s="358"/>
      <c r="B100" s="359"/>
      <c r="C100" s="359"/>
      <c r="D100" s="359"/>
      <c r="E100" s="360"/>
      <c r="F100" s="42" t="s">
        <v>59</v>
      </c>
      <c r="G100" s="42" t="s">
        <v>60</v>
      </c>
      <c r="H100" s="42" t="s">
        <v>61</v>
      </c>
      <c r="I100" s="42" t="s">
        <v>82</v>
      </c>
      <c r="J100" s="42" t="s">
        <v>62</v>
      </c>
    </row>
    <row r="101" spans="1:10" ht="15" customHeight="1" thickTop="1" thickBot="1">
      <c r="A101" s="358"/>
      <c r="B101" s="359"/>
      <c r="C101" s="359"/>
      <c r="D101" s="359"/>
      <c r="E101" s="360"/>
      <c r="F101" s="147" t="str">
        <f>IF('Employee Req. Table (Print)'!P29="","",'Employee Req. Table (Print)'!P29)</f>
        <v/>
      </c>
      <c r="G101" s="147" t="str">
        <f>IF('Employee Req. Table (Print)'!P30="","",'Employee Req. Table (Print)'!P30)</f>
        <v/>
      </c>
      <c r="H101" s="147" t="str">
        <f>IF('Employee Req. Table (Print)'!P31="","",'Employee Req. Table (Print)'!P31)</f>
        <v/>
      </c>
      <c r="I101" s="147" t="str">
        <f>IF('Employee Req. Table (Print)'!P32="","",'Employee Req. Table (Print)'!P32)</f>
        <v/>
      </c>
      <c r="J101" s="147" t="str">
        <f>IF('Employee Req. Table (Print)'!P33="","",'Employee Req. Table (Print)'!P33)</f>
        <v/>
      </c>
    </row>
    <row r="102" spans="1:10" ht="15" customHeight="1" thickTop="1" thickBot="1">
      <c r="A102" s="358"/>
      <c r="B102" s="359"/>
      <c r="C102" s="359"/>
      <c r="D102" s="359"/>
      <c r="E102" s="360"/>
      <c r="F102" s="42" t="s">
        <v>63</v>
      </c>
      <c r="G102" s="42" t="s">
        <v>64</v>
      </c>
      <c r="H102" s="42" t="s">
        <v>65</v>
      </c>
      <c r="I102" s="42" t="s">
        <v>66</v>
      </c>
      <c r="J102" s="42" t="s">
        <v>67</v>
      </c>
    </row>
    <row r="103" spans="1:10" ht="15" customHeight="1" thickTop="1" thickBot="1">
      <c r="A103" s="358"/>
      <c r="B103" s="359"/>
      <c r="C103" s="359"/>
      <c r="D103" s="359"/>
      <c r="E103" s="360"/>
      <c r="F103" s="147" t="str">
        <f>IF('Employee Req. Table (Print)'!P34="","",'Employee Req. Table (Print)'!P34)</f>
        <v/>
      </c>
      <c r="G103" s="147" t="str">
        <f>IF('Employee Req. Table (Print)'!P35="","",'Employee Req. Table (Print)'!P35)</f>
        <v/>
      </c>
      <c r="H103" s="147" t="str">
        <f>IF('Employee Req. Table (Print)'!P36="","",'Employee Req. Table (Print)'!P36)</f>
        <v/>
      </c>
      <c r="I103" s="147" t="str">
        <f>IF('Employee Req. Table (Print)'!P37="","",'Employee Req. Table (Print)'!P37)</f>
        <v/>
      </c>
      <c r="J103" s="147" t="str">
        <f>IF('Employee Req. Table (Print)'!P38="","",'Employee Req. Table (Print)'!P38)</f>
        <v/>
      </c>
    </row>
    <row r="104" spans="1:10" ht="15" customHeight="1" thickTop="1" thickBot="1">
      <c r="A104" s="335" t="s">
        <v>669</v>
      </c>
      <c r="B104" s="336"/>
      <c r="C104" s="336"/>
      <c r="D104" s="336"/>
      <c r="E104" s="337"/>
      <c r="F104" s="42" t="s">
        <v>68</v>
      </c>
      <c r="G104" s="42" t="s">
        <v>69</v>
      </c>
      <c r="H104" s="42" t="s">
        <v>70</v>
      </c>
      <c r="I104" s="42" t="s">
        <v>71</v>
      </c>
      <c r="J104" s="42" t="s">
        <v>81</v>
      </c>
    </row>
    <row r="105" spans="1:10" ht="15" customHeight="1" thickTop="1" thickBot="1">
      <c r="A105" s="335"/>
      <c r="B105" s="336"/>
      <c r="C105" s="336"/>
      <c r="D105" s="336"/>
      <c r="E105" s="337"/>
      <c r="F105" s="147" t="str">
        <f>IF('Employee Req. Table (Print)'!P39="","",'Employee Req. Table (Print)'!P39)</f>
        <v/>
      </c>
      <c r="G105" s="147" t="str">
        <f>IF('Employee Req. Table (Print)'!P40="","",'Employee Req. Table (Print)'!P40)</f>
        <v/>
      </c>
      <c r="H105" s="147" t="str">
        <f>IF('Employee Req. Table (Print)'!P41="","",'Employee Req. Table (Print)'!P41)</f>
        <v/>
      </c>
      <c r="I105" s="147" t="str">
        <f>IF('Employee Req. Table (Print)'!P42="","",'Employee Req. Table (Print)'!P42)</f>
        <v/>
      </c>
      <c r="J105" s="147" t="str">
        <f>IF('Employee Req. Table (Print)'!P43="","",'Employee Req. Table (Print)'!P43)</f>
        <v/>
      </c>
    </row>
    <row r="106" spans="1:10" ht="15" customHeight="1" thickTop="1" thickBot="1">
      <c r="A106" s="335"/>
      <c r="B106" s="336"/>
      <c r="C106" s="336"/>
      <c r="D106" s="336"/>
      <c r="E106" s="337"/>
      <c r="F106" s="42" t="s">
        <v>72</v>
      </c>
      <c r="G106" s="42" t="s">
        <v>73</v>
      </c>
      <c r="H106" s="42" t="s">
        <v>74</v>
      </c>
      <c r="I106" s="42" t="s">
        <v>75</v>
      </c>
      <c r="J106" s="42" t="s">
        <v>76</v>
      </c>
    </row>
    <row r="107" spans="1:10" ht="15" customHeight="1" thickTop="1" thickBot="1">
      <c r="A107" s="335"/>
      <c r="B107" s="336"/>
      <c r="C107" s="336"/>
      <c r="D107" s="336"/>
      <c r="E107" s="337"/>
      <c r="F107" s="147" t="str">
        <f>IF('Employee Req. Table (Print)'!P44="","",'Employee Req. Table (Print)'!P44)</f>
        <v/>
      </c>
      <c r="G107" s="147" t="str">
        <f>IF('Employee Req. Table (Print)'!P45="","",'Employee Req. Table (Print)'!P45)</f>
        <v/>
      </c>
      <c r="H107" s="147" t="str">
        <f>IF('Employee Req. Table (Print)'!P46="","",'Employee Req. Table (Print)'!P46)</f>
        <v/>
      </c>
      <c r="I107" s="147" t="str">
        <f>IF('Employee Req. Table (Print)'!P47="","",'Employee Req. Table (Print)'!P47)</f>
        <v/>
      </c>
      <c r="J107" s="147" t="str">
        <f>IF('Employee Req. Table (Print)'!P48="","",'Employee Req. Table (Print)'!P48)</f>
        <v/>
      </c>
    </row>
    <row r="108" spans="1:10" ht="15" customHeight="1" thickTop="1" thickBot="1">
      <c r="A108" s="247" t="s">
        <v>12</v>
      </c>
      <c r="B108" s="249"/>
      <c r="C108" s="249"/>
      <c r="D108" s="249"/>
      <c r="E108" s="249"/>
      <c r="F108" s="250"/>
      <c r="G108" s="243" t="s">
        <v>15</v>
      </c>
      <c r="H108" s="244"/>
      <c r="I108" s="243" t="s">
        <v>16</v>
      </c>
      <c r="J108" s="244"/>
    </row>
    <row r="109" spans="1:10" ht="15" customHeight="1" thickTop="1" thickBot="1">
      <c r="A109" s="341"/>
      <c r="B109" s="342"/>
      <c r="C109" s="342"/>
      <c r="D109" s="342"/>
      <c r="E109" s="342"/>
      <c r="F109" s="343"/>
      <c r="G109" s="245">
        <f>COUNTIF(F97:J107, "Y")</f>
        <v>0</v>
      </c>
      <c r="H109" s="246"/>
      <c r="I109" s="245">
        <f>COUNTIF(F97:J107, "N")</f>
        <v>0</v>
      </c>
      <c r="J109" s="246"/>
    </row>
    <row r="110" spans="1:10" ht="15" customHeight="1" thickTop="1" thickBot="1">
      <c r="A110" s="377" t="s">
        <v>107</v>
      </c>
      <c r="B110" s="378"/>
      <c r="C110" s="378"/>
      <c r="D110" s="378"/>
      <c r="E110" s="378"/>
      <c r="F110" s="379"/>
      <c r="G110" s="243" t="s">
        <v>13</v>
      </c>
      <c r="H110" s="244"/>
      <c r="I110" s="243" t="s">
        <v>14</v>
      </c>
      <c r="J110" s="244"/>
    </row>
    <row r="111" spans="1:10" ht="15" customHeight="1" thickTop="1" thickBot="1">
      <c r="A111" s="380"/>
      <c r="B111" s="381"/>
      <c r="C111" s="381"/>
      <c r="D111" s="381"/>
      <c r="E111" s="381"/>
      <c r="F111" s="382"/>
      <c r="G111" s="245">
        <f ca="1">SUM(G109,G81, G95)</f>
        <v>0</v>
      </c>
      <c r="H111" s="246"/>
      <c r="I111" s="245">
        <f ca="1">SUM(I109,I81, I95)</f>
        <v>0</v>
      </c>
      <c r="J111" s="246"/>
    </row>
    <row r="112" spans="1:10" ht="16.5" customHeight="1" thickTop="1" thickBot="1">
      <c r="A112" s="374" t="s">
        <v>110</v>
      </c>
      <c r="B112" s="375"/>
      <c r="C112" s="375"/>
      <c r="D112" s="375"/>
      <c r="E112" s="375"/>
      <c r="F112" s="375"/>
      <c r="G112" s="375"/>
      <c r="H112" s="375"/>
      <c r="I112" s="375"/>
      <c r="J112" s="376"/>
    </row>
    <row r="113" spans="1:13" customFormat="1" ht="15.75" customHeight="1" thickTop="1">
      <c r="A113" s="417" t="s">
        <v>556</v>
      </c>
      <c r="B113" s="332" t="s">
        <v>648</v>
      </c>
      <c r="C113" s="333"/>
      <c r="D113" s="333"/>
      <c r="E113" s="333"/>
      <c r="F113" s="333"/>
      <c r="G113" s="333"/>
      <c r="H113" s="334"/>
      <c r="I113" s="420" t="s">
        <v>649</v>
      </c>
      <c r="J113" s="421"/>
      <c r="K113" s="1"/>
      <c r="L113" s="1"/>
      <c r="M113" s="1"/>
    </row>
    <row r="114" spans="1:13" customFormat="1" ht="44.25" customHeight="1">
      <c r="A114" s="418"/>
      <c r="B114" s="278" t="s">
        <v>650</v>
      </c>
      <c r="C114" s="279"/>
      <c r="D114" s="279"/>
      <c r="E114" s="279"/>
      <c r="F114" s="279"/>
      <c r="G114" s="279"/>
      <c r="H114" s="280"/>
      <c r="I114" s="422"/>
      <c r="J114" s="423"/>
      <c r="K114" s="1"/>
      <c r="L114" s="1"/>
      <c r="M114" s="1"/>
    </row>
    <row r="115" spans="1:13" customFormat="1" ht="60" customHeight="1" thickBot="1">
      <c r="A115" s="418"/>
      <c r="B115" s="317" t="s">
        <v>651</v>
      </c>
      <c r="C115" s="318"/>
      <c r="D115" s="318"/>
      <c r="E115" s="318"/>
      <c r="F115" s="318"/>
      <c r="G115" s="318"/>
      <c r="H115" s="319"/>
      <c r="I115" s="424"/>
      <c r="J115" s="425"/>
      <c r="K115" s="1"/>
      <c r="L115" s="1"/>
      <c r="M115" s="1"/>
    </row>
    <row r="116" spans="1:13" ht="57.75" customHeight="1" thickTop="1" thickBot="1">
      <c r="A116" s="419"/>
      <c r="B116" s="435" t="s">
        <v>652</v>
      </c>
      <c r="C116" s="436"/>
      <c r="D116" s="436"/>
      <c r="E116" s="436"/>
      <c r="F116" s="436"/>
      <c r="G116" s="436"/>
      <c r="H116" s="437"/>
      <c r="I116" s="283"/>
      <c r="J116" s="284"/>
    </row>
    <row r="117" spans="1:13" ht="39.75" customHeight="1" thickTop="1" thickBot="1">
      <c r="A117" s="226" t="s">
        <v>653</v>
      </c>
      <c r="B117" s="281" t="s">
        <v>654</v>
      </c>
      <c r="C117" s="281"/>
      <c r="D117" s="281"/>
      <c r="E117" s="281"/>
      <c r="F117" s="281"/>
      <c r="G117" s="281"/>
      <c r="H117" s="282"/>
      <c r="I117" s="283"/>
      <c r="J117" s="284"/>
    </row>
    <row r="118" spans="1:13" ht="28.5" customHeight="1" thickTop="1" thickBot="1">
      <c r="A118" s="253" t="s">
        <v>733</v>
      </c>
      <c r="B118" s="254"/>
      <c r="C118" s="254"/>
      <c r="D118" s="254"/>
      <c r="E118" s="254"/>
      <c r="F118" s="254"/>
      <c r="G118" s="254"/>
      <c r="H118" s="255"/>
      <c r="I118" s="395"/>
      <c r="J118" s="396"/>
    </row>
    <row r="119" spans="1:13" ht="15.75" customHeight="1" thickTop="1">
      <c r="A119" s="397" t="s">
        <v>111</v>
      </c>
      <c r="B119" s="398"/>
      <c r="C119" s="398"/>
      <c r="D119" s="398"/>
      <c r="E119" s="398"/>
      <c r="F119" s="398"/>
      <c r="G119" s="398"/>
      <c r="H119" s="398"/>
      <c r="I119" s="398"/>
      <c r="J119" s="399"/>
    </row>
    <row r="120" spans="1:13" ht="15.75" customHeight="1">
      <c r="A120" s="364" t="s">
        <v>298</v>
      </c>
      <c r="B120" s="365"/>
      <c r="C120" s="365"/>
      <c r="D120" s="365"/>
      <c r="E120" s="365"/>
      <c r="F120" s="365"/>
      <c r="G120" s="365"/>
      <c r="H120" s="365"/>
      <c r="I120" s="365"/>
      <c r="J120" s="366"/>
    </row>
    <row r="121" spans="1:13">
      <c r="A121" s="364" t="s">
        <v>293</v>
      </c>
      <c r="B121" s="365"/>
      <c r="C121" s="365"/>
      <c r="D121" s="365"/>
      <c r="E121" s="365"/>
      <c r="F121" s="365"/>
      <c r="G121" s="365"/>
      <c r="H121" s="365"/>
      <c r="I121" s="365"/>
      <c r="J121" s="366"/>
    </row>
    <row r="122" spans="1:13">
      <c r="A122" s="364" t="s">
        <v>296</v>
      </c>
      <c r="B122" s="365"/>
      <c r="C122" s="365"/>
      <c r="D122" s="365"/>
      <c r="E122" s="365"/>
      <c r="F122" s="365"/>
      <c r="G122" s="365"/>
      <c r="H122" s="365"/>
      <c r="I122" s="365"/>
      <c r="J122" s="366"/>
    </row>
    <row r="123" spans="1:13" ht="24" customHeight="1" thickBot="1">
      <c r="A123" s="400" t="s">
        <v>112</v>
      </c>
      <c r="B123" s="401"/>
      <c r="C123" s="401"/>
      <c r="D123" s="401"/>
      <c r="E123" s="401"/>
      <c r="F123" s="401"/>
      <c r="G123" s="401"/>
      <c r="H123" s="401"/>
      <c r="I123" s="401"/>
      <c r="J123" s="402"/>
    </row>
    <row r="124" spans="1:13" ht="30.75" customHeight="1" thickTop="1" thickBot="1">
      <c r="A124" s="13" t="s">
        <v>12</v>
      </c>
      <c r="B124" s="383"/>
      <c r="C124" s="383"/>
      <c r="D124" s="383"/>
      <c r="E124" s="383"/>
      <c r="F124" s="383"/>
      <c r="G124" s="383"/>
      <c r="H124" s="383"/>
      <c r="I124" s="383"/>
      <c r="J124" s="384"/>
    </row>
    <row r="125" spans="1:13" ht="25.5" customHeight="1" thickTop="1">
      <c r="A125" s="253" t="s">
        <v>113</v>
      </c>
      <c r="B125" s="254"/>
      <c r="C125" s="254"/>
      <c r="D125" s="254"/>
      <c r="E125" s="254"/>
      <c r="F125" s="254"/>
      <c r="G125" s="254"/>
      <c r="H125" s="254"/>
      <c r="I125" s="407" t="str">
        <f>IF(Standard_III_1_NotCalc="","",IF(Standard_III_1_NotCalc="N","NA",IF(I117="SUBCONTRACTS","NA",IF(OR(COUNTBLANK(A130:A139)=10,I117=""),"",IF(AND(OR(COUNTBLANK(A130:A139)&lt;&gt;10,COUNTBLANK(D130:D139)&lt;&gt;10),OR(COUNTBLANK(G130:G139)&lt;&gt;COUNTBLANK(A130:A139),COUNTBLANK(G130:G139)&lt;&gt;COUNTBLANK(D130:D139),COUNTBLANK(I130:I139)&lt;&gt;COUNTBLANK(A130:A139),COUNTBLANK(I130:I139)&lt;&gt;COUNTBLANK(D130:D139))),"E",IF(3*COUNTBLANK(A130:A139)&lt;&gt;COUNTBLANK(D130:D139)+COUNTBLANK(G130:G139)+COUNTBLANK(I130:I139),"",IF(SUMPRODUCT(--(A130:A139&lt;&gt;""),--(D130:D139&lt;&gt;""),--(G130:G139&lt;&gt;""),--(I130:I139&lt;&gt;""))&lt;&gt;10-COUNTBLANK(A130:A139),"",IF(COUNTIF(G130:I139,"N")&gt;0,"N","Y"))))))))</f>
        <v/>
      </c>
      <c r="J125" s="408"/>
      <c r="K125" s="45" t="str">
        <f>IF(Standard_III_1_NotCalc="","",IF(Standard_III_1_NotCalc="Y","NA",IF(COUNTBLANK(A130:A139)=10,"",IF(SUMPRODUCT(--(A130:A139&lt;&gt;""), --(D130:D139&lt;&gt;""), --(G130:G139&lt;&gt;""), --(I130:I139&lt;&gt;"")) &lt;&gt; 10 - COUNTBLANK(A130:A139), "", IF(COUNTIF(G130:J139, "N") &gt; 0, "N", "Y")))))</f>
        <v/>
      </c>
      <c r="L125" s="43"/>
    </row>
    <row r="126" spans="1:13" ht="27" customHeight="1" thickBot="1">
      <c r="A126" s="385" t="s">
        <v>114</v>
      </c>
      <c r="B126" s="386"/>
      <c r="C126" s="386"/>
      <c r="D126" s="386"/>
      <c r="E126" s="386"/>
      <c r="F126" s="386"/>
      <c r="G126" s="386"/>
      <c r="H126" s="386"/>
      <c r="I126" s="409"/>
      <c r="J126" s="410"/>
      <c r="K126" s="45"/>
      <c r="L126" s="43"/>
    </row>
    <row r="127" spans="1:13" s="2" customFormat="1" ht="15" customHeight="1" thickBot="1">
      <c r="A127" s="393" t="s">
        <v>18</v>
      </c>
      <c r="B127" s="390"/>
      <c r="C127" s="390"/>
      <c r="D127" s="390" t="s">
        <v>19</v>
      </c>
      <c r="E127" s="390"/>
      <c r="F127" s="390"/>
      <c r="G127" s="387" t="s">
        <v>115</v>
      </c>
      <c r="H127" s="388"/>
      <c r="I127" s="388"/>
      <c r="J127" s="389"/>
      <c r="K127" s="46"/>
      <c r="L127" s="44"/>
    </row>
    <row r="128" spans="1:13" s="2" customFormat="1" ht="12.5">
      <c r="A128" s="394"/>
      <c r="B128" s="392"/>
      <c r="C128" s="392"/>
      <c r="D128" s="392"/>
      <c r="E128" s="392"/>
      <c r="F128" s="392"/>
      <c r="G128" s="390" t="s">
        <v>20</v>
      </c>
      <c r="H128" s="390"/>
      <c r="I128" s="390" t="s">
        <v>21</v>
      </c>
      <c r="J128" s="391"/>
      <c r="K128" s="46"/>
      <c r="L128" s="44"/>
    </row>
    <row r="129" spans="1:19" s="2" customFormat="1" ht="39.75" customHeight="1" thickBot="1">
      <c r="A129" s="413" t="s">
        <v>116</v>
      </c>
      <c r="B129" s="414"/>
      <c r="C129" s="414"/>
      <c r="D129" s="415" t="s">
        <v>117</v>
      </c>
      <c r="E129" s="415"/>
      <c r="F129" s="415"/>
      <c r="G129" s="415" t="s">
        <v>118</v>
      </c>
      <c r="H129" s="415"/>
      <c r="I129" s="415" t="s">
        <v>119</v>
      </c>
      <c r="J129" s="416"/>
      <c r="K129" s="46"/>
      <c r="L129" s="44"/>
    </row>
    <row r="130" spans="1:19" s="2" customFormat="1" ht="13" thickBot="1">
      <c r="A130" s="411"/>
      <c r="B130" s="412"/>
      <c r="C130" s="412"/>
      <c r="D130" s="403"/>
      <c r="E130" s="403"/>
      <c r="F130" s="404"/>
      <c r="G130" s="405"/>
      <c r="H130" s="405"/>
      <c r="I130" s="405"/>
      <c r="J130" s="406"/>
      <c r="K130" s="46"/>
      <c r="L130" s="227"/>
      <c r="M130" s="227"/>
      <c r="N130" s="35"/>
      <c r="O130" s="35"/>
      <c r="Q130" s="35"/>
      <c r="R130" s="35"/>
      <c r="S130" s="35"/>
    </row>
    <row r="131" spans="1:19" ht="16" thickBot="1">
      <c r="A131" s="411"/>
      <c r="B131" s="412"/>
      <c r="C131" s="412"/>
      <c r="D131" s="403"/>
      <c r="E131" s="403"/>
      <c r="F131" s="404"/>
      <c r="G131" s="405"/>
      <c r="H131" s="405"/>
      <c r="I131" s="405"/>
      <c r="J131" s="406"/>
      <c r="K131" s="46"/>
      <c r="L131" s="45"/>
      <c r="M131" s="45"/>
      <c r="N131" s="52"/>
      <c r="O131" s="52"/>
      <c r="P131" s="52"/>
    </row>
    <row r="132" spans="1:19" ht="16" thickBot="1">
      <c r="A132" s="411"/>
      <c r="B132" s="412"/>
      <c r="C132" s="412"/>
      <c r="D132" s="403"/>
      <c r="E132" s="403"/>
      <c r="F132" s="404"/>
      <c r="G132" s="405"/>
      <c r="H132" s="405"/>
      <c r="I132" s="405"/>
      <c r="J132" s="406"/>
      <c r="K132" s="46"/>
      <c r="L132" s="45"/>
      <c r="M132" s="45"/>
      <c r="N132" s="52"/>
      <c r="O132" s="52"/>
      <c r="P132" s="52"/>
    </row>
    <row r="133" spans="1:19" ht="16" thickBot="1">
      <c r="A133" s="411"/>
      <c r="B133" s="412"/>
      <c r="C133" s="412"/>
      <c r="D133" s="403"/>
      <c r="E133" s="403"/>
      <c r="F133" s="404"/>
      <c r="G133" s="405"/>
      <c r="H133" s="405"/>
      <c r="I133" s="405"/>
      <c r="J133" s="406"/>
      <c r="K133" s="46"/>
      <c r="L133" s="45"/>
      <c r="M133" s="45"/>
      <c r="N133" s="52"/>
      <c r="O133" s="52"/>
      <c r="P133" s="52"/>
    </row>
    <row r="134" spans="1:19" ht="16" thickBot="1">
      <c r="A134" s="411"/>
      <c r="B134" s="412"/>
      <c r="C134" s="412"/>
      <c r="D134" s="403"/>
      <c r="E134" s="403"/>
      <c r="F134" s="404"/>
      <c r="G134" s="405"/>
      <c r="H134" s="405"/>
      <c r="I134" s="405"/>
      <c r="J134" s="406"/>
      <c r="K134" s="46"/>
      <c r="L134" s="45"/>
      <c r="M134" s="45"/>
      <c r="N134" s="52"/>
      <c r="O134" s="52"/>
      <c r="P134" s="52"/>
    </row>
    <row r="135" spans="1:19" ht="16" thickBot="1">
      <c r="A135" s="411"/>
      <c r="B135" s="412"/>
      <c r="C135" s="412"/>
      <c r="D135" s="403"/>
      <c r="E135" s="403"/>
      <c r="F135" s="404"/>
      <c r="G135" s="405"/>
      <c r="H135" s="405"/>
      <c r="I135" s="405"/>
      <c r="J135" s="406"/>
      <c r="K135" s="46"/>
      <c r="L135" s="45"/>
      <c r="M135" s="45"/>
      <c r="N135" s="52"/>
      <c r="O135" s="52"/>
      <c r="P135" s="52"/>
    </row>
    <row r="136" spans="1:19" ht="16" thickBot="1">
      <c r="A136" s="411"/>
      <c r="B136" s="412"/>
      <c r="C136" s="412"/>
      <c r="D136" s="403"/>
      <c r="E136" s="403"/>
      <c r="F136" s="404"/>
      <c r="G136" s="405"/>
      <c r="H136" s="405"/>
      <c r="I136" s="405"/>
      <c r="J136" s="406"/>
      <c r="K136" s="46"/>
      <c r="L136" s="45"/>
      <c r="M136" s="45"/>
      <c r="N136" s="52"/>
      <c r="O136" s="52"/>
      <c r="P136" s="52"/>
    </row>
    <row r="137" spans="1:19" ht="16" thickBot="1">
      <c r="A137" s="411"/>
      <c r="B137" s="412"/>
      <c r="C137" s="412"/>
      <c r="D137" s="403"/>
      <c r="E137" s="403"/>
      <c r="F137" s="404"/>
      <c r="G137" s="405"/>
      <c r="H137" s="405"/>
      <c r="I137" s="405"/>
      <c r="J137" s="406"/>
      <c r="K137" s="46"/>
      <c r="L137" s="45"/>
      <c r="M137" s="45"/>
      <c r="N137" s="52"/>
      <c r="O137" s="52"/>
      <c r="P137" s="52"/>
    </row>
    <row r="138" spans="1:19" ht="16" thickBot="1">
      <c r="A138" s="411"/>
      <c r="B138" s="412"/>
      <c r="C138" s="412"/>
      <c r="D138" s="403"/>
      <c r="E138" s="403"/>
      <c r="F138" s="404"/>
      <c r="G138" s="405"/>
      <c r="H138" s="405"/>
      <c r="I138" s="405"/>
      <c r="J138" s="406"/>
      <c r="K138" s="46"/>
      <c r="L138" s="45"/>
      <c r="M138" s="45"/>
      <c r="N138" s="52"/>
      <c r="O138" s="52"/>
      <c r="P138" s="52"/>
    </row>
    <row r="139" spans="1:19" ht="16" thickBot="1">
      <c r="A139" s="411"/>
      <c r="B139" s="412"/>
      <c r="C139" s="412"/>
      <c r="D139" s="403"/>
      <c r="E139" s="403"/>
      <c r="F139" s="404"/>
      <c r="G139" s="405"/>
      <c r="H139" s="405"/>
      <c r="I139" s="405"/>
      <c r="J139" s="406"/>
      <c r="K139" s="46"/>
      <c r="L139" s="45"/>
      <c r="M139" s="45"/>
      <c r="N139" s="52"/>
      <c r="O139" s="52"/>
      <c r="P139" s="52"/>
    </row>
    <row r="140" spans="1:19">
      <c r="A140" s="426" t="s">
        <v>120</v>
      </c>
      <c r="B140" s="427"/>
      <c r="C140" s="427"/>
      <c r="D140" s="427"/>
      <c r="E140" s="427"/>
      <c r="F140" s="427"/>
      <c r="G140" s="427"/>
      <c r="H140" s="427"/>
      <c r="I140" s="427"/>
      <c r="J140" s="428"/>
    </row>
    <row r="141" spans="1:19">
      <c r="A141" s="429" t="s">
        <v>121</v>
      </c>
      <c r="B141" s="430"/>
      <c r="C141" s="430"/>
      <c r="D141" s="430"/>
      <c r="E141" s="430"/>
      <c r="F141" s="430"/>
      <c r="G141" s="430"/>
      <c r="H141" s="430"/>
      <c r="I141" s="430"/>
      <c r="J141" s="431"/>
    </row>
    <row r="142" spans="1:19">
      <c r="A142" s="429" t="s">
        <v>122</v>
      </c>
      <c r="B142" s="430"/>
      <c r="C142" s="430"/>
      <c r="D142" s="430"/>
      <c r="E142" s="430"/>
      <c r="F142" s="430"/>
      <c r="G142" s="430"/>
      <c r="H142" s="430"/>
      <c r="I142" s="430"/>
      <c r="J142" s="431"/>
    </row>
    <row r="143" spans="1:19">
      <c r="A143" s="429" t="s">
        <v>123</v>
      </c>
      <c r="B143" s="430"/>
      <c r="C143" s="430"/>
      <c r="D143" s="430"/>
      <c r="E143" s="430"/>
      <c r="F143" s="430"/>
      <c r="G143" s="430"/>
      <c r="H143" s="430"/>
      <c r="I143" s="430"/>
      <c r="J143" s="431"/>
    </row>
    <row r="144" spans="1:19" ht="16" thickBot="1">
      <c r="A144" s="432" t="s">
        <v>124</v>
      </c>
      <c r="B144" s="433"/>
      <c r="C144" s="433"/>
      <c r="D144" s="433"/>
      <c r="E144" s="433"/>
      <c r="F144" s="433"/>
      <c r="G144" s="433"/>
      <c r="H144" s="433"/>
      <c r="I144" s="433"/>
      <c r="J144" s="434"/>
    </row>
    <row r="145" spans="1:10" ht="30.75" customHeight="1" thickTop="1" thickBot="1">
      <c r="A145" s="13" t="s">
        <v>12</v>
      </c>
      <c r="B145" s="383"/>
      <c r="C145" s="383"/>
      <c r="D145" s="383"/>
      <c r="E145" s="383"/>
      <c r="F145" s="383"/>
      <c r="G145" s="383"/>
      <c r="H145" s="383"/>
      <c r="I145" s="383"/>
      <c r="J145" s="384"/>
    </row>
    <row r="146" spans="1:10" ht="27.75" customHeight="1" thickTop="1" thickBot="1">
      <c r="A146" s="253" t="s">
        <v>125</v>
      </c>
      <c r="B146" s="296"/>
      <c r="C146" s="296"/>
      <c r="D146" s="296"/>
      <c r="E146" s="296"/>
      <c r="F146" s="296"/>
      <c r="G146" s="296"/>
      <c r="H146" s="296"/>
      <c r="I146" s="297"/>
      <c r="J146" s="42" t="s">
        <v>11</v>
      </c>
    </row>
    <row r="147" spans="1:10" ht="39" customHeight="1" thickTop="1">
      <c r="A147" s="320" t="s">
        <v>126</v>
      </c>
      <c r="B147" s="321"/>
      <c r="C147" s="321"/>
      <c r="D147" s="321"/>
      <c r="E147" s="321"/>
      <c r="F147" s="321"/>
      <c r="G147" s="321"/>
      <c r="H147" s="321"/>
      <c r="I147" s="322"/>
      <c r="J147" s="323"/>
    </row>
    <row r="148" spans="1:10" ht="26.25" customHeight="1">
      <c r="A148" s="364" t="s">
        <v>297</v>
      </c>
      <c r="B148" s="365"/>
      <c r="C148" s="365"/>
      <c r="D148" s="365"/>
      <c r="E148" s="365"/>
      <c r="F148" s="365"/>
      <c r="G148" s="365"/>
      <c r="H148" s="365"/>
      <c r="I148" s="366"/>
      <c r="J148" s="307"/>
    </row>
    <row r="149" spans="1:10">
      <c r="A149" s="364" t="s">
        <v>294</v>
      </c>
      <c r="B149" s="365"/>
      <c r="C149" s="365"/>
      <c r="D149" s="365"/>
      <c r="E149" s="365"/>
      <c r="F149" s="365"/>
      <c r="G149" s="365"/>
      <c r="H149" s="365"/>
      <c r="I149" s="366"/>
      <c r="J149" s="307"/>
    </row>
    <row r="150" spans="1:10">
      <c r="A150" s="364" t="s">
        <v>295</v>
      </c>
      <c r="B150" s="365"/>
      <c r="C150" s="365"/>
      <c r="D150" s="365"/>
      <c r="E150" s="365"/>
      <c r="F150" s="365"/>
      <c r="G150" s="365"/>
      <c r="H150" s="365"/>
      <c r="I150" s="366"/>
      <c r="J150" s="307"/>
    </row>
    <row r="151" spans="1:10" ht="16" thickBot="1">
      <c r="A151" s="312" t="s">
        <v>127</v>
      </c>
      <c r="B151" s="313"/>
      <c r="C151" s="313"/>
      <c r="D151" s="313"/>
      <c r="E151" s="313"/>
      <c r="F151" s="313"/>
      <c r="G151" s="313"/>
      <c r="H151" s="313"/>
      <c r="I151" s="314"/>
      <c r="J151" s="308"/>
    </row>
    <row r="152" spans="1:10" ht="33.75" customHeight="1" thickTop="1" thickBot="1">
      <c r="A152" s="33" t="s">
        <v>12</v>
      </c>
      <c r="B152" s="347"/>
      <c r="C152" s="347"/>
      <c r="D152" s="347"/>
      <c r="E152" s="347"/>
      <c r="F152" s="348"/>
      <c r="G152" s="243" t="s">
        <v>13</v>
      </c>
      <c r="H152" s="244"/>
      <c r="I152" s="243" t="s">
        <v>14</v>
      </c>
      <c r="J152" s="244"/>
    </row>
    <row r="153" spans="1:10" ht="17.25" customHeight="1" thickTop="1" thickBot="1">
      <c r="A153" s="361" t="s">
        <v>110</v>
      </c>
      <c r="B153" s="362"/>
      <c r="C153" s="362"/>
      <c r="D153" s="362"/>
      <c r="E153" s="362"/>
      <c r="F153" s="363"/>
      <c r="G153" s="245">
        <f>COUNTIF(Standard_III_3, "Y") + COUNTIF(Standard_III_2,"Y") + COUNTIF(Standard_III_1, "Y")</f>
        <v>0</v>
      </c>
      <c r="H153" s="246"/>
      <c r="I153" s="245">
        <f>COUNTIF(Standard_III_3, "N") + COUNTIF(Standard_III_2,"N") + COUNTIF(Standard_III_1, "N")</f>
        <v>0</v>
      </c>
      <c r="J153" s="246"/>
    </row>
    <row r="154" spans="1:10" ht="16.5" customHeight="1" thickTop="1">
      <c r="A154" s="259" t="s">
        <v>129</v>
      </c>
      <c r="B154" s="260"/>
      <c r="C154" s="260"/>
      <c r="D154" s="260"/>
      <c r="E154" s="260"/>
      <c r="F154" s="260"/>
      <c r="G154" s="260"/>
      <c r="H154" s="260"/>
      <c r="I154" s="260"/>
      <c r="J154" s="261"/>
    </row>
    <row r="155" spans="1:10" ht="16" thickBot="1">
      <c r="A155" s="262" t="s">
        <v>130</v>
      </c>
      <c r="B155" s="263"/>
      <c r="C155" s="263"/>
      <c r="D155" s="263"/>
      <c r="E155" s="263"/>
      <c r="F155" s="263"/>
      <c r="G155" s="263"/>
      <c r="H155" s="263"/>
      <c r="I155" s="263"/>
      <c r="J155" s="264"/>
    </row>
    <row r="156" spans="1:10" ht="16.5" customHeight="1" thickTop="1" thickBot="1">
      <c r="A156" s="253" t="s">
        <v>128</v>
      </c>
      <c r="B156" s="254"/>
      <c r="C156" s="254"/>
      <c r="D156" s="254"/>
      <c r="E156" s="255"/>
      <c r="F156" s="42">
        <v>1</v>
      </c>
      <c r="G156" s="42">
        <v>2</v>
      </c>
      <c r="H156" s="42">
        <v>3</v>
      </c>
      <c r="I156" s="42">
        <v>4</v>
      </c>
      <c r="J156" s="42">
        <v>5</v>
      </c>
    </row>
    <row r="157" spans="1:10" ht="16.5" customHeight="1" thickTop="1" thickBot="1">
      <c r="A157" s="256"/>
      <c r="B157" s="257"/>
      <c r="C157" s="257"/>
      <c r="D157" s="257"/>
      <c r="E157" s="258"/>
      <c r="F157" s="11" t="str">
        <f ca="1">IF('IWP01'!ContractNumber = "", "", IF('IWP01'!Std4dot1 = "", "E", 'IWP01'!Std4dot1))</f>
        <v/>
      </c>
      <c r="G157" s="11" t="str">
        <f ca="1">IF('IWP02'!ContractNumber = "", "", IF('IWP02'!Std4dot1 = "", "E", 'IWP02'!Std4dot1))</f>
        <v/>
      </c>
      <c r="H157" s="11" t="str">
        <f ca="1">IF('IWP03'!ContractNumber = "", "", IF('IWP03'!Std4dot1 = "", "E", 'IWP03'!Std4dot1))</f>
        <v/>
      </c>
      <c r="I157" s="11" t="str">
        <f ca="1">IF('IWP04'!ContractNumber = "", "", IF('IWP04'!Std4dot1 = "", "E", 'IWP04'!Std4dot1))</f>
        <v/>
      </c>
      <c r="J157" s="11" t="str">
        <f ca="1">IF('IWP05'!ContractNumber = "", "", IF('IWP05'!Std4dot1 = "", "E", 'IWP05'!Std4dot1))</f>
        <v/>
      </c>
    </row>
    <row r="158" spans="1:10" ht="16.5" thickTop="1" thickBot="1">
      <c r="A158" s="256"/>
      <c r="B158" s="257"/>
      <c r="C158" s="257"/>
      <c r="D158" s="257"/>
      <c r="E158" s="258"/>
      <c r="F158" s="42">
        <v>6</v>
      </c>
      <c r="G158" s="42">
        <v>7</v>
      </c>
      <c r="H158" s="42">
        <v>8</v>
      </c>
      <c r="I158" s="42">
        <v>9</v>
      </c>
      <c r="J158" s="42">
        <v>10</v>
      </c>
    </row>
    <row r="159" spans="1:10" ht="16.5" customHeight="1" thickTop="1" thickBot="1">
      <c r="A159" s="256"/>
      <c r="B159" s="257"/>
      <c r="C159" s="257"/>
      <c r="D159" s="257"/>
      <c r="E159" s="258"/>
      <c r="F159" s="11" t="str">
        <f ca="1">IF('IWP06'!ContractNumber = "", "", IF('IWP06'!Std4dot1 = "", "E", 'IWP06'!Std4dot1))</f>
        <v/>
      </c>
      <c r="G159" s="11" t="str">
        <f ca="1">IF('IWP07'!ContractNumber = "", "", IF('IWP07'!Std4dot1 = "", "E", 'IWP07'!Std4dot1))</f>
        <v/>
      </c>
      <c r="H159" s="11" t="str">
        <f ca="1">IF('IWP08'!ContractNumber = "", "", IF('IWP08'!Std4dot1 = "", "E", 'IWP08'!Std4dot1))</f>
        <v/>
      </c>
      <c r="I159" s="11" t="str">
        <f ca="1">IF('IWP09'!ContractNumber = "", "", IF('IWP09'!Std4dot1 = "", "E", 'IWP09'!Std4dot1))</f>
        <v/>
      </c>
      <c r="J159" s="11" t="str">
        <f ca="1">IF('IWP10'!ContractNumber = "", "", IF('IWP10'!Std4dot1 = "", "E", 'IWP10'!Std4dot1))</f>
        <v/>
      </c>
    </row>
    <row r="160" spans="1:10" ht="16.5" customHeight="1" thickTop="1" thickBot="1">
      <c r="A160" s="256"/>
      <c r="B160" s="257"/>
      <c r="C160" s="257"/>
      <c r="D160" s="257"/>
      <c r="E160" s="258"/>
      <c r="F160" s="42">
        <v>11</v>
      </c>
      <c r="G160" s="42">
        <v>12</v>
      </c>
      <c r="H160" s="42">
        <v>13</v>
      </c>
      <c r="I160" s="42">
        <v>14</v>
      </c>
      <c r="J160" s="42">
        <v>15</v>
      </c>
    </row>
    <row r="161" spans="1:10" ht="17.25" customHeight="1" thickTop="1" thickBot="1">
      <c r="A161" s="239" t="s">
        <v>700</v>
      </c>
      <c r="B161" s="237"/>
      <c r="C161" s="237"/>
      <c r="D161" s="237"/>
      <c r="E161" s="238"/>
      <c r="F161" s="11" t="str">
        <f ca="1">IF('IWP11'!ContractNumber = "", "", IF('IWP11'!Std4dot1 = "", "E", 'IWP11'!Std4dot1))</f>
        <v/>
      </c>
      <c r="G161" s="11" t="str">
        <f ca="1">IF('IWP12'!ContractNumber = "", "", IF('IWP12'!Std4dot1 = "", "E", 'IWP12'!Std4dot1))</f>
        <v/>
      </c>
      <c r="H161" s="11" t="str">
        <f ca="1">IF('IWP13'!ContractNumber = "", "", IF('IWP13'!Std4dot1 = "", "E", 'IWP13'!Std4dot1))</f>
        <v/>
      </c>
      <c r="I161" s="11" t="str">
        <f ca="1">IF('IWP14'!ContractNumber = "", "", IF('IWP14'!Std4dot1 = "", "E", 'IWP14'!Std4dot1))</f>
        <v/>
      </c>
      <c r="J161" s="11" t="str">
        <f ca="1">IF('IWP15'!ContractNumber = "", "", IF('IWP15'!Std4dot1 = "", "E", 'IWP15'!Std4dot1))</f>
        <v/>
      </c>
    </row>
    <row r="162" spans="1:10" ht="17.25" customHeight="1" thickTop="1" thickBot="1">
      <c r="A162" s="239"/>
      <c r="B162" s="237"/>
      <c r="C162" s="237"/>
      <c r="D162" s="237"/>
      <c r="E162" s="238"/>
      <c r="F162" s="42">
        <v>16</v>
      </c>
      <c r="G162" s="42">
        <v>17</v>
      </c>
      <c r="H162" s="42">
        <v>18</v>
      </c>
      <c r="I162" s="42">
        <v>19</v>
      </c>
      <c r="J162" s="42">
        <v>20</v>
      </c>
    </row>
    <row r="163" spans="1:10" ht="17.25" customHeight="1" thickTop="1" thickBot="1">
      <c r="A163" s="239"/>
      <c r="B163" s="237"/>
      <c r="C163" s="237"/>
      <c r="D163" s="237"/>
      <c r="E163" s="238"/>
      <c r="F163" s="11" t="str">
        <f ca="1">IF('IWP16'!ContractNumber = "", "", IF('IWP16'!Std4dot1 = "", "E", 'IWP16'!Std4dot1))</f>
        <v/>
      </c>
      <c r="G163" s="11" t="str">
        <f ca="1">IF('IWP17'!ContractNumber = "", "", IF('IWP17'!Std4dot1 = "", "E", 'IWP17'!Std4dot1))</f>
        <v/>
      </c>
      <c r="H163" s="11" t="str">
        <f ca="1">IF('IWP18'!ContractNumber = "", "", IF('IWP18'!Std4dot1 = "", "E", 'IWP18'!Std4dot1))</f>
        <v/>
      </c>
      <c r="I163" s="11" t="str">
        <f ca="1">IF('IWP19'!ContractNumber = "", "", IF('IWP19'!Std4dot1 = "", "E", 'IWP19'!Std4dot1))</f>
        <v/>
      </c>
      <c r="J163" s="11" t="str">
        <f ca="1">IF('IWP20'!ContractNumber = "", "", IF('IWP20'!Std4dot1 = "", "E", 'IWP20'!Std4dot1))</f>
        <v/>
      </c>
    </row>
    <row r="164" spans="1:10" ht="17.25" customHeight="1" thickTop="1" thickBot="1">
      <c r="A164" s="239"/>
      <c r="B164" s="237"/>
      <c r="C164" s="237"/>
      <c r="D164" s="237"/>
      <c r="E164" s="238"/>
      <c r="F164" s="42">
        <v>21</v>
      </c>
      <c r="G164" s="42">
        <v>22</v>
      </c>
      <c r="H164" s="42">
        <v>23</v>
      </c>
      <c r="I164" s="42">
        <v>24</v>
      </c>
      <c r="J164" s="42">
        <v>25</v>
      </c>
    </row>
    <row r="165" spans="1:10" ht="17.25" customHeight="1" thickTop="1" thickBot="1">
      <c r="A165" s="239"/>
      <c r="B165" s="237"/>
      <c r="C165" s="237"/>
      <c r="D165" s="237"/>
      <c r="E165" s="238"/>
      <c r="F165" s="11" t="str">
        <f ca="1">IF('IWP21'!ContractNumber = "", "", IF('IWP21'!Std4dot1 = "", "E", 'IWP21'!Std4dot1))</f>
        <v/>
      </c>
      <c r="G165" s="11" t="str">
        <f ca="1">IF('IWP22'!ContractNumber = "", "", IF('IWP22'!Std4dot1 = "", "E", 'IWP22'!Std4dot1))</f>
        <v/>
      </c>
      <c r="H165" s="11" t="str">
        <f ca="1">IF('IWP23'!ContractNumber = "", "", IF('IWP23'!Std4dot1 = "", "E", 'IWP23'!Std4dot1))</f>
        <v/>
      </c>
      <c r="I165" s="11" t="str">
        <f ca="1">IF('IWP24'!ContractNumber = "", "", IF('IWP24'!Std4dot1 = "", "E", 'IWP24'!Std4dot1))</f>
        <v/>
      </c>
      <c r="J165" s="11" t="str">
        <f ca="1">IF('IWP25'!ContractNumber = "", "", IF('IWP25'!Std4dot1 = "", "E", 'IWP25'!Std4dot1))</f>
        <v/>
      </c>
    </row>
    <row r="166" spans="1:10" ht="17.25" customHeight="1" thickTop="1" thickBot="1">
      <c r="A166" s="239"/>
      <c r="B166" s="237"/>
      <c r="C166" s="237"/>
      <c r="D166" s="237"/>
      <c r="E166" s="238"/>
      <c r="F166" s="42">
        <v>26</v>
      </c>
      <c r="G166" s="42">
        <v>27</v>
      </c>
      <c r="H166" s="42">
        <v>28</v>
      </c>
      <c r="I166" s="42">
        <v>29</v>
      </c>
      <c r="J166" s="42">
        <v>30</v>
      </c>
    </row>
    <row r="167" spans="1:10" ht="17.25" customHeight="1" thickTop="1" thickBot="1">
      <c r="A167" s="240"/>
      <c r="B167" s="241"/>
      <c r="C167" s="241"/>
      <c r="D167" s="241"/>
      <c r="E167" s="242"/>
      <c r="F167" s="11" t="str">
        <f ca="1">IF('IWP26'!ContractNumber = "", "", IF('IWP26'!Std4dot1 = "", "E", 'IWP26'!Std4dot1))</f>
        <v/>
      </c>
      <c r="G167" s="11" t="str">
        <f ca="1">IF('IWP27'!ContractNumber = "", "", IF('IWP27'!Std4dot1 = "", "E", 'IWP27'!Std4dot1))</f>
        <v/>
      </c>
      <c r="H167" s="11" t="str">
        <f ca="1">IF('IWP28'!ContractNumber = "", "", IF('IWP28'!Std4dot1 = "", "E", 'IWP28'!Std4dot1))</f>
        <v/>
      </c>
      <c r="I167" s="11" t="str">
        <f ca="1">IF('IWP29'!ContractNumber = "", "", IF('IWP29'!Std4dot1 = "", "E", 'IWP29'!Std4dot1))</f>
        <v/>
      </c>
      <c r="J167" s="11" t="str">
        <f ca="1">IF('IWP30'!ContractNumber = "", "", IF('IWP30'!Std4dot1 = "", "E", 'IWP30'!Std4dot1))</f>
        <v/>
      </c>
    </row>
    <row r="168" spans="1:10" ht="17.25" customHeight="1" thickTop="1" thickBot="1">
      <c r="A168" s="247" t="s">
        <v>12</v>
      </c>
      <c r="B168" s="249"/>
      <c r="C168" s="249"/>
      <c r="D168" s="249"/>
      <c r="E168" s="249"/>
      <c r="F168" s="250"/>
      <c r="G168" s="243" t="s">
        <v>15</v>
      </c>
      <c r="H168" s="244"/>
      <c r="I168" s="243" t="s">
        <v>16</v>
      </c>
      <c r="J168" s="244"/>
    </row>
    <row r="169" spans="1:10" ht="17.25" customHeight="1" thickTop="1" thickBot="1">
      <c r="A169" s="248"/>
      <c r="B169" s="251"/>
      <c r="C169" s="251"/>
      <c r="D169" s="251"/>
      <c r="E169" s="251"/>
      <c r="F169" s="252"/>
      <c r="G169" s="245">
        <f ca="1">COUNTIF(F157:J167, "Y")</f>
        <v>0</v>
      </c>
      <c r="H169" s="246"/>
      <c r="I169" s="245">
        <f ca="1">COUNTIF(F157:J167, "N")</f>
        <v>0</v>
      </c>
      <c r="J169" s="246"/>
    </row>
    <row r="170" spans="1:10" ht="16.5" customHeight="1" thickTop="1" thickBot="1">
      <c r="A170" s="253" t="s">
        <v>734</v>
      </c>
      <c r="B170" s="254"/>
      <c r="C170" s="254"/>
      <c r="D170" s="254"/>
      <c r="E170" s="255"/>
      <c r="F170" s="42">
        <v>1</v>
      </c>
      <c r="G170" s="42">
        <v>2</v>
      </c>
      <c r="H170" s="42">
        <v>3</v>
      </c>
      <c r="I170" s="42">
        <v>4</v>
      </c>
      <c r="J170" s="42">
        <v>5</v>
      </c>
    </row>
    <row r="171" spans="1:10" ht="16.5" customHeight="1" thickTop="1" thickBot="1">
      <c r="A171" s="256"/>
      <c r="B171" s="257"/>
      <c r="C171" s="257"/>
      <c r="D171" s="257"/>
      <c r="E171" s="258"/>
      <c r="F171" s="11" t="str">
        <f ca="1">IF('IWP01'!ContractNumber = "", "", IF('IWP01'!Std4dot2 = "", "E", 'IWP01'!Std4dot2))</f>
        <v/>
      </c>
      <c r="G171" s="11" t="str">
        <f ca="1">IF('IWP02'!ContractNumber = "", "", IF('IWP02'!Std4dot2 = "", "E", 'IWP02'!Std4dot2))</f>
        <v/>
      </c>
      <c r="H171" s="11" t="str">
        <f ca="1">IF('IWP03'!ContractNumber = "", "", IF('IWP03'!Std4dot2 = "", "E", 'IWP03'!Std4dot2))</f>
        <v/>
      </c>
      <c r="I171" s="11" t="str">
        <f ca="1">IF('IWP04'!ContractNumber = "", "", IF('IWP04'!Std4dot2 = "", "E", 'IWP04'!Std4dot2))</f>
        <v/>
      </c>
      <c r="J171" s="11" t="str">
        <f ca="1">IF('IWP05'!ContractNumber = "", "", IF('IWP05'!Std4dot2 = "", "E", 'IWP05'!Std4dot2))</f>
        <v/>
      </c>
    </row>
    <row r="172" spans="1:10" ht="16.5" thickTop="1" thickBot="1">
      <c r="A172" s="256"/>
      <c r="B172" s="257"/>
      <c r="C172" s="257"/>
      <c r="D172" s="257"/>
      <c r="E172" s="258"/>
      <c r="F172" s="42">
        <v>6</v>
      </c>
      <c r="G172" s="42">
        <v>7</v>
      </c>
      <c r="H172" s="42">
        <v>8</v>
      </c>
      <c r="I172" s="42">
        <v>9</v>
      </c>
      <c r="J172" s="42">
        <v>10</v>
      </c>
    </row>
    <row r="173" spans="1:10" ht="16.5" customHeight="1" thickTop="1" thickBot="1">
      <c r="A173" s="256"/>
      <c r="B173" s="257"/>
      <c r="C173" s="257"/>
      <c r="D173" s="257"/>
      <c r="E173" s="258"/>
      <c r="F173" s="11" t="str">
        <f ca="1">IF('IWP06'!ContractNumber = "", "", IF('IWP06'!Std4dot2 = "", "E", 'IWP06'!Std4dot2))</f>
        <v/>
      </c>
      <c r="G173" s="11" t="str">
        <f ca="1">IF('IWP07'!ContractNumber = "", "", IF('IWP07'!Std4dot2 = "", "E", 'IWP07'!Std4dot2))</f>
        <v/>
      </c>
      <c r="H173" s="11" t="str">
        <f ca="1">IF('IWP08'!ContractNumber = "", "", IF('IWP08'!Std4dot2 = "", "E", 'IWP08'!Std4dot2))</f>
        <v/>
      </c>
      <c r="I173" s="11" t="str">
        <f ca="1">IF('IWP09'!ContractNumber = "", "", IF('IWP09'!Std4dot2 = "", "E", 'IWP09'!Std4dot2))</f>
        <v/>
      </c>
      <c r="J173" s="11" t="str">
        <f ca="1">IF('IWP10'!ContractNumber = "", "", IF('IWP10'!Std4dot2 = "", "E", 'IWP10'!Std4dot2))</f>
        <v/>
      </c>
    </row>
    <row r="174" spans="1:10" ht="16.5" customHeight="1" thickTop="1" thickBot="1">
      <c r="A174" s="256"/>
      <c r="B174" s="257"/>
      <c r="C174" s="257"/>
      <c r="D174" s="257"/>
      <c r="E174" s="258"/>
      <c r="F174" s="42">
        <v>11</v>
      </c>
      <c r="G174" s="42">
        <v>12</v>
      </c>
      <c r="H174" s="42">
        <v>13</v>
      </c>
      <c r="I174" s="42">
        <v>14</v>
      </c>
      <c r="J174" s="42">
        <v>15</v>
      </c>
    </row>
    <row r="175" spans="1:10" ht="17.25" customHeight="1" thickTop="1" thickBot="1">
      <c r="A175" s="239" t="s">
        <v>701</v>
      </c>
      <c r="B175" s="237"/>
      <c r="C175" s="237"/>
      <c r="D175" s="237"/>
      <c r="E175" s="238"/>
      <c r="F175" s="11" t="str">
        <f ca="1">IF('IWP11'!ContractNumber = "", "", IF('IWP11'!Std4dot2 = "", "E", 'IWP11'!Std4dot2))</f>
        <v/>
      </c>
      <c r="G175" s="11" t="str">
        <f ca="1">IF('IWP12'!ContractNumber = "", "", IF('IWP12'!Std4dot2 = "", "E", 'IWP12'!Std4dot2))</f>
        <v/>
      </c>
      <c r="H175" s="11" t="str">
        <f ca="1">IF('IWP13'!ContractNumber = "", "", IF('IWP13'!Std4dot2 = "", "E", 'IWP13'!Std4dot2))</f>
        <v/>
      </c>
      <c r="I175" s="11" t="str">
        <f ca="1">IF('IWP14'!ContractNumber = "", "", IF('IWP14'!Std4dot2 = "", "E", 'IWP14'!Std4dot2))</f>
        <v/>
      </c>
      <c r="J175" s="11" t="str">
        <f ca="1">IF('IWP15'!ContractNumber = "", "", IF('IWP15'!Std4dot2 = "", "E", 'IWP15'!Std4dot2))</f>
        <v/>
      </c>
    </row>
    <row r="176" spans="1:10" ht="17.25" customHeight="1" thickTop="1" thickBot="1">
      <c r="A176" s="239"/>
      <c r="B176" s="237"/>
      <c r="C176" s="237"/>
      <c r="D176" s="237"/>
      <c r="E176" s="238"/>
      <c r="F176" s="42">
        <v>16</v>
      </c>
      <c r="G176" s="42">
        <v>17</v>
      </c>
      <c r="H176" s="42">
        <v>18</v>
      </c>
      <c r="I176" s="42">
        <v>19</v>
      </c>
      <c r="J176" s="42">
        <v>20</v>
      </c>
    </row>
    <row r="177" spans="1:10" ht="17.25" customHeight="1" thickTop="1" thickBot="1">
      <c r="A177" s="239"/>
      <c r="B177" s="237"/>
      <c r="C177" s="237"/>
      <c r="D177" s="237"/>
      <c r="E177" s="238"/>
      <c r="F177" s="11" t="str">
        <f ca="1">IF('IWP16'!ContractNumber = "", "", IF('IWP16'!Std4dot2 = "", "E", 'IWP16'!Std4dot2))</f>
        <v/>
      </c>
      <c r="G177" s="11" t="str">
        <f ca="1">IF('IWP17'!ContractNumber = "", "", IF('IWP17'!Std4dot2 = "", "E", 'IWP17'!Std4dot2))</f>
        <v/>
      </c>
      <c r="H177" s="11" t="str">
        <f ca="1">IF('IWP18'!ContractNumber = "", "", IF('IWP18'!Std4dot2 = "", "E", 'IWP18'!Std4dot2))</f>
        <v/>
      </c>
      <c r="I177" s="11" t="str">
        <f ca="1">IF('IWP19'!ContractNumber = "", "", IF('IWP19'!Std4dot2 = "", "E", 'IWP19'!Std4dot2))</f>
        <v/>
      </c>
      <c r="J177" s="11" t="str">
        <f ca="1">IF('IWP20'!ContractNumber = "", "", IF('IWP20'!Std4dot2 = "", "E", 'IWP20'!Std4dot2))</f>
        <v/>
      </c>
    </row>
    <row r="178" spans="1:10" ht="17.25" customHeight="1" thickTop="1" thickBot="1">
      <c r="A178" s="239"/>
      <c r="B178" s="237"/>
      <c r="C178" s="237"/>
      <c r="D178" s="237"/>
      <c r="E178" s="238"/>
      <c r="F178" s="42">
        <v>21</v>
      </c>
      <c r="G178" s="42">
        <v>22</v>
      </c>
      <c r="H178" s="42">
        <v>23</v>
      </c>
      <c r="I178" s="42">
        <v>24</v>
      </c>
      <c r="J178" s="42">
        <v>25</v>
      </c>
    </row>
    <row r="179" spans="1:10" ht="17.25" customHeight="1" thickTop="1" thickBot="1">
      <c r="A179" s="239"/>
      <c r="B179" s="237"/>
      <c r="C179" s="237"/>
      <c r="D179" s="237"/>
      <c r="E179" s="238"/>
      <c r="F179" s="11" t="str">
        <f ca="1">IF('IWP21'!ContractNumber = "", "", IF('IWP21'!Std4dot2 = "", "E", 'IWP21'!Std4dot2))</f>
        <v/>
      </c>
      <c r="G179" s="11" t="str">
        <f ca="1">IF('IWP22'!ContractNumber = "", "", IF('IWP22'!Std4dot2 = "", "E", 'IWP22'!Std4dot2))</f>
        <v/>
      </c>
      <c r="H179" s="11" t="str">
        <f ca="1">IF('IWP23'!ContractNumber = "", "", IF('IWP23'!Std4dot2 = "", "E", 'IWP23'!Std4dot2))</f>
        <v/>
      </c>
      <c r="I179" s="11" t="str">
        <f ca="1">IF('IWP24'!ContractNumber = "", "", IF('IWP24'!Std4dot2 = "", "E", 'IWP24'!Std4dot2))</f>
        <v/>
      </c>
      <c r="J179" s="11" t="str">
        <f ca="1">IF('IWP25'!ContractNumber = "", "", IF('IWP25'!Std4dot2 = "", "E", 'IWP25'!Std4dot2))</f>
        <v/>
      </c>
    </row>
    <row r="180" spans="1:10" ht="17.25" customHeight="1" thickTop="1" thickBot="1">
      <c r="A180" s="239"/>
      <c r="B180" s="237"/>
      <c r="C180" s="237"/>
      <c r="D180" s="237"/>
      <c r="E180" s="238"/>
      <c r="F180" s="42">
        <v>26</v>
      </c>
      <c r="G180" s="42">
        <v>27</v>
      </c>
      <c r="H180" s="42">
        <v>28</v>
      </c>
      <c r="I180" s="42">
        <v>29</v>
      </c>
      <c r="J180" s="42">
        <v>30</v>
      </c>
    </row>
    <row r="181" spans="1:10" ht="17.25" customHeight="1" thickTop="1" thickBot="1">
      <c r="A181" s="240"/>
      <c r="B181" s="241"/>
      <c r="C181" s="241"/>
      <c r="D181" s="241"/>
      <c r="E181" s="242"/>
      <c r="F181" s="11" t="str">
        <f ca="1">IF('IWP26'!ContractNumber = "", "", IF('IWP26'!Std4dot2 = "", "E", 'IWP26'!Std4dot2))</f>
        <v/>
      </c>
      <c r="G181" s="11" t="str">
        <f ca="1">IF('IWP27'!ContractNumber = "", "", IF('IWP27'!Std4dot2 = "", "E", 'IWP27'!Std4dot2))</f>
        <v/>
      </c>
      <c r="H181" s="11" t="str">
        <f ca="1">IF('IWP28'!ContractNumber = "", "", IF('IWP28'!Std4dot2 = "", "E", 'IWP28'!Std4dot2))</f>
        <v/>
      </c>
      <c r="I181" s="11" t="str">
        <f ca="1">IF('IWP29'!ContractNumber = "", "", IF('IWP29'!Std4dot2 = "", "E", 'IWP29'!Std4dot2))</f>
        <v/>
      </c>
      <c r="J181" s="11" t="str">
        <f ca="1">IF('IWP30'!ContractNumber = "", "", IF('IWP30'!Std4dot2 = "", "E", 'IWP30'!Std4dot2))</f>
        <v/>
      </c>
    </row>
    <row r="182" spans="1:10" ht="17.25" customHeight="1" thickTop="1" thickBot="1">
      <c r="A182" s="247" t="s">
        <v>12</v>
      </c>
      <c r="B182" s="249"/>
      <c r="C182" s="249"/>
      <c r="D182" s="249"/>
      <c r="E182" s="249"/>
      <c r="F182" s="250"/>
      <c r="G182" s="243" t="s">
        <v>15</v>
      </c>
      <c r="H182" s="244"/>
      <c r="I182" s="243" t="s">
        <v>16</v>
      </c>
      <c r="J182" s="244"/>
    </row>
    <row r="183" spans="1:10" ht="17.25" customHeight="1" thickTop="1" thickBot="1">
      <c r="A183" s="248"/>
      <c r="B183" s="251"/>
      <c r="C183" s="251"/>
      <c r="D183" s="251"/>
      <c r="E183" s="251"/>
      <c r="F183" s="252"/>
      <c r="G183" s="245">
        <f ca="1">COUNTIF(F171:J181, "Y")</f>
        <v>0</v>
      </c>
      <c r="H183" s="246"/>
      <c r="I183" s="245">
        <f ca="1">COUNTIF(F171:J181, "N")</f>
        <v>0</v>
      </c>
      <c r="J183" s="246"/>
    </row>
    <row r="184" spans="1:10" ht="16.5" customHeight="1" thickTop="1" thickBot="1">
      <c r="A184" s="253" t="s">
        <v>533</v>
      </c>
      <c r="B184" s="254"/>
      <c r="C184" s="254"/>
      <c r="D184" s="254"/>
      <c r="E184" s="255"/>
      <c r="F184" s="42">
        <v>1</v>
      </c>
      <c r="G184" s="42">
        <v>2</v>
      </c>
      <c r="H184" s="42">
        <v>3</v>
      </c>
      <c r="I184" s="42">
        <v>4</v>
      </c>
      <c r="J184" s="42">
        <v>5</v>
      </c>
    </row>
    <row r="185" spans="1:10" ht="16.5" customHeight="1" thickTop="1" thickBot="1">
      <c r="A185" s="256"/>
      <c r="B185" s="257"/>
      <c r="C185" s="257"/>
      <c r="D185" s="257"/>
      <c r="E185" s="258"/>
      <c r="F185" s="11" t="str">
        <f ca="1">IF('IWP01'!ContractNumber = "", "", IF('IWP01'!Std4dot3 = "", "E", 'IWP01'!Std4dot3))</f>
        <v/>
      </c>
      <c r="G185" s="11" t="str">
        <f ca="1">IF('IWP02'!ContractNumber = "", "", IF('IWP02'!Std4dot3 = "", "E", 'IWP02'!Std4dot3))</f>
        <v/>
      </c>
      <c r="H185" s="11" t="str">
        <f ca="1">IF('IWP03'!ContractNumber = "", "", IF('IWP03'!Std4dot3 = "", "E", 'IWP03'!Std4dot3))</f>
        <v/>
      </c>
      <c r="I185" s="11" t="str">
        <f ca="1">IF('IWP04'!ContractNumber = "", "", IF('IWP04'!Std4dot3 = "", "E", 'IWP04'!Std4dot3))</f>
        <v/>
      </c>
      <c r="J185" s="11" t="str">
        <f ca="1">IF('IWP05'!ContractNumber = "", "", IF('IWP05'!Std4dot3 = "", "E", 'IWP05'!Std4dot3))</f>
        <v/>
      </c>
    </row>
    <row r="186" spans="1:10" ht="16.5" thickTop="1" thickBot="1">
      <c r="A186" s="256"/>
      <c r="B186" s="257"/>
      <c r="C186" s="257"/>
      <c r="D186" s="257"/>
      <c r="E186" s="258"/>
      <c r="F186" s="42">
        <v>6</v>
      </c>
      <c r="G186" s="42">
        <v>7</v>
      </c>
      <c r="H186" s="42">
        <v>8</v>
      </c>
      <c r="I186" s="42">
        <v>9</v>
      </c>
      <c r="J186" s="42">
        <v>10</v>
      </c>
    </row>
    <row r="187" spans="1:10" ht="16.5" customHeight="1" thickTop="1" thickBot="1">
      <c r="A187" s="256"/>
      <c r="B187" s="257"/>
      <c r="C187" s="257"/>
      <c r="D187" s="257"/>
      <c r="E187" s="258"/>
      <c r="F187" s="11" t="str">
        <f ca="1">IF('IWP06'!ContractNumber = "", "", IF('IWP06'!Std4dot3 = "", "E", 'IWP06'!Std4dot3))</f>
        <v/>
      </c>
      <c r="G187" s="11" t="str">
        <f ca="1">IF('IWP07'!ContractNumber = "", "", IF('IWP07'!Std4dot3 = "", "E", 'IWP07'!Std4dot3))</f>
        <v/>
      </c>
      <c r="H187" s="11" t="str">
        <f ca="1">IF('IWP08'!ContractNumber = "", "", IF('IWP08'!Std4dot3 = "", "E", 'IWP08'!Std4dot3))</f>
        <v/>
      </c>
      <c r="I187" s="11" t="str">
        <f ca="1">IF('IWP09'!ContractNumber = "", "", IF('IWP09'!Std4dot3 = "", "E", 'IWP09'!Std4dot3))</f>
        <v/>
      </c>
      <c r="J187" s="11" t="str">
        <f ca="1">IF('IWP10'!ContractNumber = "", "", IF('IWP10'!Std4dot3 = "", "E", 'IWP10'!Std4dot3))</f>
        <v/>
      </c>
    </row>
    <row r="188" spans="1:10" ht="16.5" customHeight="1" thickTop="1" thickBot="1">
      <c r="A188" s="256"/>
      <c r="B188" s="257"/>
      <c r="C188" s="257"/>
      <c r="D188" s="257"/>
      <c r="E188" s="258"/>
      <c r="F188" s="42">
        <v>11</v>
      </c>
      <c r="G188" s="42">
        <v>12</v>
      </c>
      <c r="H188" s="42">
        <v>13</v>
      </c>
      <c r="I188" s="42">
        <v>14</v>
      </c>
      <c r="J188" s="42">
        <v>15</v>
      </c>
    </row>
    <row r="189" spans="1:10" ht="17.25" customHeight="1" thickTop="1" thickBot="1">
      <c r="A189" s="239" t="s">
        <v>132</v>
      </c>
      <c r="B189" s="237"/>
      <c r="C189" s="237"/>
      <c r="D189" s="237"/>
      <c r="E189" s="238"/>
      <c r="F189" s="11" t="str">
        <f ca="1">IF('IWP11'!ContractNumber = "", "", IF('IWP11'!Std4dot3 = "", "E", 'IWP11'!Std4dot3))</f>
        <v/>
      </c>
      <c r="G189" s="11" t="str">
        <f ca="1">IF('IWP12'!ContractNumber = "", "", IF('IWP12'!Std4dot3 = "", "E", 'IWP12'!Std4dot3))</f>
        <v/>
      </c>
      <c r="H189" s="11" t="str">
        <f ca="1">IF('IWP13'!ContractNumber = "", "", IF('IWP13'!Std4dot3 = "", "E", 'IWP13'!Std4dot3))</f>
        <v/>
      </c>
      <c r="I189" s="11" t="str">
        <f ca="1">IF('IWP14'!ContractNumber = "", "", IF('IWP14'!Std4dot3 = "", "E", 'IWP14'!Std4dot3))</f>
        <v/>
      </c>
      <c r="J189" s="11" t="str">
        <f ca="1">IF('IWP15'!ContractNumber = "", "", IF('IWP15'!Std4dot3 = "", "E", 'IWP15'!Std4dot3))</f>
        <v/>
      </c>
    </row>
    <row r="190" spans="1:10" ht="17.25" customHeight="1" thickTop="1" thickBot="1">
      <c r="A190" s="239"/>
      <c r="B190" s="237"/>
      <c r="C190" s="237"/>
      <c r="D190" s="237"/>
      <c r="E190" s="238"/>
      <c r="F190" s="42">
        <v>16</v>
      </c>
      <c r="G190" s="42">
        <v>17</v>
      </c>
      <c r="H190" s="42">
        <v>18</v>
      </c>
      <c r="I190" s="42">
        <v>19</v>
      </c>
      <c r="J190" s="42">
        <v>20</v>
      </c>
    </row>
    <row r="191" spans="1:10" ht="17.25" customHeight="1" thickTop="1" thickBot="1">
      <c r="A191" s="239"/>
      <c r="B191" s="237"/>
      <c r="C191" s="237"/>
      <c r="D191" s="237"/>
      <c r="E191" s="238"/>
      <c r="F191" s="11" t="str">
        <f ca="1">IF('IWP16'!ContractNumber = "", "", IF('IWP16'!Std4dot3 = "", "E", 'IWP16'!Std4dot3))</f>
        <v/>
      </c>
      <c r="G191" s="11" t="str">
        <f ca="1">IF('IWP17'!ContractNumber = "", "", IF('IWP17'!Std4dot3 = "", "E", 'IWP17'!Std4dot3))</f>
        <v/>
      </c>
      <c r="H191" s="11" t="str">
        <f ca="1">IF('IWP18'!ContractNumber = "", "", IF('IWP18'!Std4dot3 = "", "E", 'IWP18'!Std4dot3))</f>
        <v/>
      </c>
      <c r="I191" s="11" t="str">
        <f ca="1">IF('IWP19'!ContractNumber = "", "", IF('IWP19'!Std4dot3 = "", "E", 'IWP19'!Std4dot3))</f>
        <v/>
      </c>
      <c r="J191" s="11" t="str">
        <f ca="1">IF('IWP20'!ContractNumber = "", "", IF('IWP20'!Std4dot3 = "", "E", 'IWP20'!Std4dot3))</f>
        <v/>
      </c>
    </row>
    <row r="192" spans="1:10" ht="17.25" customHeight="1" thickTop="1" thickBot="1">
      <c r="A192" s="239"/>
      <c r="B192" s="237"/>
      <c r="C192" s="237"/>
      <c r="D192" s="237"/>
      <c r="E192" s="238"/>
      <c r="F192" s="42">
        <v>21</v>
      </c>
      <c r="G192" s="42">
        <v>22</v>
      </c>
      <c r="H192" s="42">
        <v>23</v>
      </c>
      <c r="I192" s="42">
        <v>24</v>
      </c>
      <c r="J192" s="42">
        <v>25</v>
      </c>
    </row>
    <row r="193" spans="1:10" ht="17.25" customHeight="1" thickTop="1" thickBot="1">
      <c r="A193" s="239"/>
      <c r="B193" s="237"/>
      <c r="C193" s="237"/>
      <c r="D193" s="237"/>
      <c r="E193" s="238"/>
      <c r="F193" s="11" t="str">
        <f ca="1">IF('IWP21'!ContractNumber = "", "", IF('IWP21'!Std4dot3 = "", "E", 'IWP21'!Std4dot3))</f>
        <v/>
      </c>
      <c r="G193" s="11" t="str">
        <f ca="1">IF('IWP22'!ContractNumber = "", "", IF('IWP22'!Std4dot3 = "", "E", 'IWP22'!Std4dot3))</f>
        <v/>
      </c>
      <c r="H193" s="11" t="str">
        <f ca="1">IF('IWP23'!ContractNumber = "", "", IF('IWP23'!Std4dot3 = "", "E", 'IWP23'!Std4dot3))</f>
        <v/>
      </c>
      <c r="I193" s="11" t="str">
        <f ca="1">IF('IWP24'!ContractNumber = "", "", IF('IWP24'!Std4dot3 = "", "E", 'IWP24'!Std4dot3))</f>
        <v/>
      </c>
      <c r="J193" s="11" t="str">
        <f ca="1">IF('IWP25'!ContractNumber = "", "", IF('IWP25'!Std4dot3 = "", "E", 'IWP25'!Std4dot3))</f>
        <v/>
      </c>
    </row>
    <row r="194" spans="1:10" ht="17.25" customHeight="1" thickTop="1" thickBot="1">
      <c r="A194" s="239"/>
      <c r="B194" s="237"/>
      <c r="C194" s="237"/>
      <c r="D194" s="237"/>
      <c r="E194" s="238"/>
      <c r="F194" s="42">
        <v>26</v>
      </c>
      <c r="G194" s="42">
        <v>27</v>
      </c>
      <c r="H194" s="42">
        <v>28</v>
      </c>
      <c r="I194" s="42">
        <v>29</v>
      </c>
      <c r="J194" s="42">
        <v>30</v>
      </c>
    </row>
    <row r="195" spans="1:10" ht="17.25" customHeight="1" thickTop="1" thickBot="1">
      <c r="A195" s="240"/>
      <c r="B195" s="241"/>
      <c r="C195" s="241"/>
      <c r="D195" s="241"/>
      <c r="E195" s="242"/>
      <c r="F195" s="11" t="str">
        <f ca="1">IF('IWP26'!ContractNumber = "", "", IF('IWP26'!Std4dot3 = "", "E", 'IWP26'!Std4dot3))</f>
        <v/>
      </c>
      <c r="G195" s="11" t="str">
        <f ca="1">IF('IWP27'!ContractNumber = "", "", IF('IWP27'!Std4dot3 = "", "E", 'IWP27'!Std4dot3))</f>
        <v/>
      </c>
      <c r="H195" s="11" t="str">
        <f ca="1">IF('IWP28'!ContractNumber = "", "", IF('IWP28'!Std4dot3 = "", "E", 'IWP28'!Std4dot3))</f>
        <v/>
      </c>
      <c r="I195" s="11" t="str">
        <f ca="1">IF('IWP29'!ContractNumber = "", "", IF('IWP29'!Std4dot3 = "", "E", 'IWP29'!Std4dot3))</f>
        <v/>
      </c>
      <c r="J195" s="11" t="str">
        <f ca="1">IF('IWP30'!ContractNumber = "", "", IF('IWP30'!Std4dot3 = "", "E", 'IWP30'!Std4dot3))</f>
        <v/>
      </c>
    </row>
    <row r="196" spans="1:10" ht="17.25" customHeight="1" thickTop="1" thickBot="1">
      <c r="A196" s="247" t="s">
        <v>12</v>
      </c>
      <c r="B196" s="249"/>
      <c r="C196" s="249"/>
      <c r="D196" s="249"/>
      <c r="E196" s="249"/>
      <c r="F196" s="250"/>
      <c r="G196" s="243" t="s">
        <v>15</v>
      </c>
      <c r="H196" s="244"/>
      <c r="I196" s="243" t="s">
        <v>16</v>
      </c>
      <c r="J196" s="244"/>
    </row>
    <row r="197" spans="1:10" ht="17.25" customHeight="1" thickTop="1" thickBot="1">
      <c r="A197" s="248"/>
      <c r="B197" s="251"/>
      <c r="C197" s="251"/>
      <c r="D197" s="251"/>
      <c r="E197" s="251"/>
      <c r="F197" s="252"/>
      <c r="G197" s="245">
        <f ca="1">COUNTIF(F185:J195, "Y")</f>
        <v>0</v>
      </c>
      <c r="H197" s="246"/>
      <c r="I197" s="245">
        <f ca="1">COUNTIF(F185:J195, "N")</f>
        <v>0</v>
      </c>
      <c r="J197" s="246"/>
    </row>
    <row r="198" spans="1:10" ht="16.5" customHeight="1" thickTop="1" thickBot="1">
      <c r="A198" s="253" t="s">
        <v>133</v>
      </c>
      <c r="B198" s="254"/>
      <c r="C198" s="254"/>
      <c r="D198" s="254"/>
      <c r="E198" s="255"/>
      <c r="F198" s="42">
        <v>1</v>
      </c>
      <c r="G198" s="42">
        <v>2</v>
      </c>
      <c r="H198" s="42">
        <v>3</v>
      </c>
      <c r="I198" s="42">
        <v>4</v>
      </c>
      <c r="J198" s="42">
        <v>5</v>
      </c>
    </row>
    <row r="199" spans="1:10" ht="16.5" customHeight="1" thickTop="1" thickBot="1">
      <c r="A199" s="256"/>
      <c r="B199" s="257"/>
      <c r="C199" s="257"/>
      <c r="D199" s="257"/>
      <c r="E199" s="258"/>
      <c r="F199" s="11" t="str">
        <f ca="1">IF('IWP01'!ContractNumber = "", "", IF('IWP01'!Std4dot4 = "", "E", 'IWP01'!Std4dot4))</f>
        <v/>
      </c>
      <c r="G199" s="11" t="str">
        <f ca="1">IF('IWP02'!ContractNumber = "", "", IF('IWP02'!Std4dot4 = "", "E", 'IWP02'!Std4dot4))</f>
        <v/>
      </c>
      <c r="H199" s="11" t="str">
        <f ca="1">IF('IWP03'!ContractNumber = "", "", IF('IWP03'!Std4dot4 = "", "E", 'IWP03'!Std4dot4))</f>
        <v/>
      </c>
      <c r="I199" s="11" t="str">
        <f ca="1">IF('IWP04'!ContractNumber = "", "", IF('IWP04'!Std4dot4 = "", "E", 'IWP04'!Std4dot4))</f>
        <v/>
      </c>
      <c r="J199" s="11" t="str">
        <f ca="1">IF('IWP05'!ContractNumber = "", "", IF('IWP05'!Std4dot4 = "", "E", 'IWP05'!Std4dot4))</f>
        <v/>
      </c>
    </row>
    <row r="200" spans="1:10" ht="16.5" thickTop="1" thickBot="1">
      <c r="A200" s="256"/>
      <c r="B200" s="257"/>
      <c r="C200" s="257"/>
      <c r="D200" s="257"/>
      <c r="E200" s="258"/>
      <c r="F200" s="42">
        <v>6</v>
      </c>
      <c r="G200" s="42">
        <v>7</v>
      </c>
      <c r="H200" s="42">
        <v>8</v>
      </c>
      <c r="I200" s="42">
        <v>9</v>
      </c>
      <c r="J200" s="42">
        <v>10</v>
      </c>
    </row>
    <row r="201" spans="1:10" ht="16.5" customHeight="1" thickTop="1" thickBot="1">
      <c r="A201" s="256"/>
      <c r="B201" s="257"/>
      <c r="C201" s="257"/>
      <c r="D201" s="257"/>
      <c r="E201" s="258"/>
      <c r="F201" s="11" t="str">
        <f ca="1">IF('IWP06'!ContractNumber = "", "", IF('IWP06'!Std4dot4 = "", "E", 'IWP06'!Std4dot4))</f>
        <v/>
      </c>
      <c r="G201" s="11" t="str">
        <f ca="1">IF('IWP07'!ContractNumber = "", "", IF('IWP07'!Std4dot4 = "", "E", 'IWP07'!Std4dot4))</f>
        <v/>
      </c>
      <c r="H201" s="11" t="str">
        <f ca="1">IF('IWP08'!ContractNumber = "", "", IF('IWP08'!Std4dot4 = "", "E", 'IWP08'!Std4dot4))</f>
        <v/>
      </c>
      <c r="I201" s="11" t="str">
        <f ca="1">IF('IWP09'!ContractNumber = "", "", IF('IWP09'!Std4dot4 = "", "E", 'IWP09'!Std4dot4))</f>
        <v/>
      </c>
      <c r="J201" s="11" t="str">
        <f ca="1">IF('IWP10'!ContractNumber = "", "", IF('IWP10'!Std4dot4 = "", "E", 'IWP10'!Std4dot4))</f>
        <v/>
      </c>
    </row>
    <row r="202" spans="1:10" ht="16.5" customHeight="1" thickTop="1" thickBot="1">
      <c r="A202" s="256"/>
      <c r="B202" s="257"/>
      <c r="C202" s="257"/>
      <c r="D202" s="257"/>
      <c r="E202" s="258"/>
      <c r="F202" s="42">
        <v>11</v>
      </c>
      <c r="G202" s="42">
        <v>12</v>
      </c>
      <c r="H202" s="42">
        <v>13</v>
      </c>
      <c r="I202" s="42">
        <v>14</v>
      </c>
      <c r="J202" s="42">
        <v>15</v>
      </c>
    </row>
    <row r="203" spans="1:10" ht="17.25" customHeight="1" thickTop="1" thickBot="1">
      <c r="A203" s="239" t="s">
        <v>134</v>
      </c>
      <c r="B203" s="237"/>
      <c r="C203" s="237"/>
      <c r="D203" s="237"/>
      <c r="E203" s="238"/>
      <c r="F203" s="11" t="str">
        <f ca="1">IF('IWP11'!ContractNumber = "", "", IF('IWP11'!Std4dot4 = "", "E", 'IWP11'!Std4dot4))</f>
        <v/>
      </c>
      <c r="G203" s="11" t="str">
        <f ca="1">IF('IWP12'!ContractNumber = "", "", IF('IWP12'!Std4dot4 = "", "E", 'IWP12'!Std4dot4))</f>
        <v/>
      </c>
      <c r="H203" s="11" t="str">
        <f ca="1">IF('IWP13'!ContractNumber = "", "", IF('IWP13'!Std4dot4 = "", "E", 'IWP13'!Std4dot4))</f>
        <v/>
      </c>
      <c r="I203" s="11" t="str">
        <f ca="1">IF('IWP14'!ContractNumber = "", "", IF('IWP14'!Std4dot4 = "", "E", 'IWP14'!Std4dot4))</f>
        <v/>
      </c>
      <c r="J203" s="11" t="str">
        <f ca="1">IF('IWP15'!ContractNumber = "", "", IF('IWP15'!Std4dot4 = "", "E", 'IWP15'!Std4dot4))</f>
        <v/>
      </c>
    </row>
    <row r="204" spans="1:10" ht="17.25" customHeight="1" thickTop="1" thickBot="1">
      <c r="A204" s="239"/>
      <c r="B204" s="237"/>
      <c r="C204" s="237"/>
      <c r="D204" s="237"/>
      <c r="E204" s="238"/>
      <c r="F204" s="42">
        <v>16</v>
      </c>
      <c r="G204" s="42">
        <v>17</v>
      </c>
      <c r="H204" s="42">
        <v>18</v>
      </c>
      <c r="I204" s="42">
        <v>19</v>
      </c>
      <c r="J204" s="42">
        <v>20</v>
      </c>
    </row>
    <row r="205" spans="1:10" ht="17.25" customHeight="1" thickTop="1" thickBot="1">
      <c r="A205" s="239"/>
      <c r="B205" s="237"/>
      <c r="C205" s="237"/>
      <c r="D205" s="237"/>
      <c r="E205" s="238"/>
      <c r="F205" s="11" t="str">
        <f ca="1">IF('IWP16'!ContractNumber = "", "", IF('IWP16'!Std4dot4 = "", "E", 'IWP16'!Std4dot4))</f>
        <v/>
      </c>
      <c r="G205" s="11" t="str">
        <f ca="1">IF('IWP17'!ContractNumber = "", "", IF('IWP17'!Std4dot4 = "", "E", 'IWP17'!Std4dot4))</f>
        <v/>
      </c>
      <c r="H205" s="11" t="str">
        <f ca="1">IF('IWP18'!ContractNumber = "", "", IF('IWP18'!Std4dot4 = "", "E", 'IWP18'!Std4dot4))</f>
        <v/>
      </c>
      <c r="I205" s="11" t="str">
        <f ca="1">IF('IWP19'!ContractNumber = "", "", IF('IWP19'!Std4dot4 = "", "E", 'IWP19'!Std4dot4))</f>
        <v/>
      </c>
      <c r="J205" s="11" t="str">
        <f ca="1">IF('IWP20'!ContractNumber = "", "", IF('IWP20'!Std4dot4 = "", "E", 'IWP20'!Std4dot4))</f>
        <v/>
      </c>
    </row>
    <row r="206" spans="1:10" ht="17.25" customHeight="1" thickTop="1" thickBot="1">
      <c r="A206" s="239"/>
      <c r="B206" s="237"/>
      <c r="C206" s="237"/>
      <c r="D206" s="237"/>
      <c r="E206" s="238"/>
      <c r="F206" s="42">
        <v>21</v>
      </c>
      <c r="G206" s="42">
        <v>22</v>
      </c>
      <c r="H206" s="42">
        <v>23</v>
      </c>
      <c r="I206" s="42">
        <v>24</v>
      </c>
      <c r="J206" s="42">
        <v>25</v>
      </c>
    </row>
    <row r="207" spans="1:10" ht="17.25" customHeight="1" thickTop="1" thickBot="1">
      <c r="A207" s="239"/>
      <c r="B207" s="237"/>
      <c r="C207" s="237"/>
      <c r="D207" s="237"/>
      <c r="E207" s="238"/>
      <c r="F207" s="11" t="str">
        <f ca="1">IF('IWP21'!ContractNumber = "", "", IF('IWP21'!Std4dot4 = "", "E", 'IWP21'!Std4dot4))</f>
        <v/>
      </c>
      <c r="G207" s="11" t="str">
        <f ca="1">IF('IWP22'!ContractNumber = "", "", IF('IWP22'!Std4dot4 = "", "E", 'IWP22'!Std4dot4))</f>
        <v/>
      </c>
      <c r="H207" s="11" t="str">
        <f ca="1">IF('IWP23'!ContractNumber = "", "", IF('IWP23'!Std4dot4 = "", "E", 'IWP23'!Std4dot4))</f>
        <v/>
      </c>
      <c r="I207" s="11" t="str">
        <f ca="1">IF('IWP24'!ContractNumber = "", "", IF('IWP24'!Std4dot4 = "", "E", 'IWP24'!Std4dot4))</f>
        <v/>
      </c>
      <c r="J207" s="11" t="str">
        <f ca="1">IF('IWP25'!ContractNumber = "", "", IF('IWP25'!Std4dot4 = "", "E", 'IWP25'!Std4dot4))</f>
        <v/>
      </c>
    </row>
    <row r="208" spans="1:10" ht="17.25" customHeight="1" thickTop="1" thickBot="1">
      <c r="A208" s="239"/>
      <c r="B208" s="237"/>
      <c r="C208" s="237"/>
      <c r="D208" s="237"/>
      <c r="E208" s="238"/>
      <c r="F208" s="42">
        <v>26</v>
      </c>
      <c r="G208" s="42">
        <v>27</v>
      </c>
      <c r="H208" s="42">
        <v>28</v>
      </c>
      <c r="I208" s="42">
        <v>29</v>
      </c>
      <c r="J208" s="42">
        <v>30</v>
      </c>
    </row>
    <row r="209" spans="1:10" ht="17.25" customHeight="1" thickTop="1" thickBot="1">
      <c r="A209" s="240"/>
      <c r="B209" s="241"/>
      <c r="C209" s="241"/>
      <c r="D209" s="241"/>
      <c r="E209" s="242"/>
      <c r="F209" s="11" t="str">
        <f ca="1">IF('IWP26'!ContractNumber = "", "", IF('IWP26'!Std4dot4 = "", "E", 'IWP26'!Std4dot4))</f>
        <v/>
      </c>
      <c r="G209" s="11" t="str">
        <f ca="1">IF('IWP27'!ContractNumber = "", "", IF('IWP27'!Std4dot4 = "", "E", 'IWP27'!Std4dot4))</f>
        <v/>
      </c>
      <c r="H209" s="11" t="str">
        <f ca="1">IF('IWP28'!ContractNumber = "", "", IF('IWP28'!Std4dot4 = "", "E", 'IWP28'!Std4dot4))</f>
        <v/>
      </c>
      <c r="I209" s="11" t="str">
        <f ca="1">IF('IWP29'!ContractNumber = "", "", IF('IWP29'!Std4dot4 = "", "E", 'IWP29'!Std4dot4))</f>
        <v/>
      </c>
      <c r="J209" s="11" t="str">
        <f ca="1">IF('IWP30'!ContractNumber = "", "", IF('IWP30'!Std4dot4 = "", "E", 'IWP30'!Std4dot4))</f>
        <v/>
      </c>
    </row>
    <row r="210" spans="1:10" ht="17.25" customHeight="1" thickTop="1" thickBot="1">
      <c r="A210" s="247" t="s">
        <v>12</v>
      </c>
      <c r="B210" s="249"/>
      <c r="C210" s="249"/>
      <c r="D210" s="249"/>
      <c r="E210" s="249"/>
      <c r="F210" s="250"/>
      <c r="G210" s="243" t="s">
        <v>15</v>
      </c>
      <c r="H210" s="244"/>
      <c r="I210" s="243" t="s">
        <v>16</v>
      </c>
      <c r="J210" s="244"/>
    </row>
    <row r="211" spans="1:10" ht="17.25" customHeight="1" thickTop="1" thickBot="1">
      <c r="A211" s="248"/>
      <c r="B211" s="251"/>
      <c r="C211" s="251"/>
      <c r="D211" s="251"/>
      <c r="E211" s="251"/>
      <c r="F211" s="252"/>
      <c r="G211" s="245">
        <f ca="1">COUNTIF(F199:J209, "Y")</f>
        <v>0</v>
      </c>
      <c r="H211" s="246"/>
      <c r="I211" s="245">
        <f ca="1">COUNTIF(F199:J209, "N")</f>
        <v>0</v>
      </c>
      <c r="J211" s="246"/>
    </row>
    <row r="212" spans="1:10" ht="17.25" customHeight="1" thickTop="1" thickBot="1">
      <c r="A212" s="269" t="s">
        <v>129</v>
      </c>
      <c r="B212" s="270"/>
      <c r="C212" s="270"/>
      <c r="D212" s="270"/>
      <c r="E212" s="270"/>
      <c r="F212" s="271"/>
      <c r="G212" s="243" t="s">
        <v>13</v>
      </c>
      <c r="H212" s="244"/>
      <c r="I212" s="243" t="s">
        <v>14</v>
      </c>
      <c r="J212" s="244"/>
    </row>
    <row r="213" spans="1:10" ht="17.25" customHeight="1" thickTop="1" thickBot="1">
      <c r="A213" s="272"/>
      <c r="B213" s="273"/>
      <c r="C213" s="273"/>
      <c r="D213" s="273"/>
      <c r="E213" s="273"/>
      <c r="F213" s="274"/>
      <c r="G213" s="245">
        <f ca="1">SUM(G211,G197,G183,G169)</f>
        <v>0</v>
      </c>
      <c r="H213" s="246"/>
      <c r="I213" s="245">
        <f ca="1">SUM(I211,I197,I183,I169)</f>
        <v>0</v>
      </c>
      <c r="J213" s="246"/>
    </row>
    <row r="214" spans="1:10" ht="16.5" customHeight="1" thickTop="1">
      <c r="A214" s="259" t="s">
        <v>135</v>
      </c>
      <c r="B214" s="260"/>
      <c r="C214" s="260"/>
      <c r="D214" s="260"/>
      <c r="E214" s="260"/>
      <c r="F214" s="260"/>
      <c r="G214" s="260"/>
      <c r="H214" s="260"/>
      <c r="I214" s="260"/>
      <c r="J214" s="261"/>
    </row>
    <row r="215" spans="1:10" ht="16" thickBot="1">
      <c r="A215" s="262" t="s">
        <v>671</v>
      </c>
      <c r="B215" s="263"/>
      <c r="C215" s="263"/>
      <c r="D215" s="263"/>
      <c r="E215" s="263"/>
      <c r="F215" s="263"/>
      <c r="G215" s="263"/>
      <c r="H215" s="263"/>
      <c r="I215" s="263"/>
      <c r="J215" s="264"/>
    </row>
    <row r="216" spans="1:10" ht="16.5" customHeight="1" thickTop="1" thickBot="1">
      <c r="A216" s="253" t="s">
        <v>627</v>
      </c>
      <c r="B216" s="254"/>
      <c r="C216" s="254"/>
      <c r="D216" s="254"/>
      <c r="E216" s="255"/>
      <c r="F216" s="42">
        <v>1</v>
      </c>
      <c r="G216" s="42">
        <v>2</v>
      </c>
      <c r="H216" s="42">
        <v>3</v>
      </c>
      <c r="I216" s="42">
        <v>4</v>
      </c>
      <c r="J216" s="42">
        <v>5</v>
      </c>
    </row>
    <row r="217" spans="1:10" ht="16.5" customHeight="1" thickTop="1" thickBot="1">
      <c r="A217" s="256"/>
      <c r="B217" s="257"/>
      <c r="C217" s="257"/>
      <c r="D217" s="257"/>
      <c r="E217" s="258"/>
      <c r="F217" s="11" t="str">
        <f ca="1">IF('IWP01'!ContractNumber = "", "", IF('IWP01'!Std5dot1 = "", "E", 'IWP01'!Std5dot1))</f>
        <v/>
      </c>
      <c r="G217" s="11" t="str">
        <f ca="1">IF('IWP02'!ContractNumber = "", "", IF('IWP02'!Std5dot1 = "", "E", 'IWP02'!Std5dot1))</f>
        <v/>
      </c>
      <c r="H217" s="11" t="str">
        <f ca="1">IF('IWP03'!ContractNumber = "", "", IF('IWP03'!Std5dot1 = "", "E", 'IWP03'!Std5dot1))</f>
        <v/>
      </c>
      <c r="I217" s="11" t="str">
        <f ca="1">IF('IWP04'!ContractNumber = "", "", IF('IWP04'!Std5dot1 = "", "E", 'IWP04'!Std5dot1))</f>
        <v/>
      </c>
      <c r="J217" s="11" t="str">
        <f ca="1">IF('IWP05'!ContractNumber = "", "", IF('IWP05'!Std5dot1 = "", "E", 'IWP05'!Std5dot1))</f>
        <v/>
      </c>
    </row>
    <row r="218" spans="1:10" ht="16.5" thickTop="1" thickBot="1">
      <c r="A218" s="256"/>
      <c r="B218" s="257"/>
      <c r="C218" s="257"/>
      <c r="D218" s="257"/>
      <c r="E218" s="258"/>
      <c r="F218" s="42">
        <v>6</v>
      </c>
      <c r="G218" s="42">
        <v>7</v>
      </c>
      <c r="H218" s="42">
        <v>8</v>
      </c>
      <c r="I218" s="42">
        <v>9</v>
      </c>
      <c r="J218" s="42">
        <v>10</v>
      </c>
    </row>
    <row r="219" spans="1:10" ht="16.5" customHeight="1" thickTop="1" thickBot="1">
      <c r="A219" s="256"/>
      <c r="B219" s="257"/>
      <c r="C219" s="257"/>
      <c r="D219" s="257"/>
      <c r="E219" s="258"/>
      <c r="F219" s="11" t="str">
        <f ca="1">IF('IWP06'!ContractNumber = "", "", IF('IWP06'!Std5dot1 = "", "E", 'IWP06'!Std5dot1))</f>
        <v/>
      </c>
      <c r="G219" s="11" t="str">
        <f ca="1">IF('IWP07'!ContractNumber = "", "", IF('IWP07'!Std5dot1 = "", "E", 'IWP07'!Std5dot1))</f>
        <v/>
      </c>
      <c r="H219" s="11" t="str">
        <f ca="1">IF('IWP08'!ContractNumber = "", "", IF('IWP08'!Std5dot1 = "", "E", 'IWP08'!Std5dot1))</f>
        <v/>
      </c>
      <c r="I219" s="11" t="str">
        <f ca="1">IF('IWP09'!ContractNumber = "", "", IF('IWP09'!Std5dot1 = "", "E", 'IWP09'!Std5dot1))</f>
        <v/>
      </c>
      <c r="J219" s="11" t="str">
        <f ca="1">IF('IWP10'!ContractNumber = "", "", IF('IWP10'!Std5dot1 = "", "E", 'IWP10'!Std5dot1))</f>
        <v/>
      </c>
    </row>
    <row r="220" spans="1:10" ht="16.5" customHeight="1" thickTop="1" thickBot="1">
      <c r="A220" s="256"/>
      <c r="B220" s="257"/>
      <c r="C220" s="257"/>
      <c r="D220" s="257"/>
      <c r="E220" s="258"/>
      <c r="F220" s="42">
        <v>11</v>
      </c>
      <c r="G220" s="42">
        <v>12</v>
      </c>
      <c r="H220" s="42">
        <v>13</v>
      </c>
      <c r="I220" s="42">
        <v>14</v>
      </c>
      <c r="J220" s="42">
        <v>15</v>
      </c>
    </row>
    <row r="221" spans="1:10" ht="17.25" customHeight="1" thickTop="1" thickBot="1">
      <c r="A221" s="239" t="s">
        <v>714</v>
      </c>
      <c r="B221" s="237"/>
      <c r="C221" s="237"/>
      <c r="D221" s="237"/>
      <c r="E221" s="238"/>
      <c r="F221" s="11" t="str">
        <f ca="1">IF('IWP11'!ContractNumber = "", "", IF('IWP11'!Std5dot1 = "", "E", 'IWP11'!Std5dot1))</f>
        <v/>
      </c>
      <c r="G221" s="11" t="str">
        <f ca="1">IF('IWP12'!ContractNumber = "", "", IF('IWP12'!Std5dot1 = "", "E", 'IWP12'!Std5dot1))</f>
        <v/>
      </c>
      <c r="H221" s="11" t="str">
        <f ca="1">IF('IWP13'!ContractNumber = "", "", IF('IWP13'!Std5dot1 = "", "E", 'IWP13'!Std5dot1))</f>
        <v/>
      </c>
      <c r="I221" s="11" t="str">
        <f ca="1">IF('IWP14'!ContractNumber = "", "", IF('IWP14'!Std5dot1 = "", "E", 'IWP14'!Std5dot1))</f>
        <v/>
      </c>
      <c r="J221" s="11" t="str">
        <f ca="1">IF('IWP15'!ContractNumber = "", "", IF('IWP15'!Std5dot1 = "", "E", 'IWP15'!Std5dot1))</f>
        <v/>
      </c>
    </row>
    <row r="222" spans="1:10" ht="17.25" customHeight="1" thickTop="1" thickBot="1">
      <c r="A222" s="239"/>
      <c r="B222" s="237"/>
      <c r="C222" s="237"/>
      <c r="D222" s="237"/>
      <c r="E222" s="238"/>
      <c r="F222" s="42">
        <v>16</v>
      </c>
      <c r="G222" s="42">
        <v>17</v>
      </c>
      <c r="H222" s="42">
        <v>18</v>
      </c>
      <c r="I222" s="42">
        <v>19</v>
      </c>
      <c r="J222" s="42">
        <v>20</v>
      </c>
    </row>
    <row r="223" spans="1:10" ht="17.25" customHeight="1" thickTop="1" thickBot="1">
      <c r="A223" s="239"/>
      <c r="B223" s="237"/>
      <c r="C223" s="237"/>
      <c r="D223" s="237"/>
      <c r="E223" s="238"/>
      <c r="F223" s="11" t="str">
        <f ca="1">IF('IWP16'!ContractNumber = "", "", IF('IWP16'!Std5dot1 = "", "E", 'IWP16'!Std5dot1))</f>
        <v/>
      </c>
      <c r="G223" s="11" t="str">
        <f ca="1">IF('IWP17'!ContractNumber = "", "", IF('IWP17'!Std5dot1 = "", "E", 'IWP17'!Std5dot1))</f>
        <v/>
      </c>
      <c r="H223" s="11" t="str">
        <f ca="1">IF('IWP18'!ContractNumber = "", "", IF('IWP18'!Std5dot1 = "", "E", 'IWP18'!Std5dot1))</f>
        <v/>
      </c>
      <c r="I223" s="11" t="str">
        <f ca="1">IF('IWP19'!ContractNumber = "", "", IF('IWP19'!Std5dot1 = "", "E", 'IWP19'!Std5dot1))</f>
        <v/>
      </c>
      <c r="J223" s="11" t="str">
        <f ca="1">IF('IWP20'!ContractNumber = "", "", IF('IWP20'!Std5dot1 = "", "E", 'IWP20'!Std5dot1))</f>
        <v/>
      </c>
    </row>
    <row r="224" spans="1:10" ht="17.25" customHeight="1" thickTop="1" thickBot="1">
      <c r="A224" s="239"/>
      <c r="B224" s="237"/>
      <c r="C224" s="237"/>
      <c r="D224" s="237"/>
      <c r="E224" s="238"/>
      <c r="F224" s="42">
        <v>21</v>
      </c>
      <c r="G224" s="42">
        <v>22</v>
      </c>
      <c r="H224" s="42">
        <v>23</v>
      </c>
      <c r="I224" s="42">
        <v>24</v>
      </c>
      <c r="J224" s="42">
        <v>25</v>
      </c>
    </row>
    <row r="225" spans="1:10" ht="17.25" customHeight="1" thickTop="1" thickBot="1">
      <c r="A225" s="239"/>
      <c r="B225" s="237"/>
      <c r="C225" s="237"/>
      <c r="D225" s="237"/>
      <c r="E225" s="238"/>
      <c r="F225" s="11" t="str">
        <f ca="1">IF('IWP21'!ContractNumber = "", "", IF('IWP21'!Std5dot1 = "", "E", 'IWP21'!Std5dot1))</f>
        <v/>
      </c>
      <c r="G225" s="11" t="str">
        <f ca="1">IF('IWP22'!ContractNumber = "", "", IF('IWP22'!Std5dot1 = "", "E", 'IWP22'!Std5dot1))</f>
        <v/>
      </c>
      <c r="H225" s="11" t="str">
        <f ca="1">IF('IWP23'!ContractNumber = "", "", IF('IWP23'!Std5dot1 = "", "E", 'IWP23'!Std5dot1))</f>
        <v/>
      </c>
      <c r="I225" s="11" t="str">
        <f ca="1">IF('IWP24'!ContractNumber = "", "", IF('IWP24'!Std5dot1 = "", "E", 'IWP24'!Std5dot1))</f>
        <v/>
      </c>
      <c r="J225" s="11" t="str">
        <f ca="1">IF('IWP25'!ContractNumber = "", "", IF('IWP25'!Std5dot1 = "", "E", 'IWP25'!Std5dot1))</f>
        <v/>
      </c>
    </row>
    <row r="226" spans="1:10" ht="17.25" customHeight="1" thickTop="1" thickBot="1">
      <c r="A226" s="239"/>
      <c r="B226" s="237"/>
      <c r="C226" s="237"/>
      <c r="D226" s="237"/>
      <c r="E226" s="238"/>
      <c r="F226" s="42">
        <v>26</v>
      </c>
      <c r="G226" s="42">
        <v>27</v>
      </c>
      <c r="H226" s="42">
        <v>28</v>
      </c>
      <c r="I226" s="42">
        <v>29</v>
      </c>
      <c r="J226" s="42">
        <v>30</v>
      </c>
    </row>
    <row r="227" spans="1:10" ht="17.25" customHeight="1" thickTop="1" thickBot="1">
      <c r="A227" s="240"/>
      <c r="B227" s="241"/>
      <c r="C227" s="241"/>
      <c r="D227" s="241"/>
      <c r="E227" s="242"/>
      <c r="F227" s="11" t="str">
        <f ca="1">IF('IWP26'!ContractNumber = "", "", IF('IWP26'!Std5dot1 = "", "E", 'IWP26'!Std5dot1))</f>
        <v/>
      </c>
      <c r="G227" s="11" t="str">
        <f ca="1">IF('IWP27'!ContractNumber = "", "", IF('IWP27'!Std5dot1 = "", "E", 'IWP27'!Std5dot1))</f>
        <v/>
      </c>
      <c r="H227" s="11" t="str">
        <f ca="1">IF('IWP28'!ContractNumber = "", "", IF('IWP28'!Std5dot1 = "", "E", 'IWP28'!Std5dot1))</f>
        <v/>
      </c>
      <c r="I227" s="11" t="str">
        <f ca="1">IF('IWP29'!ContractNumber = "", "", IF('IWP29'!Std5dot1 = "", "E", 'IWP29'!Std5dot1))</f>
        <v/>
      </c>
      <c r="J227" s="11" t="str">
        <f ca="1">IF('IWP30'!ContractNumber = "", "", IF('IWP30'!Std5dot1 = "", "E", 'IWP30'!Std5dot1))</f>
        <v/>
      </c>
    </row>
    <row r="228" spans="1:10" ht="17.25" customHeight="1" thickTop="1" thickBot="1">
      <c r="A228" s="247" t="s">
        <v>12</v>
      </c>
      <c r="B228" s="249"/>
      <c r="C228" s="249"/>
      <c r="D228" s="249"/>
      <c r="E228" s="249"/>
      <c r="F228" s="250"/>
      <c r="G228" s="243" t="s">
        <v>15</v>
      </c>
      <c r="H228" s="244"/>
      <c r="I228" s="243" t="s">
        <v>16</v>
      </c>
      <c r="J228" s="244"/>
    </row>
    <row r="229" spans="1:10" ht="17.25" customHeight="1" thickTop="1" thickBot="1">
      <c r="A229" s="248"/>
      <c r="B229" s="251"/>
      <c r="C229" s="251"/>
      <c r="D229" s="251"/>
      <c r="E229" s="251"/>
      <c r="F229" s="252"/>
      <c r="G229" s="245">
        <f ca="1">COUNTIF(F217:J227, "Y")</f>
        <v>0</v>
      </c>
      <c r="H229" s="246"/>
      <c r="I229" s="245">
        <f ca="1">COUNTIF(F217:J227, "N")</f>
        <v>0</v>
      </c>
      <c r="J229" s="246"/>
    </row>
    <row r="230" spans="1:10" ht="16.5" customHeight="1" thickTop="1" thickBot="1">
      <c r="A230" s="253" t="s">
        <v>136</v>
      </c>
      <c r="B230" s="254"/>
      <c r="C230" s="254"/>
      <c r="D230" s="254"/>
      <c r="E230" s="255"/>
      <c r="F230" s="42">
        <v>1</v>
      </c>
      <c r="G230" s="42">
        <v>2</v>
      </c>
      <c r="H230" s="42">
        <v>3</v>
      </c>
      <c r="I230" s="42">
        <v>4</v>
      </c>
      <c r="J230" s="42">
        <v>5</v>
      </c>
    </row>
    <row r="231" spans="1:10" ht="16.5" customHeight="1" thickTop="1" thickBot="1">
      <c r="A231" s="256"/>
      <c r="B231" s="257"/>
      <c r="C231" s="257"/>
      <c r="D231" s="257"/>
      <c r="E231" s="258"/>
      <c r="F231" s="11" t="str">
        <f ca="1">IF('IWP01'!ContractNumber = "", "", IF('IWP01'!Std5dot2 = "", "E", 'IWP01'!Std5dot2))</f>
        <v/>
      </c>
      <c r="G231" s="11" t="str">
        <f ca="1">IF('IWP02'!ContractNumber = "", "", IF('IWP02'!Std5dot2 = "", "E", 'IWP02'!Std5dot2))</f>
        <v/>
      </c>
      <c r="H231" s="11" t="str">
        <f ca="1">IF('IWP03'!ContractNumber = "", "", IF('IWP03'!Std5dot2 = "", "E", 'IWP03'!Std5dot2))</f>
        <v/>
      </c>
      <c r="I231" s="11" t="str">
        <f ca="1">IF('IWP04'!ContractNumber = "", "", IF('IWP04'!Std5dot2 = "", "E", 'IWP04'!Std5dot2))</f>
        <v/>
      </c>
      <c r="J231" s="11" t="str">
        <f ca="1">IF('IWP05'!ContractNumber = "", "", IF('IWP05'!Std5dot2 = "", "E", 'IWP05'!Std5dot2))</f>
        <v/>
      </c>
    </row>
    <row r="232" spans="1:10" ht="16.5" thickTop="1" thickBot="1">
      <c r="A232" s="256"/>
      <c r="B232" s="257"/>
      <c r="C232" s="257"/>
      <c r="D232" s="257"/>
      <c r="E232" s="258"/>
      <c r="F232" s="42">
        <v>6</v>
      </c>
      <c r="G232" s="42">
        <v>7</v>
      </c>
      <c r="H232" s="42">
        <v>8</v>
      </c>
      <c r="I232" s="42">
        <v>9</v>
      </c>
      <c r="J232" s="42">
        <v>10</v>
      </c>
    </row>
    <row r="233" spans="1:10" ht="16.5" customHeight="1" thickTop="1" thickBot="1">
      <c r="A233" s="256"/>
      <c r="B233" s="257"/>
      <c r="C233" s="257"/>
      <c r="D233" s="257"/>
      <c r="E233" s="258"/>
      <c r="F233" s="11" t="str">
        <f ca="1">IF('IWP06'!ContractNumber = "", "", IF('IWP06'!Std5dot2 = "", "E", 'IWP06'!Std5dot2))</f>
        <v/>
      </c>
      <c r="G233" s="11" t="str">
        <f ca="1">IF('IWP07'!ContractNumber = "", "", IF('IWP07'!Std5dot2 = "", "E", 'IWP07'!Std5dot2))</f>
        <v/>
      </c>
      <c r="H233" s="11" t="str">
        <f ca="1">IF('IWP08'!ContractNumber = "", "", IF('IWP08'!Std5dot2 = "", "E", 'IWP08'!Std5dot2))</f>
        <v/>
      </c>
      <c r="I233" s="11" t="str">
        <f ca="1">IF('IWP09'!ContractNumber = "", "", IF('IWP09'!Std5dot2 = "", "E", 'IWP09'!Std5dot2))</f>
        <v/>
      </c>
      <c r="J233" s="11" t="str">
        <f ca="1">IF('IWP10'!ContractNumber = "", "", IF('IWP10'!Std5dot2 = "", "E", 'IWP10'!Std5dot2))</f>
        <v/>
      </c>
    </row>
    <row r="234" spans="1:10" ht="16.5" customHeight="1" thickTop="1" thickBot="1">
      <c r="A234" s="256"/>
      <c r="B234" s="257"/>
      <c r="C234" s="257"/>
      <c r="D234" s="257"/>
      <c r="E234" s="258"/>
      <c r="F234" s="42">
        <v>11</v>
      </c>
      <c r="G234" s="42">
        <v>12</v>
      </c>
      <c r="H234" s="42">
        <v>13</v>
      </c>
      <c r="I234" s="42">
        <v>14</v>
      </c>
      <c r="J234" s="42">
        <v>15</v>
      </c>
    </row>
    <row r="235" spans="1:10" ht="17.25" customHeight="1" thickTop="1" thickBot="1">
      <c r="A235" s="236" t="s">
        <v>716</v>
      </c>
      <c r="B235" s="237"/>
      <c r="C235" s="237"/>
      <c r="D235" s="237"/>
      <c r="E235" s="238"/>
      <c r="F235" s="11" t="str">
        <f ca="1">IF('IWP11'!ContractNumber = "", "", IF('IWP11'!Std5dot2 = "", "E", 'IWP11'!Std5dot2))</f>
        <v/>
      </c>
      <c r="G235" s="11" t="str">
        <f ca="1">IF('IWP12'!ContractNumber = "", "", IF('IWP12'!Std5dot2 = "", "E", 'IWP12'!Std5dot2))</f>
        <v/>
      </c>
      <c r="H235" s="11" t="str">
        <f ca="1">IF('IWP13'!ContractNumber = "", "", IF('IWP13'!Std5dot2 = "", "E", 'IWP13'!Std5dot2))</f>
        <v/>
      </c>
      <c r="I235" s="11" t="str">
        <f ca="1">IF('IWP14'!ContractNumber = "", "", IF('IWP14'!Std5dot2 = "", "E", 'IWP14'!Std5dot2))</f>
        <v/>
      </c>
      <c r="J235" s="11" t="str">
        <f ca="1">IF('IWP15'!ContractNumber = "", "", IF('IWP15'!Std5dot2 = "", "E", 'IWP15'!Std5dot2))</f>
        <v/>
      </c>
    </row>
    <row r="236" spans="1:10" ht="17.25" customHeight="1" thickTop="1" thickBot="1">
      <c r="A236" s="239"/>
      <c r="B236" s="237"/>
      <c r="C236" s="237"/>
      <c r="D236" s="237"/>
      <c r="E236" s="238"/>
      <c r="F236" s="42">
        <v>16</v>
      </c>
      <c r="G236" s="42">
        <v>17</v>
      </c>
      <c r="H236" s="42">
        <v>18</v>
      </c>
      <c r="I236" s="42">
        <v>19</v>
      </c>
      <c r="J236" s="42">
        <v>20</v>
      </c>
    </row>
    <row r="237" spans="1:10" ht="17.25" customHeight="1" thickTop="1" thickBot="1">
      <c r="A237" s="239"/>
      <c r="B237" s="237"/>
      <c r="C237" s="237"/>
      <c r="D237" s="237"/>
      <c r="E237" s="238"/>
      <c r="F237" s="11" t="str">
        <f ca="1">IF('IWP16'!ContractNumber = "", "", IF('IWP16'!Std5dot2 = "", "E", 'IWP16'!Std5dot2))</f>
        <v/>
      </c>
      <c r="G237" s="11" t="str">
        <f ca="1">IF('IWP17'!ContractNumber = "", "", IF('IWP17'!Std5dot2 = "", "E", 'IWP17'!Std5dot2))</f>
        <v/>
      </c>
      <c r="H237" s="11" t="str">
        <f ca="1">IF('IWP18'!ContractNumber = "", "", IF('IWP18'!Std5dot2 = "", "E", 'IWP18'!Std5dot2))</f>
        <v/>
      </c>
      <c r="I237" s="11" t="str">
        <f ca="1">IF('IWP19'!ContractNumber = "", "", IF('IWP19'!Std5dot2 = "", "E", 'IWP19'!Std5dot2))</f>
        <v/>
      </c>
      <c r="J237" s="11" t="str">
        <f ca="1">IF('IWP20'!ContractNumber = "", "", IF('IWP20'!Std5dot2 = "", "E", 'IWP20'!Std5dot2))</f>
        <v/>
      </c>
    </row>
    <row r="238" spans="1:10" ht="17.25" customHeight="1" thickTop="1" thickBot="1">
      <c r="A238" s="239"/>
      <c r="B238" s="237"/>
      <c r="C238" s="237"/>
      <c r="D238" s="237"/>
      <c r="E238" s="238"/>
      <c r="F238" s="42">
        <v>21</v>
      </c>
      <c r="G238" s="42">
        <v>22</v>
      </c>
      <c r="H238" s="42">
        <v>23</v>
      </c>
      <c r="I238" s="42">
        <v>24</v>
      </c>
      <c r="J238" s="42">
        <v>25</v>
      </c>
    </row>
    <row r="239" spans="1:10" ht="17.25" customHeight="1" thickTop="1" thickBot="1">
      <c r="A239" s="239"/>
      <c r="B239" s="237"/>
      <c r="C239" s="237"/>
      <c r="D239" s="237"/>
      <c r="E239" s="238"/>
      <c r="F239" s="11" t="str">
        <f ca="1">IF('IWP21'!ContractNumber = "", "", IF('IWP21'!Std5dot2 = "", "E", 'IWP21'!Std5dot2))</f>
        <v/>
      </c>
      <c r="G239" s="11" t="str">
        <f ca="1">IF('IWP22'!ContractNumber = "", "", IF('IWP22'!Std5dot2 = "", "E", 'IWP22'!Std5dot2))</f>
        <v/>
      </c>
      <c r="H239" s="11" t="str">
        <f ca="1">IF('IWP23'!ContractNumber = "", "", IF('IWP23'!Std5dot2 = "", "E", 'IWP23'!Std5dot2))</f>
        <v/>
      </c>
      <c r="I239" s="11" t="str">
        <f ca="1">IF('IWP24'!ContractNumber = "", "", IF('IWP24'!Std5dot2 = "", "E", 'IWP24'!Std5dot2))</f>
        <v/>
      </c>
      <c r="J239" s="11" t="str">
        <f ca="1">IF('IWP25'!ContractNumber = "", "", IF('IWP25'!Std5dot2 = "", "E", 'IWP25'!Std5dot2))</f>
        <v/>
      </c>
    </row>
    <row r="240" spans="1:10" ht="17.25" customHeight="1" thickTop="1" thickBot="1">
      <c r="A240" s="239"/>
      <c r="B240" s="237"/>
      <c r="C240" s="237"/>
      <c r="D240" s="237"/>
      <c r="E240" s="238"/>
      <c r="F240" s="42">
        <v>26</v>
      </c>
      <c r="G240" s="42">
        <v>27</v>
      </c>
      <c r="H240" s="42">
        <v>28</v>
      </c>
      <c r="I240" s="42">
        <v>29</v>
      </c>
      <c r="J240" s="42">
        <v>30</v>
      </c>
    </row>
    <row r="241" spans="1:10" ht="17.25" customHeight="1" thickTop="1" thickBot="1">
      <c r="A241" s="240"/>
      <c r="B241" s="241"/>
      <c r="C241" s="241"/>
      <c r="D241" s="241"/>
      <c r="E241" s="242"/>
      <c r="F241" s="11" t="str">
        <f ca="1">IF('IWP26'!ContractNumber = "", "", IF('IWP26'!Std5dot2 = "", "E", 'IWP26'!Std5dot2))</f>
        <v/>
      </c>
      <c r="G241" s="11" t="str">
        <f ca="1">IF('IWP27'!ContractNumber = "", "", IF('IWP27'!Std5dot2 = "", "E", 'IWP27'!Std5dot2))</f>
        <v/>
      </c>
      <c r="H241" s="11" t="str">
        <f ca="1">IF('IWP28'!ContractNumber = "", "", IF('IWP28'!Std5dot2 = "", "E", 'IWP28'!Std5dot2))</f>
        <v/>
      </c>
      <c r="I241" s="11" t="str">
        <f ca="1">IF('IWP29'!ContractNumber = "", "", IF('IWP29'!Std5dot2 = "", "E", 'IWP29'!Std5dot2))</f>
        <v/>
      </c>
      <c r="J241" s="11" t="str">
        <f ca="1">IF('IWP30'!ContractNumber = "", "", IF('IWP30'!Std5dot2 = "", "E", 'IWP30'!Std5dot2))</f>
        <v/>
      </c>
    </row>
    <row r="242" spans="1:10" ht="17.25" customHeight="1" thickTop="1" thickBot="1">
      <c r="A242" s="247" t="s">
        <v>12</v>
      </c>
      <c r="B242" s="249"/>
      <c r="C242" s="249"/>
      <c r="D242" s="249"/>
      <c r="E242" s="249"/>
      <c r="F242" s="250"/>
      <c r="G242" s="243" t="s">
        <v>15</v>
      </c>
      <c r="H242" s="244"/>
      <c r="I242" s="243" t="s">
        <v>16</v>
      </c>
      <c r="J242" s="244"/>
    </row>
    <row r="243" spans="1:10" ht="17.25" customHeight="1" thickTop="1" thickBot="1">
      <c r="A243" s="248"/>
      <c r="B243" s="251"/>
      <c r="C243" s="251"/>
      <c r="D243" s="251"/>
      <c r="E243" s="251"/>
      <c r="F243" s="252"/>
      <c r="G243" s="245">
        <f ca="1">COUNTIF(F231:J241, "Y")</f>
        <v>0</v>
      </c>
      <c r="H243" s="246"/>
      <c r="I243" s="245">
        <f ca="1">COUNTIF(F231:J241, "N")</f>
        <v>0</v>
      </c>
      <c r="J243" s="246"/>
    </row>
    <row r="244" spans="1:10" ht="16.5" customHeight="1" thickTop="1" thickBot="1">
      <c r="A244" s="253" t="s">
        <v>735</v>
      </c>
      <c r="B244" s="254"/>
      <c r="C244" s="254"/>
      <c r="D244" s="254"/>
      <c r="E244" s="255"/>
      <c r="F244" s="42">
        <v>1</v>
      </c>
      <c r="G244" s="42">
        <v>2</v>
      </c>
      <c r="H244" s="42">
        <v>3</v>
      </c>
      <c r="I244" s="42">
        <v>4</v>
      </c>
      <c r="J244" s="42">
        <v>5</v>
      </c>
    </row>
    <row r="245" spans="1:10" ht="16.5" customHeight="1" thickTop="1" thickBot="1">
      <c r="A245" s="256"/>
      <c r="B245" s="257"/>
      <c r="C245" s="257"/>
      <c r="D245" s="257"/>
      <c r="E245" s="258"/>
      <c r="F245" s="11" t="str">
        <f ca="1">IF('IWP01'!ContractNumber = "", "", IF('IWP01'!Std5dot3 = "", "E", 'IWP01'!Std5dot3))</f>
        <v/>
      </c>
      <c r="G245" s="11" t="str">
        <f ca="1">IF('IWP02'!ContractNumber = "", "", IF('IWP02'!Std5dot3 = "", "E", 'IWP02'!Std5dot3))</f>
        <v/>
      </c>
      <c r="H245" s="11" t="str">
        <f ca="1">IF('IWP03'!ContractNumber = "", "", IF('IWP03'!Std5dot3 = "", "E", 'IWP03'!Std5dot3))</f>
        <v/>
      </c>
      <c r="I245" s="11" t="str">
        <f ca="1">IF('IWP04'!ContractNumber = "", "", IF('IWP04'!Std5dot3 = "", "E", 'IWP04'!Std5dot3))</f>
        <v/>
      </c>
      <c r="J245" s="11" t="str">
        <f ca="1">IF('IWP05'!ContractNumber = "", "", IF('IWP05'!Std5dot3 = "", "E", 'IWP05'!Std5dot3))</f>
        <v/>
      </c>
    </row>
    <row r="246" spans="1:10" ht="16.5" thickTop="1" thickBot="1">
      <c r="A246" s="256"/>
      <c r="B246" s="257"/>
      <c r="C246" s="257"/>
      <c r="D246" s="257"/>
      <c r="E246" s="258"/>
      <c r="F246" s="42">
        <v>6</v>
      </c>
      <c r="G246" s="42">
        <v>7</v>
      </c>
      <c r="H246" s="42">
        <v>8</v>
      </c>
      <c r="I246" s="42">
        <v>9</v>
      </c>
      <c r="J246" s="42">
        <v>10</v>
      </c>
    </row>
    <row r="247" spans="1:10" ht="16.5" customHeight="1" thickTop="1" thickBot="1">
      <c r="A247" s="256"/>
      <c r="B247" s="257"/>
      <c r="C247" s="257"/>
      <c r="D247" s="257"/>
      <c r="E247" s="258"/>
      <c r="F247" s="11" t="str">
        <f ca="1">IF('IWP06'!ContractNumber = "", "", IF('IWP06'!Std5dot3 = "", "E", 'IWP06'!Std5dot3))</f>
        <v/>
      </c>
      <c r="G247" s="11" t="str">
        <f ca="1">IF('IWP07'!ContractNumber = "", "", IF('IWP07'!Std5dot3 = "", "E", 'IWP07'!Std5dot3))</f>
        <v/>
      </c>
      <c r="H247" s="11" t="str">
        <f ca="1">IF('IWP08'!ContractNumber = "", "", IF('IWP08'!Std5dot3 = "", "E", 'IWP08'!Std5dot3))</f>
        <v/>
      </c>
      <c r="I247" s="11" t="str">
        <f ca="1">IF('IWP09'!ContractNumber = "", "", IF('IWP09'!Std5dot3 = "", "E", 'IWP09'!Std5dot3))</f>
        <v/>
      </c>
      <c r="J247" s="11" t="str">
        <f ca="1">IF('IWP10'!ContractNumber = "", "", IF('IWP10'!Std5dot3 = "", "E", 'IWP10'!Std5dot3))</f>
        <v/>
      </c>
    </row>
    <row r="248" spans="1:10" ht="16.5" customHeight="1" thickTop="1" thickBot="1">
      <c r="A248" s="256"/>
      <c r="B248" s="257"/>
      <c r="C248" s="257"/>
      <c r="D248" s="257"/>
      <c r="E248" s="258"/>
      <c r="F248" s="42">
        <v>11</v>
      </c>
      <c r="G248" s="42">
        <v>12</v>
      </c>
      <c r="H248" s="42">
        <v>13</v>
      </c>
      <c r="I248" s="42">
        <v>14</v>
      </c>
      <c r="J248" s="42">
        <v>15</v>
      </c>
    </row>
    <row r="249" spans="1:10" ht="17.25" customHeight="1" thickTop="1" thickBot="1">
      <c r="A249" s="239" t="s">
        <v>715</v>
      </c>
      <c r="B249" s="237"/>
      <c r="C249" s="237"/>
      <c r="D249" s="237"/>
      <c r="E249" s="238"/>
      <c r="F249" s="11" t="str">
        <f ca="1">IF('IWP11'!ContractNumber = "", "", IF('IWP11'!Std5dot3 = "", "E", 'IWP11'!Std5dot3))</f>
        <v/>
      </c>
      <c r="G249" s="11" t="str">
        <f ca="1">IF('IWP12'!ContractNumber = "", "", IF('IWP12'!Std5dot3 = "", "E", 'IWP12'!Std5dot3))</f>
        <v/>
      </c>
      <c r="H249" s="11" t="str">
        <f ca="1">IF('IWP13'!ContractNumber = "", "", IF('IWP13'!Std5dot3 = "", "E", 'IWP13'!Std5dot3))</f>
        <v/>
      </c>
      <c r="I249" s="11" t="str">
        <f ca="1">IF('IWP14'!ContractNumber = "", "", IF('IWP14'!Std5dot3 = "", "E", 'IWP14'!Std5dot3))</f>
        <v/>
      </c>
      <c r="J249" s="11" t="str">
        <f ca="1">IF('IWP15'!ContractNumber = "", "", IF('IWP15'!Std5dot3 = "", "E", 'IWP15'!Std5dot3))</f>
        <v/>
      </c>
    </row>
    <row r="250" spans="1:10" ht="17.25" customHeight="1" thickTop="1" thickBot="1">
      <c r="A250" s="239"/>
      <c r="B250" s="237"/>
      <c r="C250" s="237"/>
      <c r="D250" s="237"/>
      <c r="E250" s="238"/>
      <c r="F250" s="42">
        <v>16</v>
      </c>
      <c r="G250" s="42">
        <v>17</v>
      </c>
      <c r="H250" s="42">
        <v>18</v>
      </c>
      <c r="I250" s="42">
        <v>19</v>
      </c>
      <c r="J250" s="42">
        <v>20</v>
      </c>
    </row>
    <row r="251" spans="1:10" ht="17.25" customHeight="1" thickTop="1" thickBot="1">
      <c r="A251" s="239"/>
      <c r="B251" s="237"/>
      <c r="C251" s="237"/>
      <c r="D251" s="237"/>
      <c r="E251" s="238"/>
      <c r="F251" s="11" t="str">
        <f ca="1">IF('IWP16'!ContractNumber = "", "", IF('IWP16'!Std5dot3 = "", "E", 'IWP16'!Std5dot3))</f>
        <v/>
      </c>
      <c r="G251" s="11" t="str">
        <f ca="1">IF('IWP17'!ContractNumber = "", "", IF('IWP17'!Std5dot3 = "", "E", 'IWP17'!Std5dot3))</f>
        <v/>
      </c>
      <c r="H251" s="11" t="str">
        <f ca="1">IF('IWP18'!ContractNumber = "", "", IF('IWP18'!Std5dot3 = "", "E", 'IWP18'!Std5dot3))</f>
        <v/>
      </c>
      <c r="I251" s="11" t="str">
        <f ca="1">IF('IWP19'!ContractNumber = "", "", IF('IWP19'!Std5dot3 = "", "E", 'IWP19'!Std5dot3))</f>
        <v/>
      </c>
      <c r="J251" s="11" t="str">
        <f ca="1">IF('IWP20'!ContractNumber = "", "", IF('IWP20'!Std5dot3 = "", "E", 'IWP20'!Std5dot3))</f>
        <v/>
      </c>
    </row>
    <row r="252" spans="1:10" ht="17.25" customHeight="1" thickTop="1" thickBot="1">
      <c r="A252" s="239"/>
      <c r="B252" s="237"/>
      <c r="C252" s="237"/>
      <c r="D252" s="237"/>
      <c r="E252" s="238"/>
      <c r="F252" s="42">
        <v>21</v>
      </c>
      <c r="G252" s="42">
        <v>22</v>
      </c>
      <c r="H252" s="42">
        <v>23</v>
      </c>
      <c r="I252" s="42">
        <v>24</v>
      </c>
      <c r="J252" s="42">
        <v>25</v>
      </c>
    </row>
    <row r="253" spans="1:10" ht="17.25" customHeight="1" thickTop="1" thickBot="1">
      <c r="A253" s="239"/>
      <c r="B253" s="237"/>
      <c r="C253" s="237"/>
      <c r="D253" s="237"/>
      <c r="E253" s="238"/>
      <c r="F253" s="11" t="str">
        <f ca="1">IF('IWP21'!ContractNumber = "", "", IF('IWP21'!Std5dot3 = "", "E", 'IWP21'!Std5dot3))</f>
        <v/>
      </c>
      <c r="G253" s="11" t="str">
        <f ca="1">IF('IWP22'!ContractNumber = "", "", IF('IWP22'!Std5dot3 = "", "E", 'IWP22'!Std5dot3))</f>
        <v/>
      </c>
      <c r="H253" s="11" t="str">
        <f ca="1">IF('IWP23'!ContractNumber = "", "", IF('IWP23'!Std5dot3 = "", "E", 'IWP23'!Std5dot3))</f>
        <v/>
      </c>
      <c r="I253" s="11" t="str">
        <f ca="1">IF('IWP24'!ContractNumber = "", "", IF('IWP24'!Std5dot3 = "", "E", 'IWP24'!Std5dot3))</f>
        <v/>
      </c>
      <c r="J253" s="11" t="str">
        <f ca="1">IF('IWP25'!ContractNumber = "", "", IF('IWP25'!Std5dot3 = "", "E", 'IWP25'!Std5dot3))</f>
        <v/>
      </c>
    </row>
    <row r="254" spans="1:10" ht="17.25" customHeight="1" thickTop="1" thickBot="1">
      <c r="A254" s="239"/>
      <c r="B254" s="237"/>
      <c r="C254" s="237"/>
      <c r="D254" s="237"/>
      <c r="E254" s="238"/>
      <c r="F254" s="42">
        <v>26</v>
      </c>
      <c r="G254" s="42">
        <v>27</v>
      </c>
      <c r="H254" s="42">
        <v>28</v>
      </c>
      <c r="I254" s="42">
        <v>29</v>
      </c>
      <c r="J254" s="42">
        <v>30</v>
      </c>
    </row>
    <row r="255" spans="1:10" ht="17.25" customHeight="1" thickTop="1" thickBot="1">
      <c r="A255" s="240"/>
      <c r="B255" s="241"/>
      <c r="C255" s="241"/>
      <c r="D255" s="241"/>
      <c r="E255" s="242"/>
      <c r="F255" s="11" t="str">
        <f ca="1">IF('IWP26'!ContractNumber = "", "", IF('IWP26'!Std5dot3 = "", "E", 'IWP26'!Std5dot3))</f>
        <v/>
      </c>
      <c r="G255" s="11" t="str">
        <f ca="1">IF('IWP27'!ContractNumber = "", "", IF('IWP27'!Std5dot3 = "", "E", 'IWP27'!Std5dot3))</f>
        <v/>
      </c>
      <c r="H255" s="11" t="str">
        <f ca="1">IF('IWP28'!ContractNumber = "", "", IF('IWP28'!Std5dot3 = "", "E", 'IWP28'!Std5dot3))</f>
        <v/>
      </c>
      <c r="I255" s="11" t="str">
        <f ca="1">IF('IWP29'!ContractNumber = "", "", IF('IWP29'!Std5dot3 = "", "E", 'IWP29'!Std5dot3))</f>
        <v/>
      </c>
      <c r="J255" s="11" t="str">
        <f ca="1">IF('IWP30'!ContractNumber = "", "", IF('IWP30'!Std5dot3 = "", "E", 'IWP30'!Std5dot3))</f>
        <v/>
      </c>
    </row>
    <row r="256" spans="1:10" ht="17.25" customHeight="1" thickTop="1" thickBot="1">
      <c r="A256" s="247" t="s">
        <v>12</v>
      </c>
      <c r="B256" s="249"/>
      <c r="C256" s="249"/>
      <c r="D256" s="249"/>
      <c r="E256" s="249"/>
      <c r="F256" s="250"/>
      <c r="G256" s="243" t="s">
        <v>15</v>
      </c>
      <c r="H256" s="244"/>
      <c r="I256" s="243" t="s">
        <v>16</v>
      </c>
      <c r="J256" s="244"/>
    </row>
    <row r="257" spans="1:10" ht="17.25" customHeight="1" thickTop="1" thickBot="1">
      <c r="A257" s="248"/>
      <c r="B257" s="251"/>
      <c r="C257" s="251"/>
      <c r="D257" s="251"/>
      <c r="E257" s="251"/>
      <c r="F257" s="252"/>
      <c r="G257" s="245">
        <f ca="1">COUNTIF(F245:J255, "Y")</f>
        <v>0</v>
      </c>
      <c r="H257" s="246"/>
      <c r="I257" s="245">
        <f ca="1">COUNTIF(F245:J255, "N")</f>
        <v>0</v>
      </c>
      <c r="J257" s="246"/>
    </row>
    <row r="258" spans="1:10" ht="16.5" customHeight="1" thickTop="1" thickBot="1">
      <c r="A258" s="253" t="s">
        <v>736</v>
      </c>
      <c r="B258" s="254"/>
      <c r="C258" s="254"/>
      <c r="D258" s="254"/>
      <c r="E258" s="255"/>
      <c r="F258" s="42">
        <v>1</v>
      </c>
      <c r="G258" s="42">
        <v>2</v>
      </c>
      <c r="H258" s="42">
        <v>3</v>
      </c>
      <c r="I258" s="42">
        <v>4</v>
      </c>
      <c r="J258" s="42">
        <v>5</v>
      </c>
    </row>
    <row r="259" spans="1:10" ht="16.5" customHeight="1" thickTop="1" thickBot="1">
      <c r="A259" s="256"/>
      <c r="B259" s="257"/>
      <c r="C259" s="257"/>
      <c r="D259" s="257"/>
      <c r="E259" s="258"/>
      <c r="F259" s="11" t="str">
        <f ca="1">IF('IWP01'!ContractNumber = "", "", IF('IWP01'!Std5dot4 = "", "E", 'IWP01'!Std5dot4))</f>
        <v/>
      </c>
      <c r="G259" s="11" t="str">
        <f ca="1">IF('IWP02'!ContractNumber = "", "", IF('IWP02'!Std5dot4 = "", "E", 'IWP02'!Std5dot4))</f>
        <v/>
      </c>
      <c r="H259" s="11" t="str">
        <f ca="1">IF('IWP03'!ContractNumber = "", "", IF('IWP03'!Std5dot4 = "", "E", 'IWP03'!Std5dot4))</f>
        <v/>
      </c>
      <c r="I259" s="11" t="str">
        <f ca="1">IF('IWP04'!ContractNumber = "", "", IF('IWP04'!Std5dot4 = "", "E", 'IWP04'!Std5dot4))</f>
        <v/>
      </c>
      <c r="J259" s="11" t="str">
        <f ca="1">IF('IWP05'!ContractNumber = "", "", IF('IWP05'!Std5dot4 = "", "E", 'IWP05'!Std5dot4))</f>
        <v/>
      </c>
    </row>
    <row r="260" spans="1:10" ht="16.5" thickTop="1" thickBot="1">
      <c r="A260" s="256"/>
      <c r="B260" s="257"/>
      <c r="C260" s="257"/>
      <c r="D260" s="257"/>
      <c r="E260" s="258"/>
      <c r="F260" s="42">
        <v>6</v>
      </c>
      <c r="G260" s="42">
        <v>7</v>
      </c>
      <c r="H260" s="42">
        <v>8</v>
      </c>
      <c r="I260" s="42">
        <v>9</v>
      </c>
      <c r="J260" s="42">
        <v>10</v>
      </c>
    </row>
    <row r="261" spans="1:10" ht="16.5" customHeight="1" thickTop="1" thickBot="1">
      <c r="A261" s="256"/>
      <c r="B261" s="257"/>
      <c r="C261" s="257"/>
      <c r="D261" s="257"/>
      <c r="E261" s="258"/>
      <c r="F261" s="11" t="str">
        <f ca="1">IF('IWP06'!ContractNumber = "", "", IF('IWP06'!Std5dot4 = "", "E", 'IWP06'!Std5dot4))</f>
        <v/>
      </c>
      <c r="G261" s="11" t="str">
        <f ca="1">IF('IWP07'!ContractNumber = "", "", IF('IWP07'!Std5dot4 = "", "E", 'IWP07'!Std5dot4))</f>
        <v/>
      </c>
      <c r="H261" s="11" t="str">
        <f ca="1">IF('IWP08'!ContractNumber = "", "", IF('IWP08'!Std5dot4 = "", "E", 'IWP08'!Std5dot4))</f>
        <v/>
      </c>
      <c r="I261" s="11" t="str">
        <f ca="1">IF('IWP09'!ContractNumber = "", "", IF('IWP09'!Std5dot4 = "", "E", 'IWP09'!Std5dot4))</f>
        <v/>
      </c>
      <c r="J261" s="11" t="str">
        <f ca="1">IF('IWP10'!ContractNumber = "", "", IF('IWP10'!Std5dot4 = "", "E", 'IWP10'!Std5dot4))</f>
        <v/>
      </c>
    </row>
    <row r="262" spans="1:10" ht="16.5" customHeight="1" thickTop="1" thickBot="1">
      <c r="A262" s="256"/>
      <c r="B262" s="257"/>
      <c r="C262" s="257"/>
      <c r="D262" s="257"/>
      <c r="E262" s="258"/>
      <c r="F262" s="42">
        <v>11</v>
      </c>
      <c r="G262" s="42">
        <v>12</v>
      </c>
      <c r="H262" s="42">
        <v>13</v>
      </c>
      <c r="I262" s="42">
        <v>14</v>
      </c>
      <c r="J262" s="42">
        <v>15</v>
      </c>
    </row>
    <row r="263" spans="1:10" ht="17.25" customHeight="1" thickTop="1" thickBot="1">
      <c r="A263" s="236" t="s">
        <v>716</v>
      </c>
      <c r="B263" s="237"/>
      <c r="C263" s="237"/>
      <c r="D263" s="237"/>
      <c r="E263" s="238"/>
      <c r="F263" s="11" t="str">
        <f ca="1">IF('IWP11'!ContractNumber = "", "", IF('IWP11'!Std5dot4 = "", "E", 'IWP11'!Std5dot4))</f>
        <v/>
      </c>
      <c r="G263" s="11" t="str">
        <f ca="1">IF('IWP12'!ContractNumber = "", "", IF('IWP12'!Std5dot4 = "", "E", 'IWP12'!Std5dot4))</f>
        <v/>
      </c>
      <c r="H263" s="11" t="str">
        <f ca="1">IF('IWP13'!ContractNumber = "", "", IF('IWP13'!Std5dot4 = "", "E", 'IWP13'!Std5dot4))</f>
        <v/>
      </c>
      <c r="I263" s="11" t="str">
        <f ca="1">IF('IWP14'!ContractNumber = "", "", IF('IWP14'!Std5dot4 = "", "E", 'IWP14'!Std5dot4))</f>
        <v/>
      </c>
      <c r="J263" s="11" t="str">
        <f ca="1">IF('IWP15'!ContractNumber = "", "", IF('IWP15'!Std5dot4 = "", "E", 'IWP15'!Std5dot4))</f>
        <v/>
      </c>
    </row>
    <row r="264" spans="1:10" ht="17.25" customHeight="1" thickTop="1" thickBot="1">
      <c r="A264" s="239"/>
      <c r="B264" s="237"/>
      <c r="C264" s="237"/>
      <c r="D264" s="237"/>
      <c r="E264" s="238"/>
      <c r="F264" s="42">
        <v>16</v>
      </c>
      <c r="G264" s="42">
        <v>17</v>
      </c>
      <c r="H264" s="42">
        <v>18</v>
      </c>
      <c r="I264" s="42">
        <v>19</v>
      </c>
      <c r="J264" s="42">
        <v>20</v>
      </c>
    </row>
    <row r="265" spans="1:10" ht="17.25" customHeight="1" thickTop="1" thickBot="1">
      <c r="A265" s="239"/>
      <c r="B265" s="237"/>
      <c r="C265" s="237"/>
      <c r="D265" s="237"/>
      <c r="E265" s="238"/>
      <c r="F265" s="11" t="str">
        <f ca="1">IF('IWP16'!ContractNumber = "", "", IF('IWP16'!Std5dot4 = "", "E", 'IWP16'!Std5dot4))</f>
        <v/>
      </c>
      <c r="G265" s="11" t="str">
        <f ca="1">IF('IWP17'!ContractNumber = "", "", IF('IWP17'!Std5dot4 = "", "E", 'IWP17'!Std5dot4))</f>
        <v/>
      </c>
      <c r="H265" s="11" t="str">
        <f ca="1">IF('IWP18'!ContractNumber = "", "", IF('IWP18'!Std5dot4 = "", "E", 'IWP18'!Std5dot4))</f>
        <v/>
      </c>
      <c r="I265" s="11" t="str">
        <f ca="1">IF('IWP19'!ContractNumber = "", "", IF('IWP19'!Std5dot4 = "", "E", 'IWP19'!Std5dot4))</f>
        <v/>
      </c>
      <c r="J265" s="11" t="str">
        <f ca="1">IF('IWP20'!ContractNumber = "", "", IF('IWP20'!Std5dot4 = "", "E", 'IWP20'!Std5dot4))</f>
        <v/>
      </c>
    </row>
    <row r="266" spans="1:10" ht="17.25" customHeight="1" thickTop="1" thickBot="1">
      <c r="A266" s="239"/>
      <c r="B266" s="237"/>
      <c r="C266" s="237"/>
      <c r="D266" s="237"/>
      <c r="E266" s="238"/>
      <c r="F266" s="42">
        <v>21</v>
      </c>
      <c r="G266" s="42">
        <v>22</v>
      </c>
      <c r="H266" s="42">
        <v>23</v>
      </c>
      <c r="I266" s="42">
        <v>24</v>
      </c>
      <c r="J266" s="42">
        <v>25</v>
      </c>
    </row>
    <row r="267" spans="1:10" ht="17.25" customHeight="1" thickTop="1" thickBot="1">
      <c r="A267" s="239"/>
      <c r="B267" s="237"/>
      <c r="C267" s="237"/>
      <c r="D267" s="237"/>
      <c r="E267" s="238"/>
      <c r="F267" s="11" t="str">
        <f ca="1">IF('IWP21'!ContractNumber = "", "", IF('IWP21'!Std5dot4 = "", "E", 'IWP21'!Std5dot4))</f>
        <v/>
      </c>
      <c r="G267" s="11" t="str">
        <f ca="1">IF('IWP22'!ContractNumber = "", "", IF('IWP22'!Std5dot4 = "", "E", 'IWP22'!Std5dot4))</f>
        <v/>
      </c>
      <c r="H267" s="11" t="str">
        <f ca="1">IF('IWP23'!ContractNumber = "", "", IF('IWP23'!Std5dot4 = "", "E", 'IWP23'!Std5dot4))</f>
        <v/>
      </c>
      <c r="I267" s="11" t="str">
        <f ca="1">IF('IWP24'!ContractNumber = "", "", IF('IWP24'!Std5dot4 = "", "E", 'IWP24'!Std5dot4))</f>
        <v/>
      </c>
      <c r="J267" s="11" t="str">
        <f ca="1">IF('IWP25'!ContractNumber = "", "", IF('IWP25'!Std5dot4 = "", "E", 'IWP25'!Std5dot4))</f>
        <v/>
      </c>
    </row>
    <row r="268" spans="1:10" ht="17.25" customHeight="1" thickTop="1" thickBot="1">
      <c r="A268" s="239"/>
      <c r="B268" s="237"/>
      <c r="C268" s="237"/>
      <c r="D268" s="237"/>
      <c r="E268" s="238"/>
      <c r="F268" s="42">
        <v>26</v>
      </c>
      <c r="G268" s="42">
        <v>27</v>
      </c>
      <c r="H268" s="42">
        <v>28</v>
      </c>
      <c r="I268" s="42">
        <v>29</v>
      </c>
      <c r="J268" s="42">
        <v>30</v>
      </c>
    </row>
    <row r="269" spans="1:10" ht="17.25" customHeight="1" thickTop="1" thickBot="1">
      <c r="A269" s="240"/>
      <c r="B269" s="241"/>
      <c r="C269" s="241"/>
      <c r="D269" s="241"/>
      <c r="E269" s="242"/>
      <c r="F269" s="11" t="str">
        <f ca="1">IF('IWP26'!ContractNumber = "", "", IF('IWP26'!Std5dot4 = "", "E", 'IWP26'!Std5dot4))</f>
        <v/>
      </c>
      <c r="G269" s="11" t="str">
        <f ca="1">IF('IWP27'!ContractNumber = "", "", IF('IWP27'!Std5dot4 = "", "E", 'IWP27'!Std5dot4))</f>
        <v/>
      </c>
      <c r="H269" s="11" t="str">
        <f ca="1">IF('IWP28'!ContractNumber = "", "", IF('IWP28'!Std5dot4 = "", "E", 'IWP28'!Std5dot4))</f>
        <v/>
      </c>
      <c r="I269" s="11" t="str">
        <f ca="1">IF('IWP29'!ContractNumber = "", "", IF('IWP29'!Std5dot4 = "", "E", 'IWP29'!Std5dot4))</f>
        <v/>
      </c>
      <c r="J269" s="11" t="str">
        <f ca="1">IF('IWP30'!ContractNumber = "", "", IF('IWP30'!Std5dot4 = "", "E", 'IWP30'!Std5dot4))</f>
        <v/>
      </c>
    </row>
    <row r="270" spans="1:10" ht="17.25" customHeight="1" thickTop="1" thickBot="1">
      <c r="A270" s="247" t="s">
        <v>12</v>
      </c>
      <c r="B270" s="249"/>
      <c r="C270" s="249"/>
      <c r="D270" s="249"/>
      <c r="E270" s="249"/>
      <c r="F270" s="250"/>
      <c r="G270" s="243" t="s">
        <v>15</v>
      </c>
      <c r="H270" s="244"/>
      <c r="I270" s="243" t="s">
        <v>16</v>
      </c>
      <c r="J270" s="244"/>
    </row>
    <row r="271" spans="1:10" ht="17.25" customHeight="1" thickTop="1" thickBot="1">
      <c r="A271" s="248"/>
      <c r="B271" s="251"/>
      <c r="C271" s="251"/>
      <c r="D271" s="251"/>
      <c r="E271" s="251"/>
      <c r="F271" s="252"/>
      <c r="G271" s="245">
        <f ca="1">COUNTIF(F259:J269, "Y")</f>
        <v>0</v>
      </c>
      <c r="H271" s="246"/>
      <c r="I271" s="245">
        <f ca="1">COUNTIF(F259:J269, "N")</f>
        <v>0</v>
      </c>
      <c r="J271" s="246"/>
    </row>
    <row r="272" spans="1:10" ht="16.5" customHeight="1" thickTop="1" thickBot="1">
      <c r="A272" s="253" t="s">
        <v>672</v>
      </c>
      <c r="B272" s="254"/>
      <c r="C272" s="254"/>
      <c r="D272" s="254"/>
      <c r="E272" s="255"/>
      <c r="F272" s="42">
        <v>1</v>
      </c>
      <c r="G272" s="42">
        <v>2</v>
      </c>
      <c r="H272" s="42">
        <v>3</v>
      </c>
      <c r="I272" s="42">
        <v>4</v>
      </c>
      <c r="J272" s="42">
        <v>5</v>
      </c>
    </row>
    <row r="273" spans="1:10" ht="16.5" customHeight="1" thickTop="1" thickBot="1">
      <c r="A273" s="256"/>
      <c r="B273" s="257"/>
      <c r="C273" s="257"/>
      <c r="D273" s="257"/>
      <c r="E273" s="258"/>
      <c r="F273" s="11" t="str">
        <f ca="1">IF('IWP01'!ContractNumber = "", "", IF('IWP01'!Std5dot5 = "", "E", 'IWP01'!Std5dot5))</f>
        <v/>
      </c>
      <c r="G273" s="11" t="str">
        <f ca="1">IF('IWP02'!ContractNumber = "", "", IF('IWP02'!Std5dot5 = "", "E", 'IWP02'!Std5dot5))</f>
        <v/>
      </c>
      <c r="H273" s="11" t="str">
        <f ca="1">IF('IWP03'!ContractNumber = "", "", IF('IWP03'!Std5dot5 = "", "E", 'IWP03'!Std5dot5))</f>
        <v/>
      </c>
      <c r="I273" s="11" t="str">
        <f ca="1">IF('IWP04'!ContractNumber = "", "", IF('IWP04'!Std5dot5 = "", "E", 'IWP04'!Std5dot5))</f>
        <v/>
      </c>
      <c r="J273" s="11" t="str">
        <f ca="1">IF('IWP05'!ContractNumber = "", "", IF('IWP05'!Std5dot5 = "", "E", 'IWP05'!Std5dot5))</f>
        <v/>
      </c>
    </row>
    <row r="274" spans="1:10" ht="16.5" thickTop="1" thickBot="1">
      <c r="A274" s="256"/>
      <c r="B274" s="257"/>
      <c r="C274" s="257"/>
      <c r="D274" s="257"/>
      <c r="E274" s="258"/>
      <c r="F274" s="42">
        <v>6</v>
      </c>
      <c r="G274" s="42">
        <v>7</v>
      </c>
      <c r="H274" s="42">
        <v>8</v>
      </c>
      <c r="I274" s="42">
        <v>9</v>
      </c>
      <c r="J274" s="42">
        <v>10</v>
      </c>
    </row>
    <row r="275" spans="1:10" ht="16.5" customHeight="1" thickTop="1" thickBot="1">
      <c r="A275" s="256"/>
      <c r="B275" s="257"/>
      <c r="C275" s="257"/>
      <c r="D275" s="257"/>
      <c r="E275" s="258"/>
      <c r="F275" s="11" t="str">
        <f ca="1">IF('IWP06'!ContractNumber = "", "", IF('IWP06'!Std5dot5 = "", "E", 'IWP06'!Std5dot5))</f>
        <v/>
      </c>
      <c r="G275" s="11" t="str">
        <f ca="1">IF('IWP07'!ContractNumber = "", "", IF('IWP07'!Std5dot5 = "", "E", 'IWP07'!Std5dot5))</f>
        <v/>
      </c>
      <c r="H275" s="11" t="str">
        <f ca="1">IF('IWP08'!ContractNumber = "", "", IF('IWP08'!Std5dot5 = "", "E", 'IWP08'!Std5dot5))</f>
        <v/>
      </c>
      <c r="I275" s="11" t="str">
        <f ca="1">IF('IWP09'!ContractNumber = "", "", IF('IWP09'!Std5dot5 = "", "E", 'IWP09'!Std5dot5))</f>
        <v/>
      </c>
      <c r="J275" s="11" t="str">
        <f ca="1">IF('IWP10'!ContractNumber = "", "", IF('IWP10'!Std5dot5 = "", "E", 'IWP10'!Std5dot5))</f>
        <v/>
      </c>
    </row>
    <row r="276" spans="1:10" ht="16.5" customHeight="1" thickTop="1" thickBot="1">
      <c r="A276" s="256"/>
      <c r="B276" s="257"/>
      <c r="C276" s="257"/>
      <c r="D276" s="257"/>
      <c r="E276" s="258"/>
      <c r="F276" s="42">
        <v>11</v>
      </c>
      <c r="G276" s="42">
        <v>12</v>
      </c>
      <c r="H276" s="42">
        <v>13</v>
      </c>
      <c r="I276" s="42">
        <v>14</v>
      </c>
      <c r="J276" s="42">
        <v>15</v>
      </c>
    </row>
    <row r="277" spans="1:10" ht="17.25" customHeight="1" thickTop="1" thickBot="1">
      <c r="A277" s="239" t="s">
        <v>691</v>
      </c>
      <c r="B277" s="237"/>
      <c r="C277" s="237"/>
      <c r="D277" s="237"/>
      <c r="E277" s="238"/>
      <c r="F277" s="11" t="str">
        <f ca="1">IF('IWP11'!ContractNumber = "", "", IF('IWP11'!Std5dot5 = "", "E", 'IWP11'!Std5dot5))</f>
        <v/>
      </c>
      <c r="G277" s="11" t="str">
        <f ca="1">IF('IWP12'!ContractNumber = "", "", IF('IWP12'!Std5dot5 = "", "E", 'IWP12'!Std5dot5))</f>
        <v/>
      </c>
      <c r="H277" s="11" t="str">
        <f ca="1">IF('IWP13'!ContractNumber = "", "", IF('IWP13'!Std5dot5 = "", "E", 'IWP13'!Std5dot5))</f>
        <v/>
      </c>
      <c r="I277" s="11" t="str">
        <f ca="1">IF('IWP14'!ContractNumber = "", "", IF('IWP14'!Std5dot5 = "", "E", 'IWP14'!Std5dot5))</f>
        <v/>
      </c>
      <c r="J277" s="11" t="str">
        <f ca="1">IF('IWP15'!ContractNumber = "", "", IF('IWP15'!Std5dot5 = "", "E", 'IWP15'!Std5dot5))</f>
        <v/>
      </c>
    </row>
    <row r="278" spans="1:10" ht="17.25" customHeight="1" thickTop="1" thickBot="1">
      <c r="A278" s="239"/>
      <c r="B278" s="237"/>
      <c r="C278" s="237"/>
      <c r="D278" s="237"/>
      <c r="E278" s="238"/>
      <c r="F278" s="42">
        <v>16</v>
      </c>
      <c r="G278" s="42">
        <v>17</v>
      </c>
      <c r="H278" s="42">
        <v>18</v>
      </c>
      <c r="I278" s="42">
        <v>19</v>
      </c>
      <c r="J278" s="42">
        <v>20</v>
      </c>
    </row>
    <row r="279" spans="1:10" ht="17.25" customHeight="1" thickTop="1" thickBot="1">
      <c r="A279" s="239"/>
      <c r="B279" s="237"/>
      <c r="C279" s="237"/>
      <c r="D279" s="237"/>
      <c r="E279" s="238"/>
      <c r="F279" s="11" t="str">
        <f ca="1">IF('IWP16'!ContractNumber = "", "", IF('IWP16'!Std5dot5 = "", "E", 'IWP16'!Std5dot5))</f>
        <v/>
      </c>
      <c r="G279" s="11" t="str">
        <f ca="1">IF('IWP17'!ContractNumber = "", "", IF('IWP17'!Std5dot5 = "", "E", 'IWP17'!Std5dot5))</f>
        <v/>
      </c>
      <c r="H279" s="11" t="str">
        <f ca="1">IF('IWP18'!ContractNumber = "", "", IF('IWP18'!Std5dot5 = "", "E", 'IWP18'!Std5dot5))</f>
        <v/>
      </c>
      <c r="I279" s="11" t="str">
        <f ca="1">IF('IWP19'!ContractNumber = "", "", IF('IWP19'!Std5dot5 = "", "E", 'IWP19'!Std5dot5))</f>
        <v/>
      </c>
      <c r="J279" s="11" t="str">
        <f ca="1">IF('IWP20'!ContractNumber = "", "", IF('IWP20'!Std5dot5 = "", "E", 'IWP20'!Std5dot5))</f>
        <v/>
      </c>
    </row>
    <row r="280" spans="1:10" ht="17.25" customHeight="1" thickTop="1" thickBot="1">
      <c r="A280" s="239"/>
      <c r="B280" s="237"/>
      <c r="C280" s="237"/>
      <c r="D280" s="237"/>
      <c r="E280" s="238"/>
      <c r="F280" s="42">
        <v>21</v>
      </c>
      <c r="G280" s="42">
        <v>22</v>
      </c>
      <c r="H280" s="42">
        <v>23</v>
      </c>
      <c r="I280" s="42">
        <v>24</v>
      </c>
      <c r="J280" s="42">
        <v>25</v>
      </c>
    </row>
    <row r="281" spans="1:10" ht="17.25" customHeight="1" thickTop="1" thickBot="1">
      <c r="A281" s="239"/>
      <c r="B281" s="237"/>
      <c r="C281" s="237"/>
      <c r="D281" s="237"/>
      <c r="E281" s="238"/>
      <c r="F281" s="11" t="str">
        <f ca="1">IF('IWP21'!ContractNumber = "", "", IF('IWP21'!Std5dot5 = "", "E", 'IWP21'!Std5dot5))</f>
        <v/>
      </c>
      <c r="G281" s="11" t="str">
        <f ca="1">IF('IWP22'!ContractNumber = "", "", IF('IWP22'!Std5dot5 = "", "E", 'IWP22'!Std5dot5))</f>
        <v/>
      </c>
      <c r="H281" s="11" t="str">
        <f ca="1">IF('IWP23'!ContractNumber = "", "", IF('IWP23'!Std5dot5 = "", "E", 'IWP23'!Std5dot5))</f>
        <v/>
      </c>
      <c r="I281" s="11" t="str">
        <f ca="1">IF('IWP24'!ContractNumber = "", "", IF('IWP24'!Std5dot5 = "", "E", 'IWP24'!Std5dot5))</f>
        <v/>
      </c>
      <c r="J281" s="11" t="str">
        <f ca="1">IF('IWP25'!ContractNumber = "", "", IF('IWP25'!Std5dot5 = "", "E", 'IWP25'!Std5dot5))</f>
        <v/>
      </c>
    </row>
    <row r="282" spans="1:10" ht="17.25" customHeight="1" thickTop="1" thickBot="1">
      <c r="A282" s="239"/>
      <c r="B282" s="237"/>
      <c r="C282" s="237"/>
      <c r="D282" s="237"/>
      <c r="E282" s="238"/>
      <c r="F282" s="42">
        <v>26</v>
      </c>
      <c r="G282" s="42">
        <v>27</v>
      </c>
      <c r="H282" s="42">
        <v>28</v>
      </c>
      <c r="I282" s="42">
        <v>29</v>
      </c>
      <c r="J282" s="42">
        <v>30</v>
      </c>
    </row>
    <row r="283" spans="1:10" ht="17.25" customHeight="1" thickTop="1" thickBot="1">
      <c r="A283" s="240"/>
      <c r="B283" s="241"/>
      <c r="C283" s="241"/>
      <c r="D283" s="241"/>
      <c r="E283" s="242"/>
      <c r="F283" s="11" t="str">
        <f ca="1">IF('IWP26'!ContractNumber = "", "", IF('IWP26'!Std5dot5 = "", "E", 'IWP26'!Std5dot5))</f>
        <v/>
      </c>
      <c r="G283" s="11" t="str">
        <f ca="1">IF('IWP27'!ContractNumber = "", "", IF('IWP27'!Std5dot5 = "", "E", 'IWP27'!Std5dot5))</f>
        <v/>
      </c>
      <c r="H283" s="11" t="str">
        <f ca="1">IF('IWP28'!ContractNumber = "", "", IF('IWP28'!Std5dot5 = "", "E", 'IWP28'!Std5dot5))</f>
        <v/>
      </c>
      <c r="I283" s="11" t="str">
        <f ca="1">IF('IWP29'!ContractNumber = "", "", IF('IWP29'!Std5dot5 = "", "E", 'IWP29'!Std5dot5))</f>
        <v/>
      </c>
      <c r="J283" s="11" t="str">
        <f ca="1">IF('IWP30'!ContractNumber = "", "", IF('IWP30'!Std5dot5 = "", "E", 'IWP30'!Std5dot5))</f>
        <v/>
      </c>
    </row>
    <row r="284" spans="1:10" ht="17.25" customHeight="1" thickTop="1" thickBot="1">
      <c r="A284" s="247" t="s">
        <v>12</v>
      </c>
      <c r="B284" s="249"/>
      <c r="C284" s="249"/>
      <c r="D284" s="249"/>
      <c r="E284" s="249"/>
      <c r="F284" s="250"/>
      <c r="G284" s="243" t="s">
        <v>15</v>
      </c>
      <c r="H284" s="244"/>
      <c r="I284" s="243" t="s">
        <v>16</v>
      </c>
      <c r="J284" s="244"/>
    </row>
    <row r="285" spans="1:10" ht="17.25" customHeight="1" thickTop="1" thickBot="1">
      <c r="A285" s="248"/>
      <c r="B285" s="251"/>
      <c r="C285" s="251"/>
      <c r="D285" s="251"/>
      <c r="E285" s="251"/>
      <c r="F285" s="252"/>
      <c r="G285" s="245">
        <f ca="1">COUNTIF(F273:J283, "Y")</f>
        <v>0</v>
      </c>
      <c r="H285" s="246"/>
      <c r="I285" s="245">
        <f ca="1">COUNTIF(F273:J283, "N")</f>
        <v>0</v>
      </c>
      <c r="J285" s="246"/>
    </row>
    <row r="286" spans="1:10" ht="16.5" customHeight="1" thickTop="1" thickBot="1">
      <c r="A286" s="253" t="s">
        <v>673</v>
      </c>
      <c r="B286" s="254"/>
      <c r="C286" s="254"/>
      <c r="D286" s="254"/>
      <c r="E286" s="255"/>
      <c r="F286" s="42">
        <v>1</v>
      </c>
      <c r="G286" s="42">
        <v>2</v>
      </c>
      <c r="H286" s="42">
        <v>3</v>
      </c>
      <c r="I286" s="42">
        <v>4</v>
      </c>
      <c r="J286" s="42">
        <v>5</v>
      </c>
    </row>
    <row r="287" spans="1:10" ht="16.5" customHeight="1" thickTop="1" thickBot="1">
      <c r="A287" s="256"/>
      <c r="B287" s="257"/>
      <c r="C287" s="257"/>
      <c r="D287" s="257"/>
      <c r="E287" s="258"/>
      <c r="F287" s="11" t="str">
        <f ca="1">IF('IWP01'!ContractNumber = "", "", IF('IWP01'!Std5dot6 = "", "E", 'IWP01'!Std5dot6))</f>
        <v/>
      </c>
      <c r="G287" s="11" t="str">
        <f ca="1">IF('IWP02'!ContractNumber = "", "", IF('IWP02'!Std5dot6 = "", "E", 'IWP02'!Std5dot6))</f>
        <v/>
      </c>
      <c r="H287" s="11" t="str">
        <f ca="1">IF('IWP03'!ContractNumber = "", "", IF('IWP03'!Std5dot6 = "", "E", 'IWP03'!Std5dot6))</f>
        <v/>
      </c>
      <c r="I287" s="11" t="str">
        <f ca="1">IF('IWP04'!ContractNumber = "", "", IF('IWP04'!Std5dot6 = "", "E", 'IWP04'!Std5dot6))</f>
        <v/>
      </c>
      <c r="J287" s="11" t="str">
        <f ca="1">IF('IWP05'!ContractNumber = "", "", IF('IWP05'!Std5dot6 = "", "E", 'IWP05'!Std5dot6))</f>
        <v/>
      </c>
    </row>
    <row r="288" spans="1:10" ht="16.5" thickTop="1" thickBot="1">
      <c r="A288" s="256"/>
      <c r="B288" s="257"/>
      <c r="C288" s="257"/>
      <c r="D288" s="257"/>
      <c r="E288" s="258"/>
      <c r="F288" s="42">
        <v>6</v>
      </c>
      <c r="G288" s="42">
        <v>7</v>
      </c>
      <c r="H288" s="42">
        <v>8</v>
      </c>
      <c r="I288" s="42">
        <v>9</v>
      </c>
      <c r="J288" s="42">
        <v>10</v>
      </c>
    </row>
    <row r="289" spans="1:10" ht="16.5" customHeight="1" thickTop="1" thickBot="1">
      <c r="A289" s="256"/>
      <c r="B289" s="257"/>
      <c r="C289" s="257"/>
      <c r="D289" s="257"/>
      <c r="E289" s="258"/>
      <c r="F289" s="11" t="str">
        <f ca="1">IF('IWP06'!ContractNumber = "", "", IF('IWP06'!Std5dot6 = "", "E", 'IWP06'!Std5dot6))</f>
        <v/>
      </c>
      <c r="G289" s="11" t="str">
        <f ca="1">IF('IWP07'!ContractNumber = "", "", IF('IWP07'!Std5dot6 = "", "E", 'IWP07'!Std5dot6))</f>
        <v/>
      </c>
      <c r="H289" s="11" t="str">
        <f ca="1">IF('IWP08'!ContractNumber = "", "", IF('IWP08'!Std5dot6 = "", "E", 'IWP08'!Std5dot6))</f>
        <v/>
      </c>
      <c r="I289" s="11" t="str">
        <f ca="1">IF('IWP09'!ContractNumber = "", "", IF('IWP09'!Std5dot6 = "", "E", 'IWP09'!Std5dot6))</f>
        <v/>
      </c>
      <c r="J289" s="11" t="str">
        <f ca="1">IF('IWP10'!ContractNumber = "", "", IF('IWP10'!Std5dot6 = "", "E", 'IWP10'!Std5dot6))</f>
        <v/>
      </c>
    </row>
    <row r="290" spans="1:10" ht="16.5" customHeight="1" thickTop="1" thickBot="1">
      <c r="A290" s="256"/>
      <c r="B290" s="257"/>
      <c r="C290" s="257"/>
      <c r="D290" s="257"/>
      <c r="E290" s="258"/>
      <c r="F290" s="42">
        <v>11</v>
      </c>
      <c r="G290" s="42">
        <v>12</v>
      </c>
      <c r="H290" s="42">
        <v>13</v>
      </c>
      <c r="I290" s="42">
        <v>14</v>
      </c>
      <c r="J290" s="42">
        <v>15</v>
      </c>
    </row>
    <row r="291" spans="1:10" ht="17.25" customHeight="1" thickTop="1" thickBot="1">
      <c r="A291" s="239" t="s">
        <v>691</v>
      </c>
      <c r="B291" s="237"/>
      <c r="C291" s="237"/>
      <c r="D291" s="237"/>
      <c r="E291" s="238"/>
      <c r="F291" s="11" t="str">
        <f ca="1">IF('IWP11'!ContractNumber = "", "", IF('IWP11'!Std5dot6 = "", "E", 'IWP11'!Std5dot6))</f>
        <v/>
      </c>
      <c r="G291" s="11" t="str">
        <f ca="1">IF('IWP12'!ContractNumber = "", "", IF('IWP12'!Std5dot6 = "", "E", 'IWP12'!Std5dot6))</f>
        <v/>
      </c>
      <c r="H291" s="11" t="str">
        <f ca="1">IF('IWP13'!ContractNumber = "", "", IF('IWP13'!Std5dot6 = "", "E", 'IWP13'!Std5dot6))</f>
        <v/>
      </c>
      <c r="I291" s="11" t="str">
        <f ca="1">IF('IWP14'!ContractNumber = "", "", IF('IWP14'!Std5dot6 = "", "E", 'IWP14'!Std5dot6))</f>
        <v/>
      </c>
      <c r="J291" s="11" t="str">
        <f ca="1">IF('IWP15'!ContractNumber = "", "", IF('IWP15'!Std5dot6 = "", "E", 'IWP15'!Std5dot6))</f>
        <v/>
      </c>
    </row>
    <row r="292" spans="1:10" ht="17.25" customHeight="1" thickTop="1" thickBot="1">
      <c r="A292" s="239"/>
      <c r="B292" s="237"/>
      <c r="C292" s="237"/>
      <c r="D292" s="237"/>
      <c r="E292" s="238"/>
      <c r="F292" s="42">
        <v>16</v>
      </c>
      <c r="G292" s="42">
        <v>17</v>
      </c>
      <c r="H292" s="42">
        <v>18</v>
      </c>
      <c r="I292" s="42">
        <v>19</v>
      </c>
      <c r="J292" s="42">
        <v>20</v>
      </c>
    </row>
    <row r="293" spans="1:10" ht="17.25" customHeight="1" thickTop="1" thickBot="1">
      <c r="A293" s="239"/>
      <c r="B293" s="237"/>
      <c r="C293" s="237"/>
      <c r="D293" s="237"/>
      <c r="E293" s="238"/>
      <c r="F293" s="11" t="str">
        <f ca="1">IF('IWP16'!ContractNumber = "", "", IF('IWP16'!Std5dot6 = "", "E", 'IWP16'!Std5dot6))</f>
        <v/>
      </c>
      <c r="G293" s="11" t="str">
        <f ca="1">IF('IWP17'!ContractNumber = "", "", IF('IWP17'!Std5dot6 = "", "E", 'IWP17'!Std5dot6))</f>
        <v/>
      </c>
      <c r="H293" s="11" t="str">
        <f ca="1">IF('IWP18'!ContractNumber = "", "", IF('IWP18'!Std5dot6 = "", "E", 'IWP18'!Std5dot6))</f>
        <v/>
      </c>
      <c r="I293" s="11" t="str">
        <f ca="1">IF('IWP19'!ContractNumber = "", "", IF('IWP19'!Std5dot6 = "", "E", 'IWP19'!Std5dot6))</f>
        <v/>
      </c>
      <c r="J293" s="11" t="str">
        <f ca="1">IF('IWP20'!ContractNumber = "", "", IF('IWP20'!Std5dot6 = "", "E", 'IWP20'!Std5dot6))</f>
        <v/>
      </c>
    </row>
    <row r="294" spans="1:10" ht="17.25" customHeight="1" thickTop="1" thickBot="1">
      <c r="A294" s="239"/>
      <c r="B294" s="237"/>
      <c r="C294" s="237"/>
      <c r="D294" s="237"/>
      <c r="E294" s="238"/>
      <c r="F294" s="42">
        <v>21</v>
      </c>
      <c r="G294" s="42">
        <v>22</v>
      </c>
      <c r="H294" s="42">
        <v>23</v>
      </c>
      <c r="I294" s="42">
        <v>24</v>
      </c>
      <c r="J294" s="42">
        <v>25</v>
      </c>
    </row>
    <row r="295" spans="1:10" ht="17.25" customHeight="1" thickTop="1" thickBot="1">
      <c r="A295" s="239"/>
      <c r="B295" s="237"/>
      <c r="C295" s="237"/>
      <c r="D295" s="237"/>
      <c r="E295" s="238"/>
      <c r="F295" s="11" t="str">
        <f ca="1">IF('IWP21'!ContractNumber = "", "", IF('IWP21'!Std5dot6 = "", "E", 'IWP21'!Std5dot6))</f>
        <v/>
      </c>
      <c r="G295" s="11" t="str">
        <f ca="1">IF('IWP22'!ContractNumber = "", "", IF('IWP22'!Std5dot6 = "", "E", 'IWP22'!Std5dot6))</f>
        <v/>
      </c>
      <c r="H295" s="11" t="str">
        <f ca="1">IF('IWP23'!ContractNumber = "", "", IF('IWP23'!Std5dot6 = "", "E", 'IWP23'!Std5dot6))</f>
        <v/>
      </c>
      <c r="I295" s="11" t="str">
        <f ca="1">IF('IWP24'!ContractNumber = "", "", IF('IWP24'!Std5dot6 = "", "E", 'IWP24'!Std5dot6))</f>
        <v/>
      </c>
      <c r="J295" s="11" t="str">
        <f ca="1">IF('IWP25'!ContractNumber = "", "", IF('IWP25'!Std5dot6 = "", "E", 'IWP25'!Std5dot6))</f>
        <v/>
      </c>
    </row>
    <row r="296" spans="1:10" ht="17.25" customHeight="1" thickTop="1" thickBot="1">
      <c r="A296" s="239"/>
      <c r="B296" s="237"/>
      <c r="C296" s="237"/>
      <c r="D296" s="237"/>
      <c r="E296" s="238"/>
      <c r="F296" s="42">
        <v>26</v>
      </c>
      <c r="G296" s="42">
        <v>27</v>
      </c>
      <c r="H296" s="42">
        <v>28</v>
      </c>
      <c r="I296" s="42">
        <v>29</v>
      </c>
      <c r="J296" s="42">
        <v>30</v>
      </c>
    </row>
    <row r="297" spans="1:10" ht="17.25" customHeight="1" thickTop="1" thickBot="1">
      <c r="A297" s="240"/>
      <c r="B297" s="241"/>
      <c r="C297" s="241"/>
      <c r="D297" s="241"/>
      <c r="E297" s="242"/>
      <c r="F297" s="11" t="str">
        <f ca="1">IF('IWP26'!ContractNumber = "", "", IF('IWP26'!Std5dot6 = "", "E", 'IWP26'!Std5dot6))</f>
        <v/>
      </c>
      <c r="G297" s="11" t="str">
        <f ca="1">IF('IWP27'!ContractNumber = "", "", IF('IWP27'!Std5dot6 = "", "E", 'IWP27'!Std5dot6))</f>
        <v/>
      </c>
      <c r="H297" s="11" t="str">
        <f ca="1">IF('IWP28'!ContractNumber = "", "", IF('IWP28'!Std5dot6 = "", "E", 'IWP28'!Std5dot6))</f>
        <v/>
      </c>
      <c r="I297" s="11" t="str">
        <f ca="1">IF('IWP29'!ContractNumber = "", "", IF('IWP29'!Std5dot6 = "", "E", 'IWP29'!Std5dot6))</f>
        <v/>
      </c>
      <c r="J297" s="11" t="str">
        <f ca="1">IF('IWP30'!ContractNumber = "", "", IF('IWP30'!Std5dot6 = "", "E", 'IWP30'!Std5dot6))</f>
        <v/>
      </c>
    </row>
    <row r="298" spans="1:10" ht="17.25" customHeight="1" thickTop="1" thickBot="1">
      <c r="A298" s="247" t="s">
        <v>12</v>
      </c>
      <c r="B298" s="249"/>
      <c r="C298" s="249"/>
      <c r="D298" s="249"/>
      <c r="E298" s="249"/>
      <c r="F298" s="250"/>
      <c r="G298" s="243" t="s">
        <v>15</v>
      </c>
      <c r="H298" s="244"/>
      <c r="I298" s="243" t="s">
        <v>16</v>
      </c>
      <c r="J298" s="244"/>
    </row>
    <row r="299" spans="1:10" ht="17.25" customHeight="1" thickTop="1" thickBot="1">
      <c r="A299" s="248"/>
      <c r="B299" s="251"/>
      <c r="C299" s="251"/>
      <c r="D299" s="251"/>
      <c r="E299" s="251"/>
      <c r="F299" s="252"/>
      <c r="G299" s="245">
        <f ca="1">COUNTIF(F287:J297, "Y")</f>
        <v>0</v>
      </c>
      <c r="H299" s="246"/>
      <c r="I299" s="245">
        <f ca="1">COUNTIF(F287:J297, "N")</f>
        <v>0</v>
      </c>
      <c r="J299" s="246"/>
    </row>
    <row r="300" spans="1:10" ht="17.25" customHeight="1" thickTop="1" thickBot="1">
      <c r="A300" s="269" t="s">
        <v>135</v>
      </c>
      <c r="B300" s="270"/>
      <c r="C300" s="270"/>
      <c r="D300" s="270"/>
      <c r="E300" s="270"/>
      <c r="F300" s="271"/>
      <c r="G300" s="243" t="s">
        <v>13</v>
      </c>
      <c r="H300" s="244"/>
      <c r="I300" s="243" t="s">
        <v>14</v>
      </c>
      <c r="J300" s="244"/>
    </row>
    <row r="301" spans="1:10" ht="17.25" customHeight="1" thickTop="1" thickBot="1">
      <c r="A301" s="272"/>
      <c r="B301" s="273"/>
      <c r="C301" s="273"/>
      <c r="D301" s="273"/>
      <c r="E301" s="273"/>
      <c r="F301" s="274"/>
      <c r="G301" s="245">
        <f ca="1">SUM(G285,G299,G271,G257,G243,G229)</f>
        <v>0</v>
      </c>
      <c r="H301" s="246"/>
      <c r="I301" s="245">
        <f ca="1">SUM(I299,I285,I271,I257,I243,I229)</f>
        <v>0</v>
      </c>
      <c r="J301" s="246"/>
    </row>
    <row r="302" spans="1:10" ht="16.5" customHeight="1" thickTop="1">
      <c r="A302" s="259" t="s">
        <v>137</v>
      </c>
      <c r="B302" s="260"/>
      <c r="C302" s="260"/>
      <c r="D302" s="260"/>
      <c r="E302" s="260"/>
      <c r="F302" s="260"/>
      <c r="G302" s="260"/>
      <c r="H302" s="260"/>
      <c r="I302" s="260"/>
      <c r="J302" s="261"/>
    </row>
    <row r="303" spans="1:10" ht="16" thickBot="1">
      <c r="A303" s="262" t="s">
        <v>138</v>
      </c>
      <c r="B303" s="263"/>
      <c r="C303" s="263"/>
      <c r="D303" s="263"/>
      <c r="E303" s="263"/>
      <c r="F303" s="263"/>
      <c r="G303" s="263"/>
      <c r="H303" s="263"/>
      <c r="I303" s="263"/>
      <c r="J303" s="264"/>
    </row>
    <row r="304" spans="1:10" ht="16.5" customHeight="1" thickTop="1" thickBot="1">
      <c r="A304" s="253" t="s">
        <v>703</v>
      </c>
      <c r="B304" s="254"/>
      <c r="C304" s="254"/>
      <c r="D304" s="254"/>
      <c r="E304" s="255"/>
      <c r="F304" s="42">
        <v>1</v>
      </c>
      <c r="G304" s="42">
        <v>2</v>
      </c>
      <c r="H304" s="42">
        <v>3</v>
      </c>
      <c r="I304" s="42">
        <v>4</v>
      </c>
      <c r="J304" s="42">
        <v>5</v>
      </c>
    </row>
    <row r="305" spans="1:10" ht="16.5" customHeight="1" thickTop="1" thickBot="1">
      <c r="A305" s="256"/>
      <c r="B305" s="257"/>
      <c r="C305" s="257"/>
      <c r="D305" s="257"/>
      <c r="E305" s="258"/>
      <c r="F305" s="11" t="str">
        <f ca="1">IF('IWP01'!ContractNumber = "", "", IF('IWP01'!Std6dot1 = "", "E", 'IWP01'!Std6dot1))</f>
        <v/>
      </c>
      <c r="G305" s="11" t="str">
        <f ca="1">IF('IWP02'!ContractNumber = "", "", IF('IWP02'!Std6dot1 = "", "E", 'IWP02'!Std6dot1))</f>
        <v/>
      </c>
      <c r="H305" s="11" t="str">
        <f ca="1">IF('IWP03'!ContractNumber = "", "", IF('IWP03'!Std6dot1 = "", "E", 'IWP03'!Std6dot1))</f>
        <v/>
      </c>
      <c r="I305" s="11" t="str">
        <f ca="1">IF('IWP04'!ContractNumber = "", "", IF('IWP04'!Std6dot1 = "", "E", 'IWP04'!Std6dot1))</f>
        <v/>
      </c>
      <c r="J305" s="11" t="str">
        <f ca="1">IF('IWP05'!ContractNumber = "", "", IF('IWP05'!Std6dot1 = "", "E", 'IWP05'!Std6dot1))</f>
        <v/>
      </c>
    </row>
    <row r="306" spans="1:10" ht="16.5" thickTop="1" thickBot="1">
      <c r="A306" s="256"/>
      <c r="B306" s="257"/>
      <c r="C306" s="257"/>
      <c r="D306" s="257"/>
      <c r="E306" s="258"/>
      <c r="F306" s="42">
        <v>6</v>
      </c>
      <c r="G306" s="42">
        <v>7</v>
      </c>
      <c r="H306" s="42">
        <v>8</v>
      </c>
      <c r="I306" s="42">
        <v>9</v>
      </c>
      <c r="J306" s="42">
        <v>10</v>
      </c>
    </row>
    <row r="307" spans="1:10" ht="16.5" customHeight="1" thickTop="1" thickBot="1">
      <c r="A307" s="256"/>
      <c r="B307" s="257"/>
      <c r="C307" s="257"/>
      <c r="D307" s="257"/>
      <c r="E307" s="258"/>
      <c r="F307" s="11" t="str">
        <f ca="1">IF('IWP06'!ContractNumber = "", "", IF('IWP06'!Std6dot1 = "", "E", 'IWP06'!Std6dot1))</f>
        <v/>
      </c>
      <c r="G307" s="11" t="str">
        <f ca="1">IF('IWP07'!ContractNumber = "", "", IF('IWP07'!Std6dot1 = "", "E", 'IWP07'!Std6dot1))</f>
        <v/>
      </c>
      <c r="H307" s="11" t="str">
        <f ca="1">IF('IWP08'!ContractNumber = "", "", IF('IWP08'!Std6dot1 = "", "E", 'IWP08'!Std6dot1))</f>
        <v/>
      </c>
      <c r="I307" s="11" t="str">
        <f ca="1">IF('IWP09'!ContractNumber = "", "", IF('IWP09'!Std6dot1 = "", "E", 'IWP09'!Std6dot1))</f>
        <v/>
      </c>
      <c r="J307" s="11" t="str">
        <f ca="1">IF('IWP10'!ContractNumber = "", "", IF('IWP10'!Std6dot1 = "", "E", 'IWP10'!Std6dot1))</f>
        <v/>
      </c>
    </row>
    <row r="308" spans="1:10" ht="16.5" customHeight="1" thickTop="1" thickBot="1">
      <c r="A308" s="256"/>
      <c r="B308" s="257"/>
      <c r="C308" s="257"/>
      <c r="D308" s="257"/>
      <c r="E308" s="258"/>
      <c r="F308" s="42">
        <v>11</v>
      </c>
      <c r="G308" s="42">
        <v>12</v>
      </c>
      <c r="H308" s="42">
        <v>13</v>
      </c>
      <c r="I308" s="42">
        <v>14</v>
      </c>
      <c r="J308" s="42">
        <v>15</v>
      </c>
    </row>
    <row r="309" spans="1:10" ht="17.25" customHeight="1" thickTop="1" thickBot="1">
      <c r="A309" s="239" t="s">
        <v>702</v>
      </c>
      <c r="B309" s="237"/>
      <c r="C309" s="237"/>
      <c r="D309" s="237"/>
      <c r="E309" s="238"/>
      <c r="F309" s="11" t="str">
        <f ca="1">IF('IWP11'!ContractNumber = "", "", IF('IWP11'!Std6dot1 = "", "E", 'IWP11'!Std6dot1))</f>
        <v/>
      </c>
      <c r="G309" s="11" t="str">
        <f ca="1">IF('IWP12'!ContractNumber = "", "", IF('IWP12'!Std6dot1 = "", "E", 'IWP12'!Std6dot1))</f>
        <v/>
      </c>
      <c r="H309" s="11" t="str">
        <f ca="1">IF('IWP13'!ContractNumber = "", "", IF('IWP13'!Std6dot1 = "", "E", 'IWP13'!Std6dot1))</f>
        <v/>
      </c>
      <c r="I309" s="11" t="str">
        <f ca="1">IF('IWP14'!ContractNumber = "", "", IF('IWP14'!Std6dot1 = "", "E", 'IWP14'!Std6dot1))</f>
        <v/>
      </c>
      <c r="J309" s="11" t="str">
        <f ca="1">IF('IWP15'!ContractNumber = "", "", IF('IWP15'!Std6dot1 = "", "E", 'IWP15'!Std6dot1))</f>
        <v/>
      </c>
    </row>
    <row r="310" spans="1:10" ht="17.25" customHeight="1" thickTop="1" thickBot="1">
      <c r="A310" s="239"/>
      <c r="B310" s="237"/>
      <c r="C310" s="237"/>
      <c r="D310" s="237"/>
      <c r="E310" s="238"/>
      <c r="F310" s="42">
        <v>16</v>
      </c>
      <c r="G310" s="42">
        <v>17</v>
      </c>
      <c r="H310" s="42">
        <v>18</v>
      </c>
      <c r="I310" s="42">
        <v>19</v>
      </c>
      <c r="J310" s="42">
        <v>20</v>
      </c>
    </row>
    <row r="311" spans="1:10" ht="17.25" customHeight="1" thickTop="1" thickBot="1">
      <c r="A311" s="239"/>
      <c r="B311" s="237"/>
      <c r="C311" s="237"/>
      <c r="D311" s="237"/>
      <c r="E311" s="238"/>
      <c r="F311" s="11" t="str">
        <f ca="1">IF('IWP16'!ContractNumber = "", "", IF('IWP16'!Std6dot1 = "", "E", 'IWP16'!Std6dot1))</f>
        <v/>
      </c>
      <c r="G311" s="11" t="str">
        <f ca="1">IF('IWP17'!ContractNumber = "", "", IF('IWP17'!Std6dot1 = "", "E", 'IWP17'!Std6dot1))</f>
        <v/>
      </c>
      <c r="H311" s="11" t="str">
        <f ca="1">IF('IWP18'!ContractNumber = "", "", IF('IWP18'!Std6dot1 = "", "E", 'IWP18'!Std6dot1))</f>
        <v/>
      </c>
      <c r="I311" s="11" t="str">
        <f ca="1">IF('IWP19'!ContractNumber = "", "", IF('IWP19'!Std6dot1 = "", "E", 'IWP19'!Std6dot1))</f>
        <v/>
      </c>
      <c r="J311" s="11" t="str">
        <f ca="1">IF('IWP20'!ContractNumber = "", "", IF('IWP20'!Std6dot1 = "", "E", 'IWP20'!Std6dot1))</f>
        <v/>
      </c>
    </row>
    <row r="312" spans="1:10" ht="17.25" customHeight="1" thickTop="1" thickBot="1">
      <c r="A312" s="239"/>
      <c r="B312" s="237"/>
      <c r="C312" s="237"/>
      <c r="D312" s="237"/>
      <c r="E312" s="238"/>
      <c r="F312" s="42">
        <v>21</v>
      </c>
      <c r="G312" s="42">
        <v>22</v>
      </c>
      <c r="H312" s="42">
        <v>23</v>
      </c>
      <c r="I312" s="42">
        <v>24</v>
      </c>
      <c r="J312" s="42">
        <v>25</v>
      </c>
    </row>
    <row r="313" spans="1:10" ht="17.25" customHeight="1" thickTop="1" thickBot="1">
      <c r="A313" s="239"/>
      <c r="B313" s="237"/>
      <c r="C313" s="237"/>
      <c r="D313" s="237"/>
      <c r="E313" s="238"/>
      <c r="F313" s="11" t="str">
        <f ca="1">IF('IWP21'!ContractNumber = "", "", IF('IWP21'!Std6dot1 = "", "E", 'IWP21'!Std6dot1))</f>
        <v/>
      </c>
      <c r="G313" s="11" t="str">
        <f ca="1">IF('IWP22'!ContractNumber = "", "", IF('IWP22'!Std6dot1 = "", "E", 'IWP22'!Std6dot1))</f>
        <v/>
      </c>
      <c r="H313" s="11" t="str">
        <f ca="1">IF('IWP23'!ContractNumber = "", "", IF('IWP23'!Std6dot1 = "", "E", 'IWP23'!Std6dot1))</f>
        <v/>
      </c>
      <c r="I313" s="11" t="str">
        <f ca="1">IF('IWP24'!ContractNumber = "", "", IF('IWP24'!Std6dot1 = "", "E", 'IWP24'!Std6dot1))</f>
        <v/>
      </c>
      <c r="J313" s="11" t="str">
        <f ca="1">IF('IWP25'!ContractNumber = "", "", IF('IWP25'!Std6dot1 = "", "E", 'IWP25'!Std6dot1))</f>
        <v/>
      </c>
    </row>
    <row r="314" spans="1:10" ht="17.25" customHeight="1" thickTop="1" thickBot="1">
      <c r="A314" s="239"/>
      <c r="B314" s="237"/>
      <c r="C314" s="237"/>
      <c r="D314" s="237"/>
      <c r="E314" s="238"/>
      <c r="F314" s="42">
        <v>26</v>
      </c>
      <c r="G314" s="42">
        <v>27</v>
      </c>
      <c r="H314" s="42">
        <v>28</v>
      </c>
      <c r="I314" s="42">
        <v>29</v>
      </c>
      <c r="J314" s="42">
        <v>30</v>
      </c>
    </row>
    <row r="315" spans="1:10" ht="17.25" customHeight="1" thickTop="1" thickBot="1">
      <c r="A315" s="240"/>
      <c r="B315" s="241"/>
      <c r="C315" s="241"/>
      <c r="D315" s="241"/>
      <c r="E315" s="242"/>
      <c r="F315" s="11" t="str">
        <f ca="1">IF('IWP26'!ContractNumber = "", "", IF('IWP26'!Std6dot1 = "", "E", 'IWP26'!Std6dot1))</f>
        <v/>
      </c>
      <c r="G315" s="11" t="str">
        <f ca="1">IF('IWP27'!ContractNumber = "", "", IF('IWP27'!Std6dot1 = "", "E", 'IWP27'!Std6dot1))</f>
        <v/>
      </c>
      <c r="H315" s="11" t="str">
        <f ca="1">IF('IWP28'!ContractNumber = "", "", IF('IWP28'!Std6dot1 = "", "E", 'IWP28'!Std6dot1))</f>
        <v/>
      </c>
      <c r="I315" s="11" t="str">
        <f ca="1">IF('IWP29'!ContractNumber = "", "", IF('IWP29'!Std6dot1 = "", "E", 'IWP29'!Std6dot1))</f>
        <v/>
      </c>
      <c r="J315" s="11" t="str">
        <f ca="1">IF('IWP30'!ContractNumber = "", "", IF('IWP30'!Std6dot1 = "", "E", 'IWP30'!Std6dot1))</f>
        <v/>
      </c>
    </row>
    <row r="316" spans="1:10" ht="17.25" customHeight="1" thickTop="1" thickBot="1">
      <c r="A316" s="247" t="s">
        <v>12</v>
      </c>
      <c r="B316" s="249"/>
      <c r="C316" s="249"/>
      <c r="D316" s="249"/>
      <c r="E316" s="249"/>
      <c r="F316" s="250"/>
      <c r="G316" s="243" t="s">
        <v>13</v>
      </c>
      <c r="H316" s="244"/>
      <c r="I316" s="243" t="s">
        <v>14</v>
      </c>
      <c r="J316" s="244"/>
    </row>
    <row r="317" spans="1:10" ht="17.25" customHeight="1" thickTop="1" thickBot="1">
      <c r="A317" s="248"/>
      <c r="B317" s="251"/>
      <c r="C317" s="251"/>
      <c r="D317" s="251"/>
      <c r="E317" s="251"/>
      <c r="F317" s="252"/>
      <c r="G317" s="245">
        <f ca="1">COUNTIF(F305:J315, "Y")</f>
        <v>0</v>
      </c>
      <c r="H317" s="246"/>
      <c r="I317" s="245">
        <f ca="1">COUNTIF(F305:J315, "N")</f>
        <v>0</v>
      </c>
      <c r="J317" s="246"/>
    </row>
    <row r="318" spans="1:10" ht="16" thickTop="1">
      <c r="I318" s="1" t="s">
        <v>131</v>
      </c>
    </row>
  </sheetData>
  <sheetProtection algorithmName="SHA-512" hashValue="TR/DUPjna1nN/9+dB3WDrMN1GLPihTJy8jBMoKFdE4954UoUOFPPNziKLaU+D9Pd72TgJkOrSAcHCsRe7ekUPQ==" saltValue="M7smV0vkKj0T4wnWSiuIVw==" spinCount="100000" sheet="1" selectLockedCells="1"/>
  <customSheetViews>
    <customSheetView guid="{FA063EB1-52B3-49D8-83D1-441968C7020F}">
      <selection activeCell="J9" sqref="J9:J13"/>
      <rowBreaks count="6" manualBreakCount="6">
        <brk id="29" max="16383" man="1"/>
        <brk id="65" max="16383" man="1"/>
        <brk id="111" max="16383" man="1"/>
        <brk id="145" max="16383" man="1"/>
        <brk id="183" max="16383" man="1"/>
        <brk id="213" max="16383" man="1"/>
      </rowBreaks>
      <pageMargins left="0.5" right="0.5" top="0.75" bottom="0.75" header="0.25" footer="0.25"/>
      <printOptions horizontalCentered="1"/>
      <pageSetup scale="86" fitToHeight="14" orientation="portrait" r:id="rId1"/>
      <headerFooter>
        <oddHeader>&amp;L&amp;"Arial,Regular"&amp;8Texas Health and Human Services Commission&amp;C&amp;"Arial,Bold"&amp;12DAY ACTIVITY AND HEALTH SERVICES (DAHS)
MONITORING WORKBOOK&amp;R&amp;"Arial,Regular"&amp;8Page &amp;P</oddHeader>
      </headerFooter>
    </customSheetView>
  </customSheetViews>
  <mergeCells count="312">
    <mergeCell ref="A291:E297"/>
    <mergeCell ref="A298:A299"/>
    <mergeCell ref="B298:F299"/>
    <mergeCell ref="G298:H298"/>
    <mergeCell ref="I298:J298"/>
    <mergeCell ref="G299:H299"/>
    <mergeCell ref="I299:J299"/>
    <mergeCell ref="A272:E276"/>
    <mergeCell ref="A277:E283"/>
    <mergeCell ref="A284:A285"/>
    <mergeCell ref="B284:F285"/>
    <mergeCell ref="G284:H284"/>
    <mergeCell ref="I284:J284"/>
    <mergeCell ref="G285:H285"/>
    <mergeCell ref="I285:J285"/>
    <mergeCell ref="A286:E290"/>
    <mergeCell ref="J37:J44"/>
    <mergeCell ref="A37:I37"/>
    <mergeCell ref="A36:I36"/>
    <mergeCell ref="A38:I38"/>
    <mergeCell ref="A39:I39"/>
    <mergeCell ref="A40:I40"/>
    <mergeCell ref="A41:I41"/>
    <mergeCell ref="A43:I43"/>
    <mergeCell ref="A44:I44"/>
    <mergeCell ref="A15:I15"/>
    <mergeCell ref="J15:J21"/>
    <mergeCell ref="A16:I16"/>
    <mergeCell ref="A17:I17"/>
    <mergeCell ref="A31:I31"/>
    <mergeCell ref="J31:J35"/>
    <mergeCell ref="A32:I32"/>
    <mergeCell ref="A34:I34"/>
    <mergeCell ref="A35:I35"/>
    <mergeCell ref="A33:I33"/>
    <mergeCell ref="A29:I29"/>
    <mergeCell ref="A23:I24"/>
    <mergeCell ref="A25:I26"/>
    <mergeCell ref="A27:I28"/>
    <mergeCell ref="A22:I22"/>
    <mergeCell ref="J23:J29"/>
    <mergeCell ref="A18:I18"/>
    <mergeCell ref="A19:I19"/>
    <mergeCell ref="A20:I20"/>
    <mergeCell ref="A21:I21"/>
    <mergeCell ref="A30:I30"/>
    <mergeCell ref="A168:A169"/>
    <mergeCell ref="B168:F169"/>
    <mergeCell ref="G168:H168"/>
    <mergeCell ref="I168:J168"/>
    <mergeCell ref="G169:H169"/>
    <mergeCell ref="I169:J169"/>
    <mergeCell ref="G197:H197"/>
    <mergeCell ref="I197:J197"/>
    <mergeCell ref="A198:E202"/>
    <mergeCell ref="G196:H196"/>
    <mergeCell ref="I196:J196"/>
    <mergeCell ref="G182:H182"/>
    <mergeCell ref="G152:H152"/>
    <mergeCell ref="I152:J152"/>
    <mergeCell ref="A153:F153"/>
    <mergeCell ref="G153:H153"/>
    <mergeCell ref="I153:J153"/>
    <mergeCell ref="I3:J3"/>
    <mergeCell ref="B116:H116"/>
    <mergeCell ref="A3:B3"/>
    <mergeCell ref="C3:D3"/>
    <mergeCell ref="C4:D4"/>
    <mergeCell ref="C5:D5"/>
    <mergeCell ref="E3:F3"/>
    <mergeCell ref="E4:F4"/>
    <mergeCell ref="E5:F5"/>
    <mergeCell ref="A151:I151"/>
    <mergeCell ref="A136:C136"/>
    <mergeCell ref="D136:F136"/>
    <mergeCell ref="G136:H136"/>
    <mergeCell ref="I136:J136"/>
    <mergeCell ref="A137:C137"/>
    <mergeCell ref="D137:F137"/>
    <mergeCell ref="G137:H137"/>
    <mergeCell ref="I137:J137"/>
    <mergeCell ref="A42:I42"/>
    <mergeCell ref="A156:E160"/>
    <mergeCell ref="A161:E167"/>
    <mergeCell ref="A154:J154"/>
    <mergeCell ref="A155:J155"/>
    <mergeCell ref="I116:J116"/>
    <mergeCell ref="A113:A116"/>
    <mergeCell ref="I113:J115"/>
    <mergeCell ref="B145:J145"/>
    <mergeCell ref="A146:I146"/>
    <mergeCell ref="A147:I147"/>
    <mergeCell ref="A148:I148"/>
    <mergeCell ref="A149:I149"/>
    <mergeCell ref="A139:C139"/>
    <mergeCell ref="D139:F139"/>
    <mergeCell ref="G139:H139"/>
    <mergeCell ref="I139:J139"/>
    <mergeCell ref="A140:J140"/>
    <mergeCell ref="A141:J141"/>
    <mergeCell ref="A142:J142"/>
    <mergeCell ref="A143:J143"/>
    <mergeCell ref="A144:J144"/>
    <mergeCell ref="J147:J151"/>
    <mergeCell ref="A150:I150"/>
    <mergeCell ref="B152:F152"/>
    <mergeCell ref="A138:C138"/>
    <mergeCell ref="D138:F138"/>
    <mergeCell ref="G138:H138"/>
    <mergeCell ref="I138:J138"/>
    <mergeCell ref="A133:C133"/>
    <mergeCell ref="D133:F133"/>
    <mergeCell ref="G133:H133"/>
    <mergeCell ref="I133:J133"/>
    <mergeCell ref="A134:C134"/>
    <mergeCell ref="D134:F134"/>
    <mergeCell ref="G134:H134"/>
    <mergeCell ref="I134:J134"/>
    <mergeCell ref="A135:C135"/>
    <mergeCell ref="D135:F135"/>
    <mergeCell ref="G135:H135"/>
    <mergeCell ref="I135:J135"/>
    <mergeCell ref="D130:F130"/>
    <mergeCell ref="G130:H130"/>
    <mergeCell ref="I130:J130"/>
    <mergeCell ref="I125:J126"/>
    <mergeCell ref="A131:C131"/>
    <mergeCell ref="D131:F131"/>
    <mergeCell ref="G131:H131"/>
    <mergeCell ref="I131:J131"/>
    <mergeCell ref="A132:C132"/>
    <mergeCell ref="D132:F132"/>
    <mergeCell ref="G132:H132"/>
    <mergeCell ref="I132:J132"/>
    <mergeCell ref="A129:C129"/>
    <mergeCell ref="D129:F129"/>
    <mergeCell ref="G129:H129"/>
    <mergeCell ref="I129:J129"/>
    <mergeCell ref="A130:C130"/>
    <mergeCell ref="B124:J124"/>
    <mergeCell ref="A125:H125"/>
    <mergeCell ref="A126:H126"/>
    <mergeCell ref="G127:J127"/>
    <mergeCell ref="G128:H128"/>
    <mergeCell ref="I128:J128"/>
    <mergeCell ref="D127:F128"/>
    <mergeCell ref="A127:C128"/>
    <mergeCell ref="I118:J118"/>
    <mergeCell ref="A118:H118"/>
    <mergeCell ref="A119:J119"/>
    <mergeCell ref="A120:J120"/>
    <mergeCell ref="A121:J121"/>
    <mergeCell ref="A122:J122"/>
    <mergeCell ref="A123:J123"/>
    <mergeCell ref="A94:A95"/>
    <mergeCell ref="I111:J111"/>
    <mergeCell ref="B94:F95"/>
    <mergeCell ref="I81:J81"/>
    <mergeCell ref="A112:J112"/>
    <mergeCell ref="G110:H110"/>
    <mergeCell ref="I110:J110"/>
    <mergeCell ref="G111:H111"/>
    <mergeCell ref="A110:F111"/>
    <mergeCell ref="G94:H94"/>
    <mergeCell ref="I94:J94"/>
    <mergeCell ref="G95:H95"/>
    <mergeCell ref="A47:I47"/>
    <mergeCell ref="J46:J47"/>
    <mergeCell ref="B64:F64"/>
    <mergeCell ref="G64:H64"/>
    <mergeCell ref="I64:J64"/>
    <mergeCell ref="A63:I63"/>
    <mergeCell ref="A108:A109"/>
    <mergeCell ref="B108:F109"/>
    <mergeCell ref="G108:H108"/>
    <mergeCell ref="I108:J108"/>
    <mergeCell ref="G109:H109"/>
    <mergeCell ref="I109:J109"/>
    <mergeCell ref="A68:E76"/>
    <mergeCell ref="A87:E93"/>
    <mergeCell ref="A82:E86"/>
    <mergeCell ref="A96:E103"/>
    <mergeCell ref="A104:E107"/>
    <mergeCell ref="A65:F65"/>
    <mergeCell ref="G65:H65"/>
    <mergeCell ref="A56:I56"/>
    <mergeCell ref="A46:I46"/>
    <mergeCell ref="A57:C57"/>
    <mergeCell ref="A58:C58"/>
    <mergeCell ref="A59:C59"/>
    <mergeCell ref="I65:J65"/>
    <mergeCell ref="B115:H115"/>
    <mergeCell ref="A48:I48"/>
    <mergeCell ref="A49:I49"/>
    <mergeCell ref="J49:J53"/>
    <mergeCell ref="A50:I50"/>
    <mergeCell ref="A51:I51"/>
    <mergeCell ref="A60:J60"/>
    <mergeCell ref="A61:J61"/>
    <mergeCell ref="J54:J55"/>
    <mergeCell ref="A55:I55"/>
    <mergeCell ref="A52:I52"/>
    <mergeCell ref="A53:I53"/>
    <mergeCell ref="A54:I54"/>
    <mergeCell ref="B113:H113"/>
    <mergeCell ref="A66:J66"/>
    <mergeCell ref="A67:J67"/>
    <mergeCell ref="A77:E79"/>
    <mergeCell ref="A80:A81"/>
    <mergeCell ref="B80:F81"/>
    <mergeCell ref="G80:H80"/>
    <mergeCell ref="I80:J80"/>
    <mergeCell ref="G81:H81"/>
    <mergeCell ref="I95:J95"/>
    <mergeCell ref="I242:J242"/>
    <mergeCell ref="G243:H243"/>
    <mergeCell ref="I243:J243"/>
    <mergeCell ref="A244:E248"/>
    <mergeCell ref="G211:H211"/>
    <mergeCell ref="B196:F197"/>
    <mergeCell ref="I210:J210"/>
    <mergeCell ref="I229:J229"/>
    <mergeCell ref="A230:E234"/>
    <mergeCell ref="I211:J211"/>
    <mergeCell ref="A212:F213"/>
    <mergeCell ref="G212:H212"/>
    <mergeCell ref="I212:J212"/>
    <mergeCell ref="G213:H213"/>
    <mergeCell ref="I213:J213"/>
    <mergeCell ref="A203:E209"/>
    <mergeCell ref="A210:A211"/>
    <mergeCell ref="B210:F211"/>
    <mergeCell ref="G210:H210"/>
    <mergeCell ref="A1:D1"/>
    <mergeCell ref="A2:D2"/>
    <mergeCell ref="E1:F1"/>
    <mergeCell ref="E2:F2"/>
    <mergeCell ref="G1:H1"/>
    <mergeCell ref="G2:H2"/>
    <mergeCell ref="I1:J1"/>
    <mergeCell ref="I2:J2"/>
    <mergeCell ref="A14:I14"/>
    <mergeCell ref="A6:J6"/>
    <mergeCell ref="A11:I11"/>
    <mergeCell ref="A12:I12"/>
    <mergeCell ref="A9:I9"/>
    <mergeCell ref="A10:I10"/>
    <mergeCell ref="J9:J13"/>
    <mergeCell ref="A7:J7"/>
    <mergeCell ref="A8:I8"/>
    <mergeCell ref="A13:I13"/>
    <mergeCell ref="G5:H5"/>
    <mergeCell ref="A309:E315"/>
    <mergeCell ref="A316:A317"/>
    <mergeCell ref="B316:F317"/>
    <mergeCell ref="G316:H316"/>
    <mergeCell ref="I316:J316"/>
    <mergeCell ref="G317:H317"/>
    <mergeCell ref="I317:J317"/>
    <mergeCell ref="G300:H300"/>
    <mergeCell ref="I300:J300"/>
    <mergeCell ref="G301:H301"/>
    <mergeCell ref="I301:J301"/>
    <mergeCell ref="A302:J302"/>
    <mergeCell ref="A45:I45"/>
    <mergeCell ref="G3:H3"/>
    <mergeCell ref="G4:H4"/>
    <mergeCell ref="I182:J182"/>
    <mergeCell ref="A303:J303"/>
    <mergeCell ref="A304:E308"/>
    <mergeCell ref="A300:F301"/>
    <mergeCell ref="G183:H183"/>
    <mergeCell ref="I183:J183"/>
    <mergeCell ref="A184:E188"/>
    <mergeCell ref="A189:E195"/>
    <mergeCell ref="A196:A197"/>
    <mergeCell ref="A62:I62"/>
    <mergeCell ref="A249:E255"/>
    <mergeCell ref="A256:A257"/>
    <mergeCell ref="B256:F257"/>
    <mergeCell ref="G256:H256"/>
    <mergeCell ref="A235:E241"/>
    <mergeCell ref="A242:A243"/>
    <mergeCell ref="B242:F243"/>
    <mergeCell ref="G242:H242"/>
    <mergeCell ref="B114:H114"/>
    <mergeCell ref="B117:H117"/>
    <mergeCell ref="I117:J117"/>
    <mergeCell ref="A263:E269"/>
    <mergeCell ref="G270:H270"/>
    <mergeCell ref="I270:J270"/>
    <mergeCell ref="G271:H271"/>
    <mergeCell ref="I271:J271"/>
    <mergeCell ref="A270:A271"/>
    <mergeCell ref="B270:F271"/>
    <mergeCell ref="A258:E262"/>
    <mergeCell ref="A170:E174"/>
    <mergeCell ref="A175:E181"/>
    <mergeCell ref="A182:A183"/>
    <mergeCell ref="B182:F183"/>
    <mergeCell ref="A214:J214"/>
    <mergeCell ref="A215:J215"/>
    <mergeCell ref="A216:E220"/>
    <mergeCell ref="A221:E227"/>
    <mergeCell ref="A228:A229"/>
    <mergeCell ref="B228:F229"/>
    <mergeCell ref="G228:H228"/>
    <mergeCell ref="I228:J228"/>
    <mergeCell ref="G229:H229"/>
    <mergeCell ref="I256:J256"/>
    <mergeCell ref="G257:H257"/>
    <mergeCell ref="I257:J257"/>
  </mergeCells>
  <conditionalFormatting sqref="F69:J69 F71:J71 F73:J73 F75:J75 F77:J77 F79:J79">
    <cfRule type="cellIs" dxfId="14" priority="46" operator="equal">
      <formula>"E"</formula>
    </cfRule>
  </conditionalFormatting>
  <conditionalFormatting sqref="F83:J83 F85:J85 F87:J87 F89:J89 F91:J91 F93:J93">
    <cfRule type="cellIs" dxfId="13" priority="26" operator="equal">
      <formula>"E"</formula>
    </cfRule>
  </conditionalFormatting>
  <conditionalFormatting sqref="F97:J97 F99:J99 F101:J101 F103:J103 F105:J105 F107:J107">
    <cfRule type="cellIs" dxfId="12" priority="6" operator="equal">
      <formula>"E"</formula>
    </cfRule>
  </conditionalFormatting>
  <conditionalFormatting sqref="F157:J157 F159:J159 F161:J161 F163:J163 F165:J165 F167:J167">
    <cfRule type="cellIs" dxfId="11" priority="44" operator="equal">
      <formula>"E"</formula>
    </cfRule>
  </conditionalFormatting>
  <conditionalFormatting sqref="F171:J171 F173:J173 F175:J175 F177:J177 F179:J179 F181:J181">
    <cfRule type="cellIs" dxfId="10" priority="17" operator="equal">
      <formula>"E"</formula>
    </cfRule>
  </conditionalFormatting>
  <conditionalFormatting sqref="F185:J185 F187:J187 F189:J189 F191:J191 F193:J193 F195:J195">
    <cfRule type="cellIs" dxfId="9" priority="13" operator="equal">
      <formula>"E"</formula>
    </cfRule>
  </conditionalFormatting>
  <conditionalFormatting sqref="F199:J199 F201:J201 F203:J203 F205:J205 F207:J207 F209:J209">
    <cfRule type="cellIs" dxfId="8" priority="12" operator="equal">
      <formula>"E"</formula>
    </cfRule>
  </conditionalFormatting>
  <conditionalFormatting sqref="F217:J217 F219:J219 F221:J221 F223:J223 F225:J225 F227:J227">
    <cfRule type="cellIs" dxfId="7" priority="11" operator="equal">
      <formula>"E"</formula>
    </cfRule>
  </conditionalFormatting>
  <conditionalFormatting sqref="F231:J231 F233:J233 F235:J235 F237:J237 F239:J239 F241:J241">
    <cfRule type="cellIs" dxfId="6" priority="10" operator="equal">
      <formula>"E"</formula>
    </cfRule>
  </conditionalFormatting>
  <conditionalFormatting sqref="F245:J245 F247:J247 F249:J249 F251:J251 F253:J253 F255:J255">
    <cfRule type="cellIs" dxfId="5" priority="9" operator="equal">
      <formula>"E"</formula>
    </cfRule>
  </conditionalFormatting>
  <conditionalFormatting sqref="F259:J259 F261:J261 F263:J263 F265:J265 F267:J267 F269:J269">
    <cfRule type="cellIs" dxfId="4" priority="8" operator="equal">
      <formula>"E"</formula>
    </cfRule>
  </conditionalFormatting>
  <conditionalFormatting sqref="F273:J273 F275:J275 F277:J277 F279:J279 F281:J281 F283:J283">
    <cfRule type="cellIs" dxfId="3" priority="2" operator="equal">
      <formula>"E"</formula>
    </cfRule>
  </conditionalFormatting>
  <conditionalFormatting sqref="F287:J287 F289:J289 F291:J291 F293:J293 F295:J295 F297:J297">
    <cfRule type="cellIs" dxfId="2" priority="1" operator="equal">
      <formula>"E"</formula>
    </cfRule>
  </conditionalFormatting>
  <conditionalFormatting sqref="F305:J305 F307:J307 F309:J309 F311:J311 F313:J313 F315:J315">
    <cfRule type="cellIs" dxfId="1" priority="7" operator="equal">
      <formula>"E"</formula>
    </cfRule>
  </conditionalFormatting>
  <dataValidations count="15">
    <dataValidation type="textLength" operator="lessThanOrEqual" allowBlank="1" showInputMessage="1" showErrorMessage="1" sqref="B64:F64 B94 B152:F152 B80 B168 B182 B196 B210 B228 B242 B256 B270 B316 B108 B284 B298" xr:uid="{00000000-0002-0000-0100-000000000000}">
      <formula1>1024</formula1>
    </dataValidation>
    <dataValidation type="list" showInputMessage="1" showErrorMessage="1" sqref="J147 J23 J46:J47 J49 I118" xr:uid="{00000000-0002-0000-0100-000001000000}">
      <formula1>"Y,N,NA"</formula1>
    </dataValidation>
    <dataValidation type="list" allowBlank="1" showInputMessage="1" showErrorMessage="1" sqref="E2" xr:uid="{00000000-0002-0000-0100-000002000000}">
      <formula1>"FULL,TARGETED"</formula1>
    </dataValidation>
    <dataValidation type="whole" allowBlank="1" showInputMessage="1" showErrorMessage="1" sqref="J56 D58:J58" xr:uid="{00000000-0002-0000-0100-000003000000}">
      <formula1>1</formula1>
      <formula2>9999</formula2>
    </dataValidation>
    <dataValidation type="list" allowBlank="1" showInputMessage="1" showErrorMessage="1" sqref="J37 G130:J139 I116:J116" xr:uid="{00000000-0002-0000-0100-000004000000}">
      <formula1>"Y,N"</formula1>
    </dataValidation>
    <dataValidation type="list" allowBlank="1" showInputMessage="1" showErrorMessage="1" sqref="D130:F139" xr:uid="{00000000-0002-0000-0100-000005000000}">
      <formula1>"Class C - Type 1 vehicles,Class C - Type 2 vehicles, Class C CDL - Type 3 vehicles, Class B CDL - Type 4 vehicles"</formula1>
    </dataValidation>
    <dataValidation type="textLength" operator="equal" allowBlank="1" showInputMessage="1" showErrorMessage="1" errorTitle="Contract Number Length" error="Contract number must be 9 digits including leading zeros." sqref="I2:J2" xr:uid="{00000000-0002-0000-0100-000006000000}">
      <formula1>9</formula1>
    </dataValidation>
    <dataValidation type="textLength" operator="lessThanOrEqual" showInputMessage="1" showErrorMessage="1" sqref="A2:D2 B4:B5" xr:uid="{00000000-0002-0000-0100-000007000000}">
      <formula1>255</formula1>
    </dataValidation>
    <dataValidation type="date" operator="greaterThanOrEqual" allowBlank="1" showInputMessage="1" showErrorMessage="1" sqref="C5" xr:uid="{00000000-0002-0000-0100-000008000000}">
      <formula1>1</formula1>
    </dataValidation>
    <dataValidation type="list" showInputMessage="1" showErrorMessage="1" sqref="G2:H2" xr:uid="{00000000-0002-0000-0100-000009000000}">
      <formula1>"PROVISIONAL-FORMAL,PROVISIONAL-INTERMITTENT,STANDARD-FORMAL,STANDARD-INTERMITTENT,ENHANCED-FORMAL,ENHANCED-INTERMITTENT,ADMINISTRATIVE,COMPLAINT,CLOSE OUT"</formula1>
    </dataValidation>
    <dataValidation type="date" operator="greaterThanOrEqual" allowBlank="1" showInputMessage="1" showErrorMessage="1" errorTitle="Date Error" error="End date cannot be earlier than begin date." sqref="E5" xr:uid="{00000000-0002-0000-0100-00000A000000}">
      <formula1>C5</formula1>
    </dataValidation>
    <dataValidation type="list" showInputMessage="1" showErrorMessage="1" sqref="J31:J35 J15:J21" xr:uid="{00000000-0002-0000-0100-00000B000000}">
      <formula1>"Y,N"</formula1>
    </dataValidation>
    <dataValidation type="date" operator="greaterThanOrEqual" allowBlank="1" showInputMessage="1" showErrorMessage="1" errorTitle="Date Error" error="Date of Exit (Revised) must be greater than Date of Exit (Last Day On-Site)" sqref="G5:H5" xr:uid="{00000000-0002-0000-0100-00000C000000}">
      <formula1>E5</formula1>
    </dataValidation>
    <dataValidation type="list" allowBlank="1" showInputMessage="1" showErrorMessage="1" sqref="J63 J9:J13" xr:uid="{00000000-0002-0000-0100-00000D000000}">
      <formula1>"Y,N,NA"</formula1>
    </dataValidation>
    <dataValidation type="list" allowBlank="1" showInputMessage="1" showErrorMessage="1" sqref="I117:J117" xr:uid="{00000000-0002-0000-0100-00000E000000}">
      <formula1>"FACILITY PROVIDES,SUBCONTRACTS,BOTH"</formula1>
    </dataValidation>
  </dataValidations>
  <printOptions horizontalCentered="1"/>
  <pageMargins left="0.5" right="0.5" top="0.75" bottom="0.75" header="0.25" footer="0.25"/>
  <pageSetup scale="86" fitToHeight="14" orientation="portrait" r:id="rId2"/>
  <headerFooter>
    <oddHeader>&amp;L&amp;"Arial,Regular"&amp;8Texas Health and Human Services Commission&amp;C&amp;"Arial,Bold"&amp;12DAY ACTIVITY AND HEALTH SERVICES (DAHS)
MONITORING WORKBOOK&amp;R&amp;"Arial,Regular"&amp;8Page &amp;P</oddHeader>
  </headerFooter>
  <rowBreaks count="6" manualBreakCount="6">
    <brk id="29" max="16383" man="1"/>
    <brk id="65" max="16383" man="1"/>
    <brk id="111" max="16383" man="1"/>
    <brk id="145" max="16383" man="1"/>
    <brk id="183" max="16383" man="1"/>
    <brk id="21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18</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ZgZG78QfEMhfQyNyNuoU3mc7Dhsmf8CFqT3c5ha4lzWtTPVTWp7WyZrTBQC+uCZ4OKjQ5zhBWnqmniOsd8dYUg==" saltValue="4tECB3wlhcsIPOf6O3fwj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300-000000000000}">
      <formula1>I6</formula1>
    </dataValidation>
    <dataValidation type="date" operator="greaterThanOrEqual" allowBlank="1" showInputMessage="1" showErrorMessage="1" errorTitle="Date Error" error="End date must be later than begin date." sqref="C81:C86 C90:C95" xr:uid="{00000000-0002-0000-1300-000001000000}">
      <formula1>B81</formula1>
    </dataValidation>
    <dataValidation type="list" allowBlank="1" showInputMessage="1" showErrorMessage="1" sqref="I12 I14 I20 I23 I38:J38" xr:uid="{00000000-0002-0000-1300-000002000000}">
      <formula1>"Y,N"</formula1>
    </dataValidation>
    <dataValidation type="list" allowBlank="1" showInputMessage="1" showErrorMessage="1" sqref="D2" xr:uid="{00000000-0002-0000-1300-000003000000}">
      <formula1>"29,29A"</formula1>
    </dataValidation>
    <dataValidation type="whole" allowBlank="1" showInputMessage="1" showErrorMessage="1" sqref="A2" xr:uid="{00000000-0002-0000-1300-000004000000}">
      <formula1>1</formula1>
      <formula2>99</formula2>
    </dataValidation>
    <dataValidation type="textLength" operator="greaterThan" allowBlank="1" showInputMessage="1" showErrorMessage="1" sqref="D3:F4" xr:uid="{00000000-0002-0000-1300-000005000000}">
      <formula1>1</formula1>
    </dataValidation>
    <dataValidation type="whole" allowBlank="1" showInputMessage="1" showErrorMessage="1" sqref="X81:X86 V90:V95 V81:V86 X90:X95" xr:uid="{00000000-0002-0000-1300-000006000000}">
      <formula1>0</formula1>
      <formula2>99</formula2>
    </dataValidation>
    <dataValidation type="whole" allowBlank="1" showInputMessage="1" showErrorMessage="1" sqref="S81:S86 S90:S95" xr:uid="{00000000-0002-0000-1300-000007000000}">
      <formula1>0</formula1>
      <formula2>14</formula2>
    </dataValidation>
    <dataValidation type="date" operator="greaterThan" allowBlank="1" showInputMessage="1" showErrorMessage="1" errorTitle="Date Error" error="Begin date must be later than previous end date." sqref="B82:B86 B91:B95" xr:uid="{00000000-0002-0000-1300-000008000000}">
      <formula1>C81</formula1>
    </dataValidation>
    <dataValidation type="decimal" operator="greaterThanOrEqual" allowBlank="1" showInputMessage="1" showErrorMessage="1" sqref="F81:F86 L90:L95 P90:P95 H81:H86 J81:J86 L81:L86 D90:D95 F90:F95 P81:P86 N81:N86 H90:H95 J90:J95 D81:D86 N90:N95" xr:uid="{00000000-0002-0000-1300-000009000000}">
      <formula1>0</formula1>
    </dataValidation>
    <dataValidation type="list" allowBlank="1" showInputMessage="1" showErrorMessage="1" sqref="I42:J42 C45 H45 I46:J46 C49 H49 I50:J50 C53 H53 I35:J35 I65 I25:J28 I54:J61" xr:uid="{00000000-0002-0000-1300-00000A000000}">
      <formula1>"Y,N,NA"</formula1>
    </dataValidation>
    <dataValidation type="date" operator="greaterThanOrEqual" allowBlank="1" showInputMessage="1" showErrorMessage="1" sqref="E45 J45 E49 J49 E53 J53 B81 B90 G4:J4 I8:J11 I6:J6 L2 J2 D6:E11" xr:uid="{00000000-0002-0000-13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19</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Ju7+7v20F5EsZG8XBNmSTW9u1xnCEBKLZWY5vtLPTFCStvNnWClxn9lWKeDPOAEznRh3ZxSKPJdi+VO6LaF0Uw==" saltValue="E0O5ki0dDXPEudnzfP0zlA=="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400-000000000000}">
      <formula1>I6</formula1>
    </dataValidation>
    <dataValidation type="date" operator="greaterThanOrEqual" allowBlank="1" showInputMessage="1" showErrorMessage="1" errorTitle="Date Error" error="End date must be later than begin date." sqref="C81:C86 C90:C95" xr:uid="{00000000-0002-0000-1400-000001000000}">
      <formula1>B81</formula1>
    </dataValidation>
    <dataValidation type="list" allowBlank="1" showInputMessage="1" showErrorMessage="1" sqref="I12 I14 I20 I23 I38:J38" xr:uid="{00000000-0002-0000-1400-000002000000}">
      <formula1>"Y,N"</formula1>
    </dataValidation>
    <dataValidation type="list" allowBlank="1" showInputMessage="1" showErrorMessage="1" sqref="D2" xr:uid="{00000000-0002-0000-1400-000003000000}">
      <formula1>"29,29A"</formula1>
    </dataValidation>
    <dataValidation type="whole" allowBlank="1" showInputMessage="1" showErrorMessage="1" sqref="A2" xr:uid="{00000000-0002-0000-1400-000004000000}">
      <formula1>1</formula1>
      <formula2>99</formula2>
    </dataValidation>
    <dataValidation type="textLength" operator="greaterThan" allowBlank="1" showInputMessage="1" showErrorMessage="1" sqref="D3:F4" xr:uid="{00000000-0002-0000-1400-000005000000}">
      <formula1>1</formula1>
    </dataValidation>
    <dataValidation type="whole" allowBlank="1" showInputMessage="1" showErrorMessage="1" sqref="X81:X86 V90:V95 V81:V86 X90:X95" xr:uid="{00000000-0002-0000-1400-000006000000}">
      <formula1>0</formula1>
      <formula2>99</formula2>
    </dataValidation>
    <dataValidation type="whole" allowBlank="1" showInputMessage="1" showErrorMessage="1" sqref="S81:S86 S90:S95" xr:uid="{00000000-0002-0000-1400-000007000000}">
      <formula1>0</formula1>
      <formula2>14</formula2>
    </dataValidation>
    <dataValidation type="date" operator="greaterThan" allowBlank="1" showInputMessage="1" showErrorMessage="1" errorTitle="Date Error" error="Begin date must be later than previous end date." sqref="B82:B86 B91:B95" xr:uid="{00000000-0002-0000-1400-000008000000}">
      <formula1>C81</formula1>
    </dataValidation>
    <dataValidation type="decimal" operator="greaterThanOrEqual" allowBlank="1" showInputMessage="1" showErrorMessage="1" sqref="F81:F86 L90:L95 P90:P95 H81:H86 J81:J86 L81:L86 D90:D95 F90:F95 P81:P86 N81:N86 H90:H95 J90:J95 D81:D86 N90:N95" xr:uid="{00000000-0002-0000-1400-000009000000}">
      <formula1>0</formula1>
    </dataValidation>
    <dataValidation type="list" allowBlank="1" showInputMessage="1" showErrorMessage="1" sqref="I42:J42 C45 H45 I46:J46 C49 H49 I50:J50 C53 H53 I35:J35 I65 I25:J28 I54:J61" xr:uid="{00000000-0002-0000-1400-00000A000000}">
      <formula1>"Y,N,NA"</formula1>
    </dataValidation>
    <dataValidation type="date" operator="greaterThanOrEqual" allowBlank="1" showInputMessage="1" showErrorMessage="1" sqref="E45 J45 E49 J49 E53 J53 B81 B90 G4:J4 I8:J11 I6:J6 L2 J2 D6:E11" xr:uid="{00000000-0002-0000-14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20</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ioOHOEcN6BPxrRCWQ/3Chs8tpX8qSRWsIureEkLilxntdG8ICY2b5uKR97w9DWKx4t6vz6aSF3xu7vag9Ip4XA==" saltValue="AerS/2RSLc/7tAhcg/weI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500-000000000000}">
      <formula1>I6</formula1>
    </dataValidation>
    <dataValidation type="date" operator="greaterThanOrEqual" allowBlank="1" showInputMessage="1" showErrorMessage="1" errorTitle="Date Error" error="End date must be later than begin date." sqref="C81:C86 C90:C95" xr:uid="{00000000-0002-0000-1500-000001000000}">
      <formula1>B81</formula1>
    </dataValidation>
    <dataValidation type="list" allowBlank="1" showInputMessage="1" showErrorMessage="1" sqref="I12 I14 I20 I23 I38:J38" xr:uid="{00000000-0002-0000-1500-000002000000}">
      <formula1>"Y,N"</formula1>
    </dataValidation>
    <dataValidation type="list" allowBlank="1" showInputMessage="1" showErrorMessage="1" sqref="D2" xr:uid="{00000000-0002-0000-1500-000003000000}">
      <formula1>"29,29A"</formula1>
    </dataValidation>
    <dataValidation type="whole" allowBlank="1" showInputMessage="1" showErrorMessage="1" sqref="A2" xr:uid="{00000000-0002-0000-1500-000004000000}">
      <formula1>1</formula1>
      <formula2>99</formula2>
    </dataValidation>
    <dataValidation type="textLength" operator="greaterThan" allowBlank="1" showInputMessage="1" showErrorMessage="1" sqref="D3:F4" xr:uid="{00000000-0002-0000-1500-000005000000}">
      <formula1>1</formula1>
    </dataValidation>
    <dataValidation type="whole" allowBlank="1" showInputMessage="1" showErrorMessage="1" sqref="X81:X86 V90:V95 V81:V86 X90:X95" xr:uid="{00000000-0002-0000-1500-000006000000}">
      <formula1>0</formula1>
      <formula2>99</formula2>
    </dataValidation>
    <dataValidation type="whole" allowBlank="1" showInputMessage="1" showErrorMessage="1" sqref="S81:S86 S90:S95" xr:uid="{00000000-0002-0000-1500-000007000000}">
      <formula1>0</formula1>
      <formula2>14</formula2>
    </dataValidation>
    <dataValidation type="date" operator="greaterThan" allowBlank="1" showInputMessage="1" showErrorMessage="1" errorTitle="Date Error" error="Begin date must be later than previous end date." sqref="B82:B86 B91:B95" xr:uid="{00000000-0002-0000-1500-000008000000}">
      <formula1>C81</formula1>
    </dataValidation>
    <dataValidation type="decimal" operator="greaterThanOrEqual" allowBlank="1" showInputMessage="1" showErrorMessage="1" sqref="F81:F86 L90:L95 P90:P95 H81:H86 J81:J86 L81:L86 D90:D95 F90:F95 P81:P86 N81:N86 H90:H95 J90:J95 D81:D86 N90:N95" xr:uid="{00000000-0002-0000-1500-000009000000}">
      <formula1>0</formula1>
    </dataValidation>
    <dataValidation type="list" allowBlank="1" showInputMessage="1" showErrorMessage="1" sqref="I42:J42 C45 H45 I46:J46 C49 H49 I50:J50 C53 H53 I35:J35 I65 I25:J28 I54:J61" xr:uid="{00000000-0002-0000-1500-00000A000000}">
      <formula1>"Y,N,NA"</formula1>
    </dataValidation>
    <dataValidation type="date" operator="greaterThanOrEqual" allowBlank="1" showInputMessage="1" showErrorMessage="1" sqref="E45 J45 E49 J49 E53 J53 B81 B90 G4:J4 I8:J11 I6:J6 L2 J2 D6:E11" xr:uid="{00000000-0002-0000-15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21</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oUbXmC6nBBRjH7WueLZrlWh7/e5FC+ceG0tX0TLoCgMEgHrLF3T8SrZIyqGWsZ5eizlDng0s6FZ4NaDoWJ8J3A==" saltValue="PFe2DplCBLuNRCo9+kks8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600-000000000000}">
      <formula1>I6</formula1>
    </dataValidation>
    <dataValidation type="date" operator="greaterThanOrEqual" allowBlank="1" showInputMessage="1" showErrorMessage="1" errorTitle="Date Error" error="End date must be later than begin date." sqref="C81:C86 C90:C95" xr:uid="{00000000-0002-0000-1600-000001000000}">
      <formula1>B81</formula1>
    </dataValidation>
    <dataValidation type="list" allowBlank="1" showInputMessage="1" showErrorMessage="1" sqref="I12 I14 I20 I23 I38:J38" xr:uid="{00000000-0002-0000-1600-000002000000}">
      <formula1>"Y,N"</formula1>
    </dataValidation>
    <dataValidation type="list" allowBlank="1" showInputMessage="1" showErrorMessage="1" sqref="D2" xr:uid="{00000000-0002-0000-1600-000003000000}">
      <formula1>"29,29A"</formula1>
    </dataValidation>
    <dataValidation type="whole" allowBlank="1" showInputMessage="1" showErrorMessage="1" sqref="A2" xr:uid="{00000000-0002-0000-1600-000004000000}">
      <formula1>1</formula1>
      <formula2>99</formula2>
    </dataValidation>
    <dataValidation type="textLength" operator="greaterThan" allowBlank="1" showInputMessage="1" showErrorMessage="1" sqref="D3:F4" xr:uid="{00000000-0002-0000-1600-000005000000}">
      <formula1>1</formula1>
    </dataValidation>
    <dataValidation type="whole" allowBlank="1" showInputMessage="1" showErrorMessage="1" sqref="X81:X86 V90:V95 V81:V86 X90:X95" xr:uid="{00000000-0002-0000-1600-000006000000}">
      <formula1>0</formula1>
      <formula2>99</formula2>
    </dataValidation>
    <dataValidation type="whole" allowBlank="1" showInputMessage="1" showErrorMessage="1" sqref="S81:S86 S90:S95" xr:uid="{00000000-0002-0000-1600-000007000000}">
      <formula1>0</formula1>
      <formula2>14</formula2>
    </dataValidation>
    <dataValidation type="date" operator="greaterThan" allowBlank="1" showInputMessage="1" showErrorMessage="1" errorTitle="Date Error" error="Begin date must be later than previous end date." sqref="B82:B86 B91:B95" xr:uid="{00000000-0002-0000-1600-000008000000}">
      <formula1>C81</formula1>
    </dataValidation>
    <dataValidation type="decimal" operator="greaterThanOrEqual" allowBlank="1" showInputMessage="1" showErrorMessage="1" sqref="F81:F86 L90:L95 P90:P95 H81:H86 J81:J86 L81:L86 D90:D95 F90:F95 P81:P86 N81:N86 H90:H95 J90:J95 D81:D86 N90:N95" xr:uid="{00000000-0002-0000-1600-000009000000}">
      <formula1>0</formula1>
    </dataValidation>
    <dataValidation type="list" allowBlank="1" showInputMessage="1" showErrorMessage="1" sqref="I42:J42 C45 H45 I46:J46 C49 H49 I50:J50 C53 H53 I35:J35 I65 I25:J28 I54:J61" xr:uid="{00000000-0002-0000-1600-00000A000000}">
      <formula1>"Y,N,NA"</formula1>
    </dataValidation>
    <dataValidation type="date" operator="greaterThanOrEqual" allowBlank="1" showInputMessage="1" showErrorMessage="1" sqref="E45 J45 E49 J49 E53 J53 B81 B90 G4:J4 I8:J11 I6:J6 L2 J2 D6:E11" xr:uid="{00000000-0002-0000-16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22</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x02+tVyEMfwvY8Tbef2zje4HNzrNtzTQ0xUOuAQlLvA8dQuRbti+br36scxxEen4DUzjCYzJIee1Vo+ip42Ww==" saltValue="60f6ylx2J7XPRhALF4fcA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700-000000000000}">
      <formula1>I6</formula1>
    </dataValidation>
    <dataValidation type="date" operator="greaterThanOrEqual" allowBlank="1" showInputMessage="1" showErrorMessage="1" errorTitle="Date Error" error="End date must be later than begin date." sqref="C81:C86 C90:C95" xr:uid="{00000000-0002-0000-1700-000001000000}">
      <formula1>B81</formula1>
    </dataValidation>
    <dataValidation type="list" allowBlank="1" showInputMessage="1" showErrorMessage="1" sqref="I12 I14 I20 I23 I38:J38" xr:uid="{00000000-0002-0000-1700-000002000000}">
      <formula1>"Y,N"</formula1>
    </dataValidation>
    <dataValidation type="list" allowBlank="1" showInputMessage="1" showErrorMessage="1" sqref="D2" xr:uid="{00000000-0002-0000-1700-000003000000}">
      <formula1>"29,29A"</formula1>
    </dataValidation>
    <dataValidation type="whole" allowBlank="1" showInputMessage="1" showErrorMessage="1" sqref="A2" xr:uid="{00000000-0002-0000-1700-000004000000}">
      <formula1>1</formula1>
      <formula2>99</formula2>
    </dataValidation>
    <dataValidation type="textLength" operator="greaterThan" allowBlank="1" showInputMessage="1" showErrorMessage="1" sqref="D3:F4" xr:uid="{00000000-0002-0000-1700-000005000000}">
      <formula1>1</formula1>
    </dataValidation>
    <dataValidation type="whole" allowBlank="1" showInputMessage="1" showErrorMessage="1" sqref="X81:X86 V90:V95 V81:V86 X90:X95" xr:uid="{00000000-0002-0000-1700-000006000000}">
      <formula1>0</formula1>
      <formula2>99</formula2>
    </dataValidation>
    <dataValidation type="whole" allowBlank="1" showInputMessage="1" showErrorMessage="1" sqref="S81:S86 S90:S95" xr:uid="{00000000-0002-0000-1700-000007000000}">
      <formula1>0</formula1>
      <formula2>14</formula2>
    </dataValidation>
    <dataValidation type="date" operator="greaterThan" allowBlank="1" showInputMessage="1" showErrorMessage="1" errorTitle="Date Error" error="Begin date must be later than previous end date." sqref="B82:B86 B91:B95" xr:uid="{00000000-0002-0000-1700-000008000000}">
      <formula1>C81</formula1>
    </dataValidation>
    <dataValidation type="decimal" operator="greaterThanOrEqual" allowBlank="1" showInputMessage="1" showErrorMessage="1" sqref="F81:F86 L90:L95 P90:P95 H81:H86 J81:J86 L81:L86 D90:D95 F90:F95 P81:P86 N81:N86 H90:H95 J90:J95 D81:D86 N90:N95" xr:uid="{00000000-0002-0000-1700-000009000000}">
      <formula1>0</formula1>
    </dataValidation>
    <dataValidation type="list" allowBlank="1" showInputMessage="1" showErrorMessage="1" sqref="I42:J42 C45 H45 I46:J46 C49 H49 I50:J50 C53 H53 I35:J35 I65 I25:J28 I54:J61" xr:uid="{00000000-0002-0000-1700-00000A000000}">
      <formula1>"Y,N,NA"</formula1>
    </dataValidation>
    <dataValidation type="date" operator="greaterThanOrEqual" allowBlank="1" showInputMessage="1" showErrorMessage="1" sqref="E45 J45 E49 J49 E53 J53 B81 B90 G4:J4 I8:J11 I6:J6 L2 J2 D6:E11" xr:uid="{00000000-0002-0000-17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23</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xCIWipuYqlIRXJCop31zqotTDTtyOiBamaPpRRZKdoAYNNBtpY4fgdFiRPVHV49kw3z1DWoVrSiMdLL+H+6n3g==" saltValue="Ox3gKm+qS8g1Z6ca9mwkr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800-000000000000}">
      <formula1>I6</formula1>
    </dataValidation>
    <dataValidation type="date" operator="greaterThanOrEqual" allowBlank="1" showInputMessage="1" showErrorMessage="1" errorTitle="Date Error" error="End date must be later than begin date." sqref="C81:C86 C90:C95" xr:uid="{00000000-0002-0000-1800-000001000000}">
      <formula1>B81</formula1>
    </dataValidation>
    <dataValidation type="list" allowBlank="1" showInputMessage="1" showErrorMessage="1" sqref="I12 I14 I20 I23 I38:J38" xr:uid="{00000000-0002-0000-1800-000002000000}">
      <formula1>"Y,N"</formula1>
    </dataValidation>
    <dataValidation type="list" allowBlank="1" showInputMessage="1" showErrorMessage="1" sqref="D2" xr:uid="{00000000-0002-0000-1800-000003000000}">
      <formula1>"29,29A"</formula1>
    </dataValidation>
    <dataValidation type="whole" allowBlank="1" showInputMessage="1" showErrorMessage="1" sqref="A2" xr:uid="{00000000-0002-0000-1800-000004000000}">
      <formula1>1</formula1>
      <formula2>99</formula2>
    </dataValidation>
    <dataValidation type="textLength" operator="greaterThan" allowBlank="1" showInputMessage="1" showErrorMessage="1" sqref="D3:F4" xr:uid="{00000000-0002-0000-1800-000005000000}">
      <formula1>1</formula1>
    </dataValidation>
    <dataValidation type="whole" allowBlank="1" showInputMessage="1" showErrorMessage="1" sqref="X81:X86 V90:V95 V81:V86 X90:X95" xr:uid="{00000000-0002-0000-1800-000006000000}">
      <formula1>0</formula1>
      <formula2>99</formula2>
    </dataValidation>
    <dataValidation type="whole" allowBlank="1" showInputMessage="1" showErrorMessage="1" sqref="S81:S86 S90:S95" xr:uid="{00000000-0002-0000-1800-000007000000}">
      <formula1>0</formula1>
      <formula2>14</formula2>
    </dataValidation>
    <dataValidation type="date" operator="greaterThan" allowBlank="1" showInputMessage="1" showErrorMessage="1" errorTitle="Date Error" error="Begin date must be later than previous end date." sqref="B82:B86 B91:B95" xr:uid="{00000000-0002-0000-1800-000008000000}">
      <formula1>C81</formula1>
    </dataValidation>
    <dataValidation type="decimal" operator="greaterThanOrEqual" allowBlank="1" showInputMessage="1" showErrorMessage="1" sqref="F81:F86 L90:L95 P90:P95 H81:H86 J81:J86 L81:L86 D90:D95 F90:F95 P81:P86 N81:N86 H90:H95 J90:J95 D81:D86 N90:N95" xr:uid="{00000000-0002-0000-1800-000009000000}">
      <formula1>0</formula1>
    </dataValidation>
    <dataValidation type="list" allowBlank="1" showInputMessage="1" showErrorMessage="1" sqref="I42:J42 C45 H45 I46:J46 C49 H49 I50:J50 C53 H53 I35:J35 I65 I25:J28 I54:J61" xr:uid="{00000000-0002-0000-1800-00000A000000}">
      <formula1>"Y,N,NA"</formula1>
    </dataValidation>
    <dataValidation type="date" operator="greaterThanOrEqual" allowBlank="1" showInputMessage="1" showErrorMessage="1" sqref="E45 J45 E49 J49 E53 J53 B81 B90 G4:J4 I8:J11 I6:J6 L2 J2 D6:E11" xr:uid="{00000000-0002-0000-18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24</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u3ONygmeSAFj98tnJTpgDAuIEA7cAP/Wtmb/J52HWmp4fbhIuA29XmWPl5wYFy33Tnh49LHydv1vnzJ1ww24nQ==" saltValue="ZVvXmLWo0oBY1F5t9ueVi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900-000000000000}">
      <formula1>I6</formula1>
    </dataValidation>
    <dataValidation type="date" operator="greaterThanOrEqual" allowBlank="1" showInputMessage="1" showErrorMessage="1" errorTitle="Date Error" error="End date must be later than begin date." sqref="C81:C86 C90:C95" xr:uid="{00000000-0002-0000-1900-000001000000}">
      <formula1>B81</formula1>
    </dataValidation>
    <dataValidation type="list" allowBlank="1" showInputMessage="1" showErrorMessage="1" sqref="I12 I14 I20 I23 I38:J38" xr:uid="{00000000-0002-0000-1900-000002000000}">
      <formula1>"Y,N"</formula1>
    </dataValidation>
    <dataValidation type="list" allowBlank="1" showInputMessage="1" showErrorMessage="1" sqref="D2" xr:uid="{00000000-0002-0000-1900-000003000000}">
      <formula1>"29,29A"</formula1>
    </dataValidation>
    <dataValidation type="whole" allowBlank="1" showInputMessage="1" showErrorMessage="1" sqref="A2" xr:uid="{00000000-0002-0000-1900-000004000000}">
      <formula1>1</formula1>
      <formula2>99</formula2>
    </dataValidation>
    <dataValidation type="textLength" operator="greaterThan" allowBlank="1" showInputMessage="1" showErrorMessage="1" sqref="D3:F4" xr:uid="{00000000-0002-0000-1900-000005000000}">
      <formula1>1</formula1>
    </dataValidation>
    <dataValidation type="whole" allowBlank="1" showInputMessage="1" showErrorMessage="1" sqref="X81:X86 V90:V95 V81:V86 X90:X95" xr:uid="{00000000-0002-0000-1900-000006000000}">
      <formula1>0</formula1>
      <formula2>99</formula2>
    </dataValidation>
    <dataValidation type="whole" allowBlank="1" showInputMessage="1" showErrorMessage="1" sqref="S81:S86 S90:S95" xr:uid="{00000000-0002-0000-1900-000007000000}">
      <formula1>0</formula1>
      <formula2>14</formula2>
    </dataValidation>
    <dataValidation type="date" operator="greaterThan" allowBlank="1" showInputMessage="1" showErrorMessage="1" errorTitle="Date Error" error="Begin date must be later than previous end date." sqref="B82:B86 B91:B95" xr:uid="{00000000-0002-0000-1900-000008000000}">
      <formula1>C81</formula1>
    </dataValidation>
    <dataValidation type="decimal" operator="greaterThanOrEqual" allowBlank="1" showInputMessage="1" showErrorMessage="1" sqref="F81:F86 L90:L95 P90:P95 H81:H86 J81:J86 L81:L86 D90:D95 F90:F95 P81:P86 N81:N86 H90:H95 J90:J95 D81:D86 N90:N95" xr:uid="{00000000-0002-0000-1900-000009000000}">
      <formula1>0</formula1>
    </dataValidation>
    <dataValidation type="list" allowBlank="1" showInputMessage="1" showErrorMessage="1" sqref="I42:J42 C45 H45 I46:J46 C49 H49 I50:J50 C53 H53 I35:J35 I65 I25:J28 I54:J61" xr:uid="{00000000-0002-0000-1900-00000A000000}">
      <formula1>"Y,N,NA"</formula1>
    </dataValidation>
    <dataValidation type="date" operator="greaterThanOrEqual" allowBlank="1" showInputMessage="1" showErrorMessage="1" sqref="E45 J45 E49 J49 E53 J53 B81 B90 G4:J4 I8:J11 I6:J6 L2 J2 D6:E11" xr:uid="{00000000-0002-0000-19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25</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S60dmxYfxSsbhsCTfAy0HLCEYkof80U+KmO1fkVWEU1BojBy0LphUlB9ABZVLX25SmC5e/K59QN0ri8/lo0EIQ==" saltValue="rrAgbXNRa6jQYGUQx7eI5A=="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A00-000000000000}">
      <formula1>I6</formula1>
    </dataValidation>
    <dataValidation type="date" operator="greaterThanOrEqual" allowBlank="1" showInputMessage="1" showErrorMessage="1" errorTitle="Date Error" error="End date must be later than begin date." sqref="C81:C86 C90:C95" xr:uid="{00000000-0002-0000-1A00-000001000000}">
      <formula1>B81</formula1>
    </dataValidation>
    <dataValidation type="list" allowBlank="1" showInputMessage="1" showErrorMessage="1" sqref="I12 I14 I20 I23 I38:J38" xr:uid="{00000000-0002-0000-1A00-000002000000}">
      <formula1>"Y,N"</formula1>
    </dataValidation>
    <dataValidation type="list" allowBlank="1" showInputMessage="1" showErrorMessage="1" sqref="D2" xr:uid="{00000000-0002-0000-1A00-000003000000}">
      <formula1>"29,29A"</formula1>
    </dataValidation>
    <dataValidation type="whole" allowBlank="1" showInputMessage="1" showErrorMessage="1" sqref="A2" xr:uid="{00000000-0002-0000-1A00-000004000000}">
      <formula1>1</formula1>
      <formula2>99</formula2>
    </dataValidation>
    <dataValidation type="textLength" operator="greaterThan" allowBlank="1" showInputMessage="1" showErrorMessage="1" sqref="D3:F4" xr:uid="{00000000-0002-0000-1A00-000005000000}">
      <formula1>1</formula1>
    </dataValidation>
    <dataValidation type="whole" allowBlank="1" showInputMessage="1" showErrorMessage="1" sqref="X81:X86 V90:V95 V81:V86 X90:X95" xr:uid="{00000000-0002-0000-1A00-000006000000}">
      <formula1>0</formula1>
      <formula2>99</formula2>
    </dataValidation>
    <dataValidation type="whole" allowBlank="1" showInputMessage="1" showErrorMessage="1" sqref="S81:S86 S90:S95" xr:uid="{00000000-0002-0000-1A00-000007000000}">
      <formula1>0</formula1>
      <formula2>14</formula2>
    </dataValidation>
    <dataValidation type="date" operator="greaterThan" allowBlank="1" showInputMessage="1" showErrorMessage="1" errorTitle="Date Error" error="Begin date must be later than previous end date." sqref="B82:B86 B91:B95" xr:uid="{00000000-0002-0000-1A00-000008000000}">
      <formula1>C81</formula1>
    </dataValidation>
    <dataValidation type="decimal" operator="greaterThanOrEqual" allowBlank="1" showInputMessage="1" showErrorMessage="1" sqref="F81:F86 L90:L95 P90:P95 H81:H86 J81:J86 L81:L86 D90:D95 F90:F95 P81:P86 N81:N86 H90:H95 J90:J95 D81:D86 N90:N95" xr:uid="{00000000-0002-0000-1A00-000009000000}">
      <formula1>0</formula1>
    </dataValidation>
    <dataValidation type="list" allowBlank="1" showInputMessage="1" showErrorMessage="1" sqref="I42:J42 C45 H45 I46:J46 C49 H49 I50:J50 C53 H53 I35:J35 I65 I25:J28 I54:J61" xr:uid="{00000000-0002-0000-1A00-00000A000000}">
      <formula1>"Y,N,NA"</formula1>
    </dataValidation>
    <dataValidation type="date" operator="greaterThanOrEqual" allowBlank="1" showInputMessage="1" showErrorMessage="1" sqref="E45 J45 E49 J49 E53 J53 B81 B90 G4:J4 I8:J11 I6:J6 L2 J2 D6:E11" xr:uid="{00000000-0002-0000-1A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26</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jWqmMelCa3f3AXinWLu6P7M0avfgYxmQj2jtv7I7qbyXUX3ggPngbsqhS7gFnsa0rQTVlINiwMUFjl22RXDpOw==" saltValue="RD1eog9eTE4E6QttVm8hdA=="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B00-000000000000}">
      <formula1>I6</formula1>
    </dataValidation>
    <dataValidation type="date" operator="greaterThanOrEqual" allowBlank="1" showInputMessage="1" showErrorMessage="1" errorTitle="Date Error" error="End date must be later than begin date." sqref="C81:C86 C90:C95" xr:uid="{00000000-0002-0000-1B00-000001000000}">
      <formula1>B81</formula1>
    </dataValidation>
    <dataValidation type="list" allowBlank="1" showInputMessage="1" showErrorMessage="1" sqref="I12 I14 I20 I23 I38:J38" xr:uid="{00000000-0002-0000-1B00-000002000000}">
      <formula1>"Y,N"</formula1>
    </dataValidation>
    <dataValidation type="list" allowBlank="1" showInputMessage="1" showErrorMessage="1" sqref="D2" xr:uid="{00000000-0002-0000-1B00-000003000000}">
      <formula1>"29,29A"</formula1>
    </dataValidation>
    <dataValidation type="whole" allowBlank="1" showInputMessage="1" showErrorMessage="1" sqref="A2" xr:uid="{00000000-0002-0000-1B00-000004000000}">
      <formula1>1</formula1>
      <formula2>99</formula2>
    </dataValidation>
    <dataValidation type="textLength" operator="greaterThan" allowBlank="1" showInputMessage="1" showErrorMessage="1" sqref="D3:F4" xr:uid="{00000000-0002-0000-1B00-000005000000}">
      <formula1>1</formula1>
    </dataValidation>
    <dataValidation type="whole" allowBlank="1" showInputMessage="1" showErrorMessage="1" sqref="X81:X86 V90:V95 V81:V86 X90:X95" xr:uid="{00000000-0002-0000-1B00-000006000000}">
      <formula1>0</formula1>
      <formula2>99</formula2>
    </dataValidation>
    <dataValidation type="whole" allowBlank="1" showInputMessage="1" showErrorMessage="1" sqref="S81:S86 S90:S95" xr:uid="{00000000-0002-0000-1B00-000007000000}">
      <formula1>0</formula1>
      <formula2>14</formula2>
    </dataValidation>
    <dataValidation type="date" operator="greaterThan" allowBlank="1" showInputMessage="1" showErrorMessage="1" errorTitle="Date Error" error="Begin date must be later than previous end date." sqref="B82:B86 B91:B95" xr:uid="{00000000-0002-0000-1B00-000008000000}">
      <formula1>C81</formula1>
    </dataValidation>
    <dataValidation type="decimal" operator="greaterThanOrEqual" allowBlank="1" showInputMessage="1" showErrorMessage="1" sqref="F81:F86 L90:L95 P90:P95 H81:H86 J81:J86 L81:L86 D90:D95 F90:F95 P81:P86 N81:N86 H90:H95 J90:J95 D81:D86 N90:N95" xr:uid="{00000000-0002-0000-1B00-000009000000}">
      <formula1>0</formula1>
    </dataValidation>
    <dataValidation type="list" allowBlank="1" showInputMessage="1" showErrorMessage="1" sqref="I42:J42 C45 H45 I46:J46 C49 H49 I50:J50 C53 H53 I35:J35 I65 I25:J28 I54:J61" xr:uid="{00000000-0002-0000-1B00-00000A000000}">
      <formula1>"Y,N,NA"</formula1>
    </dataValidation>
    <dataValidation type="date" operator="greaterThanOrEqual" allowBlank="1" showInputMessage="1" showErrorMessage="1" sqref="E45 J45 E49 J49 E53 J53 B81 B90 G4:J4 I8:J11 I6:J6 L2 J2 D6:E11" xr:uid="{00000000-0002-0000-1B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27</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CDJYp2iF2g5nGG3ajmR16UmgJ4+erOvb9w+LUdVezNzoA7ZTvoD8OIADdWLjWTUlJRWcT110wRJysWf4IO6zgg==" saltValue="wr+dkSUPfp/C06Ow0j6nTg=="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C00-000000000000}">
      <formula1>I6</formula1>
    </dataValidation>
    <dataValidation type="date" operator="greaterThanOrEqual" allowBlank="1" showInputMessage="1" showErrorMessage="1" errorTitle="Date Error" error="End date must be later than begin date." sqref="C81:C86 C90:C95" xr:uid="{00000000-0002-0000-1C00-000001000000}">
      <formula1>B81</formula1>
    </dataValidation>
    <dataValidation type="list" allowBlank="1" showInputMessage="1" showErrorMessage="1" sqref="I12 I14 I20 I23 I38:J38" xr:uid="{00000000-0002-0000-1C00-000002000000}">
      <formula1>"Y,N"</formula1>
    </dataValidation>
    <dataValidation type="list" allowBlank="1" showInputMessage="1" showErrorMessage="1" sqref="D2" xr:uid="{00000000-0002-0000-1C00-000003000000}">
      <formula1>"29,29A"</formula1>
    </dataValidation>
    <dataValidation type="whole" allowBlank="1" showInputMessage="1" showErrorMessage="1" sqref="A2" xr:uid="{00000000-0002-0000-1C00-000004000000}">
      <formula1>1</formula1>
      <formula2>99</formula2>
    </dataValidation>
    <dataValidation type="textLength" operator="greaterThan" allowBlank="1" showInputMessage="1" showErrorMessage="1" sqref="D3:F4" xr:uid="{00000000-0002-0000-1C00-000005000000}">
      <formula1>1</formula1>
    </dataValidation>
    <dataValidation type="whole" allowBlank="1" showInputMessage="1" showErrorMessage="1" sqref="X81:X86 V90:V95 V81:V86 X90:X95" xr:uid="{00000000-0002-0000-1C00-000006000000}">
      <formula1>0</formula1>
      <formula2>99</formula2>
    </dataValidation>
    <dataValidation type="whole" allowBlank="1" showInputMessage="1" showErrorMessage="1" sqref="S81:S86 S90:S95" xr:uid="{00000000-0002-0000-1C00-000007000000}">
      <formula1>0</formula1>
      <formula2>14</formula2>
    </dataValidation>
    <dataValidation type="date" operator="greaterThan" allowBlank="1" showInputMessage="1" showErrorMessage="1" errorTitle="Date Error" error="Begin date must be later than previous end date." sqref="B82:B86 B91:B95" xr:uid="{00000000-0002-0000-1C00-000008000000}">
      <formula1>C81</formula1>
    </dataValidation>
    <dataValidation type="decimal" operator="greaterThanOrEqual" allowBlank="1" showInputMessage="1" showErrorMessage="1" sqref="F81:F86 L90:L95 P90:P95 H81:H86 J81:J86 L81:L86 D90:D95 F90:F95 P81:P86 N81:N86 H90:H95 J90:J95 D81:D86 N90:N95" xr:uid="{00000000-0002-0000-1C00-000009000000}">
      <formula1>0</formula1>
    </dataValidation>
    <dataValidation type="list" allowBlank="1" showInputMessage="1" showErrorMessage="1" sqref="I42:J42 C45 H45 I46:J46 C49 H49 I50:J50 C53 H53 I35:J35 I65 I25:J28 I54:J61" xr:uid="{00000000-0002-0000-1C00-00000A000000}">
      <formula1>"Y,N,NA"</formula1>
    </dataValidation>
    <dataValidation type="date" operator="greaterThanOrEqual" allowBlank="1" showInputMessage="1" showErrorMessage="1" sqref="E45 J45 E49 J49 E53 J53 B81 B90 G4:J4 I8:J11 I6:J6 L2 J2 D6:E11" xr:uid="{00000000-0002-0000-1C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Z216"/>
  <sheetViews>
    <sheetView zoomScaleNormal="100" workbookViewId="0">
      <selection activeCell="D2" sqref="D2"/>
    </sheetView>
  </sheetViews>
  <sheetFormatPr defaultRowHeight="14.5"/>
  <cols>
    <col min="2" max="2" width="10.08984375" bestFit="1" customWidth="1"/>
    <col min="3" max="3" width="10.08984375"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f>'Samples (Print)'!A5</f>
        <v>1</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5" si="3">IF(D82="","",IF(D82&lt;3, 0, IF(D82&lt;6,1,2)))</f>
        <v/>
      </c>
      <c r="F82" s="83"/>
      <c r="G82" s="29" t="str">
        <f t="shared" si="3"/>
        <v/>
      </c>
      <c r="H82" s="83"/>
      <c r="I82" s="29" t="str">
        <f t="shared" ref="I82" si="4">IF(H82="","",IF(H82&lt;3, 0, IF(H82&lt;6,1,2)))</f>
        <v/>
      </c>
      <c r="J82" s="83"/>
      <c r="K82" s="29" t="str">
        <f t="shared" si="0"/>
        <v/>
      </c>
      <c r="L82" s="83"/>
      <c r="M82" s="29" t="str">
        <f t="shared" ref="M82" si="5">IF(L82="","",IF(L82&lt;3, 0, IF(L82&lt;6,1,2)))</f>
        <v/>
      </c>
      <c r="N82" s="83"/>
      <c r="O82" s="29" t="str">
        <f t="shared" ref="O82" si="6">IF(N82="","",IF(N82&lt;3, 0, IF(N82&lt;6,1,2)))</f>
        <v/>
      </c>
      <c r="P82" s="83"/>
      <c r="Q82" s="29" t="str">
        <f t="shared" ref="Q82" si="7">IF(P82="","",IF(P82&lt;3, 0, IF(P82&lt;6,1,2)))</f>
        <v/>
      </c>
      <c r="R82" s="29" t="str">
        <f t="shared" si="1"/>
        <v/>
      </c>
      <c r="S82" s="61"/>
      <c r="T82" s="28"/>
      <c r="U82" s="28" t="str">
        <f t="shared" si="2"/>
        <v/>
      </c>
      <c r="V82" s="61"/>
      <c r="W82" s="32" t="str">
        <f t="shared" ref="W82:W85"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ref="I83" si="9">IF(H83="","",IF(H83&lt;3, 0, IF(H83&lt;6,1,2)))</f>
        <v/>
      </c>
      <c r="J83" s="83"/>
      <c r="K83" s="29" t="str">
        <f t="shared" si="0"/>
        <v/>
      </c>
      <c r="L83" s="83"/>
      <c r="M83" s="29" t="str">
        <f t="shared" ref="M83" si="10">IF(L83="","",IF(L83&lt;3, 0, IF(L83&lt;6,1,2)))</f>
        <v/>
      </c>
      <c r="N83" s="83"/>
      <c r="O83" s="29" t="str">
        <f t="shared" ref="O83" si="11">IF(N83="","",IF(N83&lt;3, 0, IF(N83&lt;6,1,2)))</f>
        <v/>
      </c>
      <c r="P83" s="83"/>
      <c r="Q83" s="29" t="str">
        <f t="shared" ref="Q83" si="12">IF(P83="","",IF(P83&lt;3, 0, IF(P83&lt;6,1,2)))</f>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ref="I84" si="13">IF(H84="","",IF(H84&lt;3, 0, IF(H84&lt;6,1,2)))</f>
        <v/>
      </c>
      <c r="J84" s="83"/>
      <c r="K84" s="29" t="str">
        <f t="shared" si="0"/>
        <v/>
      </c>
      <c r="L84" s="83"/>
      <c r="M84" s="29" t="str">
        <f t="shared" ref="M84" si="14">IF(L84="","",IF(L84&lt;3, 0, IF(L84&lt;6,1,2)))</f>
        <v/>
      </c>
      <c r="N84" s="83"/>
      <c r="O84" s="29" t="str">
        <f t="shared" ref="O84" si="15">IF(N84="","",IF(N84&lt;3, 0, IF(N84&lt;6,1,2)))</f>
        <v/>
      </c>
      <c r="P84" s="83"/>
      <c r="Q84" s="29" t="str">
        <f t="shared" ref="Q84" si="16">IF(P84="","",IF(P84&lt;3, 0, IF(P84&lt;6,1,2)))</f>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ref="I85" si="17">IF(H85="","",IF(H85&lt;3, 0, IF(H85&lt;6,1,2)))</f>
        <v/>
      </c>
      <c r="J85" s="83"/>
      <c r="K85" s="29" t="str">
        <f t="shared" si="0"/>
        <v/>
      </c>
      <c r="L85" s="83"/>
      <c r="M85" s="29" t="str">
        <f t="shared" ref="M85" si="18">IF(L85="","",IF(L85&lt;3, 0, IF(L85&lt;6,1,2)))</f>
        <v/>
      </c>
      <c r="N85" s="83"/>
      <c r="O85" s="29" t="str">
        <f t="shared" ref="O85" si="19">IF(N85="","",IF(N85&lt;3, 0, IF(N85&lt;6,1,2)))</f>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ref="E86" si="20">IF(D86="","",IF(D86&lt;3, 0, IF(D86&lt;6,1,2)))</f>
        <v/>
      </c>
      <c r="F86" s="83"/>
      <c r="G86" s="29" t="str">
        <f t="shared" ref="G86" si="21">IF(F86="","",IF(F86&lt;3, 0, IF(F86&lt;6,1,2)))</f>
        <v/>
      </c>
      <c r="H86" s="83"/>
      <c r="I86" s="29" t="str">
        <f t="shared" ref="I86" si="22">IF(H86="","",IF(H86&lt;3, 0, IF(H86&lt;6,1,2)))</f>
        <v/>
      </c>
      <c r="J86" s="83"/>
      <c r="K86" s="29" t="str">
        <f t="shared" si="0"/>
        <v/>
      </c>
      <c r="L86" s="83"/>
      <c r="M86" s="29" t="str">
        <f t="shared" ref="M86" si="23">IF(L86="","",IF(L86&lt;3, 0, IF(L86&lt;6,1,2)))</f>
        <v/>
      </c>
      <c r="N86" s="83"/>
      <c r="O86" s="29" t="str">
        <f t="shared" ref="O86" si="24">IF(N86="","",IF(N86&lt;3, 0, IF(N86&lt;6,1,2)))</f>
        <v/>
      </c>
      <c r="P86" s="83"/>
      <c r="Q86" s="29" t="str">
        <f>IF(P86="","",IF(P86&lt;3, 0, IF(P86&lt;6,1,2)))</f>
        <v/>
      </c>
      <c r="R86" s="29" t="str">
        <f t="shared" si="1"/>
        <v/>
      </c>
      <c r="S86" s="61"/>
      <c r="T86" s="28"/>
      <c r="U86" s="28" t="str">
        <f t="shared" si="2"/>
        <v/>
      </c>
      <c r="V86" s="61"/>
      <c r="W86" s="32" t="str">
        <f t="shared" ref="W86" si="25">IF(OR(U86 = "", V86 = ""), "", U86 - V86)</f>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26">IF(J90="","",IF(J90&lt;3, 0, IF(J90&lt;6,1,2)))</f>
        <v/>
      </c>
      <c r="L90" s="83"/>
      <c r="M90" s="29" t="str">
        <f>IF(L90="","",IF(L90&lt;3, 0, IF(L90&lt;6,1,2)))</f>
        <v/>
      </c>
      <c r="N90" s="83"/>
      <c r="O90" s="29" t="str">
        <f>IF(N90="","",IF(N90&lt;3, 0, IF(N90&lt;6,1,2)))</f>
        <v/>
      </c>
      <c r="P90" s="83"/>
      <c r="Q90" s="29" t="str">
        <f>IF(P90="","",IF(P90&lt;3, 0, IF(P90&lt;6,1,2)))</f>
        <v/>
      </c>
      <c r="R90" s="29" t="str">
        <f t="shared" ref="R90:R95" si="27">IF(COUNTBLANK(B90:C90)&gt;0,"", SUM(E90,G90,I90,K90,M90,O90,Q90))</f>
        <v/>
      </c>
      <c r="S90" s="61"/>
      <c r="T90" s="28"/>
      <c r="U90" s="28" t="str">
        <f t="shared" ref="U90:U95" si="28">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 si="29">IF(D91="","",IF(D91&lt;3, 0, IF(D91&lt;6,1,2)))</f>
        <v/>
      </c>
      <c r="F91" s="83"/>
      <c r="G91" s="29" t="str">
        <f t="shared" ref="G91" si="30">IF(F91="","",IF(F91&lt;3, 0, IF(F91&lt;6,1,2)))</f>
        <v/>
      </c>
      <c r="H91" s="83"/>
      <c r="I91" s="29" t="str">
        <f t="shared" ref="I91:I94" si="31">IF(H91="","",IF(H91&lt;3, 0, IF(H91&lt;6,1,2)))</f>
        <v/>
      </c>
      <c r="J91" s="83"/>
      <c r="K91" s="29" t="str">
        <f t="shared" si="26"/>
        <v/>
      </c>
      <c r="L91" s="83"/>
      <c r="M91" s="29" t="str">
        <f t="shared" ref="M91:M94" si="32">IF(L91="","",IF(L91&lt;3, 0, IF(L91&lt;6,1,2)))</f>
        <v/>
      </c>
      <c r="N91" s="83"/>
      <c r="O91" s="29" t="str">
        <f t="shared" ref="O91:O94" si="33">IF(N91="","",IF(N91&lt;3, 0, IF(N91&lt;6,1,2)))</f>
        <v/>
      </c>
      <c r="P91" s="83"/>
      <c r="Q91" s="29" t="str">
        <f t="shared" ref="Q91:Q93" si="34">IF(P91="","",IF(P91&lt;3, 0, IF(P91&lt;6,1,2)))</f>
        <v/>
      </c>
      <c r="R91" s="29" t="str">
        <f t="shared" si="27"/>
        <v/>
      </c>
      <c r="S91" s="61"/>
      <c r="T91" s="28"/>
      <c r="U91" s="28" t="str">
        <f t="shared" si="28"/>
        <v/>
      </c>
      <c r="V91" s="61"/>
      <c r="W91" s="32" t="str">
        <f t="shared" ref="W91:W94" si="35">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ref="E92" si="36">IF(D92="","",IF(D92&lt;3, 0, IF(D92&lt;6,1,2)))</f>
        <v/>
      </c>
      <c r="F92" s="83"/>
      <c r="G92" s="29" t="str">
        <f t="shared" ref="G92" si="37">IF(F92="","",IF(F92&lt;3, 0, IF(F92&lt;6,1,2)))</f>
        <v/>
      </c>
      <c r="H92" s="83"/>
      <c r="I92" s="29" t="str">
        <f t="shared" si="31"/>
        <v/>
      </c>
      <c r="J92" s="83"/>
      <c r="K92" s="29" t="str">
        <f t="shared" si="26"/>
        <v/>
      </c>
      <c r="L92" s="83"/>
      <c r="M92" s="29" t="str">
        <f t="shared" si="32"/>
        <v/>
      </c>
      <c r="N92" s="83"/>
      <c r="O92" s="29" t="str">
        <f t="shared" si="33"/>
        <v/>
      </c>
      <c r="P92" s="83"/>
      <c r="Q92" s="29" t="str">
        <f t="shared" si="34"/>
        <v/>
      </c>
      <c r="R92" s="29" t="str">
        <f t="shared" si="27"/>
        <v/>
      </c>
      <c r="S92" s="61"/>
      <c r="T92" s="28"/>
      <c r="U92" s="28" t="str">
        <f t="shared" si="28"/>
        <v/>
      </c>
      <c r="V92" s="61"/>
      <c r="W92" s="32" t="str">
        <f t="shared" si="35"/>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ref="E93" si="38">IF(D93="","",IF(D93&lt;3, 0, IF(D93&lt;6,1,2)))</f>
        <v/>
      </c>
      <c r="F93" s="83"/>
      <c r="G93" s="29" t="str">
        <f t="shared" ref="G93" si="39">IF(F93="","",IF(F93&lt;3, 0, IF(F93&lt;6,1,2)))</f>
        <v/>
      </c>
      <c r="H93" s="83"/>
      <c r="I93" s="29" t="str">
        <f t="shared" si="31"/>
        <v/>
      </c>
      <c r="J93" s="83"/>
      <c r="K93" s="29" t="str">
        <f t="shared" si="26"/>
        <v/>
      </c>
      <c r="L93" s="83"/>
      <c r="M93" s="29" t="str">
        <f t="shared" si="32"/>
        <v/>
      </c>
      <c r="N93" s="83"/>
      <c r="O93" s="29" t="str">
        <f t="shared" si="33"/>
        <v/>
      </c>
      <c r="P93" s="83"/>
      <c r="Q93" s="29" t="str">
        <f t="shared" si="34"/>
        <v/>
      </c>
      <c r="R93" s="29" t="str">
        <f t="shared" si="27"/>
        <v/>
      </c>
      <c r="S93" s="61"/>
      <c r="T93" s="28"/>
      <c r="U93" s="28" t="str">
        <f t="shared" si="28"/>
        <v/>
      </c>
      <c r="V93" s="61"/>
      <c r="W93" s="32" t="str">
        <f t="shared" si="35"/>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ref="E94" si="40">IF(D94="","",IF(D94&lt;3, 0, IF(D94&lt;6,1,2)))</f>
        <v/>
      </c>
      <c r="F94" s="83"/>
      <c r="G94" s="29" t="str">
        <f t="shared" ref="G94" si="41">IF(F94="","",IF(F94&lt;3, 0, IF(F94&lt;6,1,2)))</f>
        <v/>
      </c>
      <c r="H94" s="83"/>
      <c r="I94" s="29" t="str">
        <f t="shared" si="31"/>
        <v/>
      </c>
      <c r="J94" s="83"/>
      <c r="K94" s="29" t="str">
        <f t="shared" si="26"/>
        <v/>
      </c>
      <c r="L94" s="83"/>
      <c r="M94" s="29" t="str">
        <f t="shared" si="32"/>
        <v/>
      </c>
      <c r="N94" s="83"/>
      <c r="O94" s="29" t="str">
        <f t="shared" si="33"/>
        <v/>
      </c>
      <c r="P94" s="83"/>
      <c r="Q94" s="29" t="str">
        <f>IF(P94="","",IF(P94&lt;3, 0, IF(P94&lt;6,1,2)))</f>
        <v/>
      </c>
      <c r="R94" s="29" t="str">
        <f t="shared" si="27"/>
        <v/>
      </c>
      <c r="S94" s="61"/>
      <c r="T94" s="28"/>
      <c r="U94" s="28" t="str">
        <f t="shared" si="28"/>
        <v/>
      </c>
      <c r="V94" s="61"/>
      <c r="W94" s="32" t="str">
        <f t="shared" si="35"/>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ref="E95" si="42">IF(D95="","",IF(D95&lt;3, 0, IF(D95&lt;6,1,2)))</f>
        <v/>
      </c>
      <c r="F95" s="83"/>
      <c r="G95" s="29" t="str">
        <f t="shared" ref="G95" si="43">IF(F95="","",IF(F95&lt;3, 0, IF(F95&lt;6,1,2)))</f>
        <v/>
      </c>
      <c r="H95" s="83"/>
      <c r="I95" s="29" t="str">
        <f t="shared" ref="I95" si="44">IF(H95="","",IF(H95&lt;3, 0, IF(H95&lt;6,1,2)))</f>
        <v/>
      </c>
      <c r="J95" s="83"/>
      <c r="K95" s="29" t="str">
        <f t="shared" si="26"/>
        <v/>
      </c>
      <c r="L95" s="83"/>
      <c r="M95" s="29" t="str">
        <f t="shared" ref="M95" si="45">IF(L95="","",IF(L95&lt;3, 0, IF(L95&lt;6,1,2)))</f>
        <v/>
      </c>
      <c r="N95" s="83"/>
      <c r="O95" s="29" t="str">
        <f t="shared" ref="O95" si="46">IF(N95="","",IF(N95&lt;3, 0, IF(N95&lt;6,1,2)))</f>
        <v/>
      </c>
      <c r="P95" s="83"/>
      <c r="Q95" s="29" t="str">
        <f>IF(P95="","",IF(P95&lt;3, 0, IF(P95&lt;6,1,2)))</f>
        <v/>
      </c>
      <c r="R95" s="29" t="str">
        <f t="shared" si="27"/>
        <v/>
      </c>
      <c r="S95" s="61"/>
      <c r="T95" s="28"/>
      <c r="U95" s="28" t="str">
        <f t="shared" si="28"/>
        <v/>
      </c>
      <c r="V95" s="61"/>
      <c r="W95" s="32" t="str">
        <f t="shared" ref="W95" si="47">IF(OR(U95 = "", V95 = ""), "", U95 - V95)</f>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GrkPiZt6Hr9fcH90jdV+C8pBDQ3qlLOxkaUPNud8mlI5a9vK3lNbifEAi2wHro/JnlTSYX3HaCBbtrMgMIpyWQ==" saltValue="bIdHqH72LBwHZTTi/xNSsA=="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A58:H58"/>
    <mergeCell ref="A55:H55"/>
    <mergeCell ref="A56:H56"/>
    <mergeCell ref="A57:H57"/>
    <mergeCell ref="I55:J57"/>
    <mergeCell ref="A59:H59"/>
    <mergeCell ref="A60:H60"/>
    <mergeCell ref="A61:H61"/>
    <mergeCell ref="I58:J61"/>
    <mergeCell ref="L79:M79"/>
    <mergeCell ref="N79:O79"/>
    <mergeCell ref="A76:X76"/>
    <mergeCell ref="A77:X77"/>
    <mergeCell ref="A78:X78"/>
    <mergeCell ref="A79:C79"/>
    <mergeCell ref="D79:E79"/>
    <mergeCell ref="F79:G79"/>
    <mergeCell ref="H79:I79"/>
    <mergeCell ref="J79:K79"/>
    <mergeCell ref="A29:H31"/>
    <mergeCell ref="B43:J43"/>
    <mergeCell ref="B48:J48"/>
    <mergeCell ref="B51:J51"/>
    <mergeCell ref="B52:J52"/>
    <mergeCell ref="B28:H28"/>
    <mergeCell ref="A39:A41"/>
    <mergeCell ref="B40:J40"/>
    <mergeCell ref="B41:J41"/>
    <mergeCell ref="I29:J31"/>
    <mergeCell ref="A35:H35"/>
    <mergeCell ref="I35:J35"/>
    <mergeCell ref="A36:H36"/>
    <mergeCell ref="I36:J36"/>
    <mergeCell ref="A33:H34"/>
    <mergeCell ref="I33:J34"/>
    <mergeCell ref="B32:J32"/>
    <mergeCell ref="B39:J39"/>
    <mergeCell ref="A46:H46"/>
    <mergeCell ref="I46:J46"/>
    <mergeCell ref="I42:J42"/>
    <mergeCell ref="A43:A45"/>
    <mergeCell ref="B44:J44"/>
    <mergeCell ref="A42:H42"/>
    <mergeCell ref="A14:A15"/>
    <mergeCell ref="A18:A19"/>
    <mergeCell ref="I27:J27"/>
    <mergeCell ref="I18:J19"/>
    <mergeCell ref="A20:A21"/>
    <mergeCell ref="B20:H20"/>
    <mergeCell ref="I20:J21"/>
    <mergeCell ref="B21:H21"/>
    <mergeCell ref="A22:H22"/>
    <mergeCell ref="I22:J22"/>
    <mergeCell ref="B23:H23"/>
    <mergeCell ref="I23:J24"/>
    <mergeCell ref="B24:H24"/>
    <mergeCell ref="I25:J25"/>
    <mergeCell ref="A23:A28"/>
    <mergeCell ref="B25:H25"/>
    <mergeCell ref="B26:H26"/>
    <mergeCell ref="B27:H27"/>
    <mergeCell ref="B18:H19"/>
    <mergeCell ref="I28:J28"/>
    <mergeCell ref="B16:H16"/>
    <mergeCell ref="I16:J16"/>
    <mergeCell ref="B17:H17"/>
    <mergeCell ref="I17:J17"/>
    <mergeCell ref="F6:H6"/>
    <mergeCell ref="I6:J6"/>
    <mergeCell ref="A7:C7"/>
    <mergeCell ref="D7:E7"/>
    <mergeCell ref="F7:H7"/>
    <mergeCell ref="I7:J7"/>
    <mergeCell ref="A10:C10"/>
    <mergeCell ref="D10:E10"/>
    <mergeCell ref="F10:H10"/>
    <mergeCell ref="I10:J10"/>
    <mergeCell ref="A8:C8"/>
    <mergeCell ref="D8:E8"/>
    <mergeCell ref="F8:H8"/>
    <mergeCell ref="I8:J8"/>
    <mergeCell ref="I26:J26"/>
    <mergeCell ref="A5:J5"/>
    <mergeCell ref="B1:C1"/>
    <mergeCell ref="B2:C2"/>
    <mergeCell ref="A3:B4"/>
    <mergeCell ref="D3:F3"/>
    <mergeCell ref="G3:J3"/>
    <mergeCell ref="D4:F4"/>
    <mergeCell ref="G4:J4"/>
    <mergeCell ref="E1:H1"/>
    <mergeCell ref="I1:L1"/>
    <mergeCell ref="A11:C11"/>
    <mergeCell ref="D11:E11"/>
    <mergeCell ref="F11:H11"/>
    <mergeCell ref="I11:J11"/>
    <mergeCell ref="B13:H13"/>
    <mergeCell ref="I12:J13"/>
    <mergeCell ref="A12:A13"/>
    <mergeCell ref="B14:H14"/>
    <mergeCell ref="I14:J15"/>
    <mergeCell ref="B15:H15"/>
    <mergeCell ref="B12:H12"/>
    <mergeCell ref="A6:C6"/>
    <mergeCell ref="D6:E6"/>
    <mergeCell ref="A51:A53"/>
    <mergeCell ref="A54:H54"/>
    <mergeCell ref="I54:J54"/>
    <mergeCell ref="A47:A49"/>
    <mergeCell ref="B47:J47"/>
    <mergeCell ref="A50:H50"/>
    <mergeCell ref="I50:J50"/>
    <mergeCell ref="A66:H66"/>
    <mergeCell ref="A67:H67"/>
    <mergeCell ref="I65:J69"/>
    <mergeCell ref="A62:J62"/>
    <mergeCell ref="A63:J63"/>
    <mergeCell ref="B64:J64"/>
    <mergeCell ref="A65:H65"/>
    <mergeCell ref="A37:J37"/>
    <mergeCell ref="A38:H38"/>
    <mergeCell ref="I38:J38"/>
    <mergeCell ref="A9:C9"/>
    <mergeCell ref="F9:H9"/>
    <mergeCell ref="D9:E9"/>
    <mergeCell ref="I9:J9"/>
    <mergeCell ref="A87:Q87"/>
    <mergeCell ref="A88:C88"/>
    <mergeCell ref="D88:E88"/>
    <mergeCell ref="F88:G88"/>
    <mergeCell ref="H88:I88"/>
    <mergeCell ref="J88:K88"/>
    <mergeCell ref="L88:M88"/>
    <mergeCell ref="N88:O88"/>
    <mergeCell ref="P88:Q88"/>
    <mergeCell ref="P79:Q79"/>
    <mergeCell ref="A70:X70"/>
    <mergeCell ref="A71:X71"/>
    <mergeCell ref="A73:X73"/>
    <mergeCell ref="A74:X74"/>
    <mergeCell ref="A75:X75"/>
    <mergeCell ref="A72:X72"/>
    <mergeCell ref="A68:H69"/>
  </mergeCells>
  <dataValidations count="12">
    <dataValidation type="date" operator="greaterThanOrEqual" allowBlank="1" showInputMessage="1" showErrorMessage="1" sqref="E45 J45 E49 J49 E53 J53 B81 B90 G4:J4 I6:J6 L2 J2 D6:E11 I8:J11" xr:uid="{00000000-0002-0000-0200-000000000000}">
      <formula1>1</formula1>
    </dataValidation>
    <dataValidation type="list" allowBlank="1" showInputMessage="1" showErrorMessage="1" sqref="I42:J42 C45 H45 I46:J46 C49 H49 I50:J50 C53 H53 I35:J35 I65 I25:J28 I54:J61" xr:uid="{00000000-0002-0000-0200-000001000000}">
      <formula1>"Y,N,NA"</formula1>
    </dataValidation>
    <dataValidation type="decimal" operator="greaterThanOrEqual" allowBlank="1" showInputMessage="1" showErrorMessage="1" sqref="F81:F86 L90:L95 P90:P95 H81:H86 J81:J86 L81:L86 D90:D95 F90:F95 P81:P86 N81:N86 H90:H95 J90:J95 D81:D86 N90:N95" xr:uid="{00000000-0002-0000-0200-000002000000}">
      <formula1>0</formula1>
    </dataValidation>
    <dataValidation type="date" operator="greaterThan" allowBlank="1" showInputMessage="1" showErrorMessage="1" errorTitle="Date Error" error="Begin date must be later than previous end date." sqref="B82:B86 B91:B95" xr:uid="{00000000-0002-0000-0200-000003000000}">
      <formula1>C81</formula1>
    </dataValidation>
    <dataValidation type="whole" allowBlank="1" showInputMessage="1" showErrorMessage="1" sqref="S81:S86 S90:S95" xr:uid="{00000000-0002-0000-0200-000004000000}">
      <formula1>0</formula1>
      <formula2>14</formula2>
    </dataValidation>
    <dataValidation type="whole" allowBlank="1" showInputMessage="1" showErrorMessage="1" sqref="X81:X86 V90:V95 V81:V86 X90:X95" xr:uid="{00000000-0002-0000-0200-000005000000}">
      <formula1>0</formula1>
      <formula2>99</formula2>
    </dataValidation>
    <dataValidation type="textLength" operator="greaterThan" allowBlank="1" showInputMessage="1" showErrorMessage="1" sqref="D3:F4" xr:uid="{00000000-0002-0000-0200-000006000000}">
      <formula1>1</formula1>
    </dataValidation>
    <dataValidation type="whole" allowBlank="1" showInputMessage="1" showErrorMessage="1" sqref="A2" xr:uid="{00000000-0002-0000-0200-000007000000}">
      <formula1>1</formula1>
      <formula2>99</formula2>
    </dataValidation>
    <dataValidation type="list" allowBlank="1" showInputMessage="1" showErrorMessage="1" sqref="D2" xr:uid="{00000000-0002-0000-0200-000008000000}">
      <formula1>"29,29A"</formula1>
    </dataValidation>
    <dataValidation type="list" allowBlank="1" showInputMessage="1" showErrorMessage="1" sqref="I12 I14 I20 I23 I38:J38" xr:uid="{00000000-0002-0000-0200-000009000000}">
      <formula1>"Y,N"</formula1>
    </dataValidation>
    <dataValidation type="date" operator="greaterThanOrEqual" allowBlank="1" showInputMessage="1" showErrorMessage="1" errorTitle="Date Error" error="End date must be later than begin date." sqref="C81:C86 C90:C95" xr:uid="{00000000-0002-0000-0200-00000A000000}">
      <formula1>B81</formula1>
    </dataValidation>
    <dataValidation type="date" operator="greaterThanOrEqual" allowBlank="1" showInputMessage="1" showErrorMessage="1" sqref="I7:J7" xr:uid="{00000000-0002-0000-0200-00000B000000}">
      <formula1>I6</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28</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7DVdbfQV1ZR6UVukbqN45XZgIBVTiPCkQMoXIXjP7Xug7edzW6l5jemmX7EztToGO4Z/J8wR9ueK/rO0K1HWnA==" saltValue="mJTcFd6ke9A5cl1GEWpty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D00-000000000000}">
      <formula1>I6</formula1>
    </dataValidation>
    <dataValidation type="date" operator="greaterThanOrEqual" allowBlank="1" showInputMessage="1" showErrorMessage="1" errorTitle="Date Error" error="End date must be later than begin date." sqref="C81:C86 C90:C95" xr:uid="{00000000-0002-0000-1D00-000001000000}">
      <formula1>B81</formula1>
    </dataValidation>
    <dataValidation type="list" allowBlank="1" showInputMessage="1" showErrorMessage="1" sqref="I12 I14 I20 I23 I38:J38" xr:uid="{00000000-0002-0000-1D00-000002000000}">
      <formula1>"Y,N"</formula1>
    </dataValidation>
    <dataValidation type="list" allowBlank="1" showInputMessage="1" showErrorMessage="1" sqref="D2" xr:uid="{00000000-0002-0000-1D00-000003000000}">
      <formula1>"29,29A"</formula1>
    </dataValidation>
    <dataValidation type="whole" allowBlank="1" showInputMessage="1" showErrorMessage="1" sqref="A2" xr:uid="{00000000-0002-0000-1D00-000004000000}">
      <formula1>1</formula1>
      <formula2>99</formula2>
    </dataValidation>
    <dataValidation type="textLength" operator="greaterThan" allowBlank="1" showInputMessage="1" showErrorMessage="1" sqref="D3:F4" xr:uid="{00000000-0002-0000-1D00-000005000000}">
      <formula1>1</formula1>
    </dataValidation>
    <dataValidation type="whole" allowBlank="1" showInputMessage="1" showErrorMessage="1" sqref="X81:X86 V90:V95 V81:V86 X90:X95" xr:uid="{00000000-0002-0000-1D00-000006000000}">
      <formula1>0</formula1>
      <formula2>99</formula2>
    </dataValidation>
    <dataValidation type="whole" allowBlank="1" showInputMessage="1" showErrorMessage="1" sqref="S81:S86 S90:S95" xr:uid="{00000000-0002-0000-1D00-000007000000}">
      <formula1>0</formula1>
      <formula2>14</formula2>
    </dataValidation>
    <dataValidation type="date" operator="greaterThan" allowBlank="1" showInputMessage="1" showErrorMessage="1" errorTitle="Date Error" error="Begin date must be later than previous end date." sqref="B82:B86 B91:B95" xr:uid="{00000000-0002-0000-1D00-000008000000}">
      <formula1>C81</formula1>
    </dataValidation>
    <dataValidation type="decimal" operator="greaterThanOrEqual" allowBlank="1" showInputMessage="1" showErrorMessage="1" sqref="F81:F86 L90:L95 P90:P95 H81:H86 J81:J86 L81:L86 D90:D95 F90:F95 P81:P86 N81:N86 H90:H95 J90:J95 D81:D86 N90:N95" xr:uid="{00000000-0002-0000-1D00-000009000000}">
      <formula1>0</formula1>
    </dataValidation>
    <dataValidation type="list" allowBlank="1" showInputMessage="1" showErrorMessage="1" sqref="I42:J42 C45 H45 I46:J46 C49 H49 I50:J50 C53 H53 I35:J35 I65 I25:J28 I54:J61" xr:uid="{00000000-0002-0000-1D00-00000A000000}">
      <formula1>"Y,N,NA"</formula1>
    </dataValidation>
    <dataValidation type="date" operator="greaterThanOrEqual" allowBlank="1" showInputMessage="1" showErrorMessage="1" sqref="E45 J45 E49 J49 E53 J53 B81 B90 G4:J4 I8:J11 I6:J6 L2 J2 D6:E11" xr:uid="{00000000-0002-0000-1D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29</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zgZbBzy48diCmzPWfaZyPHlRbft+kYUuWHvEBShoDfySgMn1cXHHtuWItWyK9N7obpPFEL061qoUJZzk4m/qkw==" saltValue="IYaS7VihaUnTOgKHSOAVEg=="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E00-000000000000}">
      <formula1>I6</formula1>
    </dataValidation>
    <dataValidation type="date" operator="greaterThanOrEqual" allowBlank="1" showInputMessage="1" showErrorMessage="1" errorTitle="Date Error" error="End date must be later than begin date." sqref="C81:C86 C90:C95" xr:uid="{00000000-0002-0000-1E00-000001000000}">
      <formula1>B81</formula1>
    </dataValidation>
    <dataValidation type="list" allowBlank="1" showInputMessage="1" showErrorMessage="1" sqref="I12 I14 I20 I23 I38:J38" xr:uid="{00000000-0002-0000-1E00-000002000000}">
      <formula1>"Y,N"</formula1>
    </dataValidation>
    <dataValidation type="list" allowBlank="1" showInputMessage="1" showErrorMessage="1" sqref="D2" xr:uid="{00000000-0002-0000-1E00-000003000000}">
      <formula1>"29,29A"</formula1>
    </dataValidation>
    <dataValidation type="whole" allowBlank="1" showInputMessage="1" showErrorMessage="1" sqref="A2" xr:uid="{00000000-0002-0000-1E00-000004000000}">
      <formula1>1</formula1>
      <formula2>99</formula2>
    </dataValidation>
    <dataValidation type="textLength" operator="greaterThan" allowBlank="1" showInputMessage="1" showErrorMessage="1" sqref="D3:F4" xr:uid="{00000000-0002-0000-1E00-000005000000}">
      <formula1>1</formula1>
    </dataValidation>
    <dataValidation type="whole" allowBlank="1" showInputMessage="1" showErrorMessage="1" sqref="X81:X86 V90:V95 V81:V86 X90:X95" xr:uid="{00000000-0002-0000-1E00-000006000000}">
      <formula1>0</formula1>
      <formula2>99</formula2>
    </dataValidation>
    <dataValidation type="whole" allowBlank="1" showInputMessage="1" showErrorMessage="1" sqref="S81:S86 S90:S95" xr:uid="{00000000-0002-0000-1E00-000007000000}">
      <formula1>0</formula1>
      <formula2>14</formula2>
    </dataValidation>
    <dataValidation type="date" operator="greaterThan" allowBlank="1" showInputMessage="1" showErrorMessage="1" errorTitle="Date Error" error="Begin date must be later than previous end date." sqref="B82:B86 B91:B95" xr:uid="{00000000-0002-0000-1E00-000008000000}">
      <formula1>C81</formula1>
    </dataValidation>
    <dataValidation type="decimal" operator="greaterThanOrEqual" allowBlank="1" showInputMessage="1" showErrorMessage="1" sqref="F81:F86 L90:L95 P90:P95 H81:H86 J81:J86 L81:L86 D90:D95 F90:F95 P81:P86 N81:N86 H90:H95 J90:J95 D81:D86 N90:N95" xr:uid="{00000000-0002-0000-1E00-000009000000}">
      <formula1>0</formula1>
    </dataValidation>
    <dataValidation type="list" allowBlank="1" showInputMessage="1" showErrorMessage="1" sqref="I42:J42 C45 H45 I46:J46 C49 H49 I50:J50 C53 H53 I35:J35 I65 I25:J28 I54:J61" xr:uid="{00000000-0002-0000-1E00-00000A000000}">
      <formula1>"Y,N,NA"</formula1>
    </dataValidation>
    <dataValidation type="date" operator="greaterThanOrEqual" allowBlank="1" showInputMessage="1" showErrorMessage="1" sqref="E45 J45 E49 J49 E53 J53 B81 B90 G4:J4 I8:J11 I6:J6 L2 J2 D6:E11" xr:uid="{00000000-0002-0000-1E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30</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235" customFormat="1" ht="90" customHeight="1" thickTop="1" thickBot="1">
      <c r="A17" s="233"/>
      <c r="B17" s="530" t="s">
        <v>739</v>
      </c>
      <c r="C17" s="530"/>
      <c r="D17" s="530"/>
      <c r="E17" s="530"/>
      <c r="F17" s="530"/>
      <c r="G17" s="530"/>
      <c r="H17" s="530"/>
      <c r="I17" s="636"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636"/>
      <c r="K17" s="234"/>
      <c r="L17" s="234"/>
      <c r="M17" s="234"/>
      <c r="N17" s="234"/>
      <c r="O17" s="234"/>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MJO+VCQbAKla3RxJzphH6b6tdnfaL7TI4tZBPD5wgf9BEzilpk9BPmyGoR+DZhBwlDShwN+Ki967ls+mwslsOg==" saltValue="pSTjEwoNKqC5TyRMZ8n9I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1F00-000000000000}">
      <formula1>I6</formula1>
    </dataValidation>
    <dataValidation type="date" operator="greaterThanOrEqual" allowBlank="1" showInputMessage="1" showErrorMessage="1" errorTitle="Date Error" error="End date must be later than begin date." sqref="C81:C86 C90:C95" xr:uid="{00000000-0002-0000-1F00-000001000000}">
      <formula1>B81</formula1>
    </dataValidation>
    <dataValidation type="list" allowBlank="1" showInputMessage="1" showErrorMessage="1" sqref="I12 I14 I20 I23 I38:J38" xr:uid="{00000000-0002-0000-1F00-000002000000}">
      <formula1>"Y,N"</formula1>
    </dataValidation>
    <dataValidation type="list" allowBlank="1" showInputMessage="1" showErrorMessage="1" sqref="D2" xr:uid="{00000000-0002-0000-1F00-000003000000}">
      <formula1>"29,29A"</formula1>
    </dataValidation>
    <dataValidation type="whole" allowBlank="1" showInputMessage="1" showErrorMessage="1" sqref="A2" xr:uid="{00000000-0002-0000-1F00-000004000000}">
      <formula1>1</formula1>
      <formula2>99</formula2>
    </dataValidation>
    <dataValidation type="textLength" operator="greaterThan" allowBlank="1" showInputMessage="1" showErrorMessage="1" sqref="D3:F4" xr:uid="{00000000-0002-0000-1F00-000005000000}">
      <formula1>1</formula1>
    </dataValidation>
    <dataValidation type="whole" allowBlank="1" showInputMessage="1" showErrorMessage="1" sqref="X81:X86 V90:V95 V81:V86 X90:X95" xr:uid="{00000000-0002-0000-1F00-000006000000}">
      <formula1>0</formula1>
      <formula2>99</formula2>
    </dataValidation>
    <dataValidation type="whole" allowBlank="1" showInputMessage="1" showErrorMessage="1" sqref="S81:S86 S90:S95" xr:uid="{00000000-0002-0000-1F00-000007000000}">
      <formula1>0</formula1>
      <formula2>14</formula2>
    </dataValidation>
    <dataValidation type="date" operator="greaterThan" allowBlank="1" showInputMessage="1" showErrorMessage="1" errorTitle="Date Error" error="Begin date must be later than previous end date." sqref="B82:B86 B91:B95" xr:uid="{00000000-0002-0000-1F00-000008000000}">
      <formula1>C81</formula1>
    </dataValidation>
    <dataValidation type="decimal" operator="greaterThanOrEqual" allowBlank="1" showInputMessage="1" showErrorMessage="1" sqref="F81:F86 L90:L95 P90:P95 H81:H86 J81:J86 L81:L86 D90:D95 F90:F95 P81:P86 N81:N86 H90:H95 J90:J95 D81:D86 N90:N95" xr:uid="{00000000-0002-0000-1F00-000009000000}">
      <formula1>0</formula1>
    </dataValidation>
    <dataValidation type="list" allowBlank="1" showInputMessage="1" showErrorMessage="1" sqref="I42:J42 C45 H45 I46:J46 C49 H49 I50:J50 C53 H53 I35:J35 I65 I25:J28 I54:J61" xr:uid="{00000000-0002-0000-1F00-00000A000000}">
      <formula1>"Y,N,NA"</formula1>
    </dataValidation>
    <dataValidation type="date" operator="greaterThanOrEqual" allowBlank="1" showInputMessage="1" showErrorMessage="1" sqref="E45 J45 E49 J49 E53 J53 B81 B90 G4:J4 I8:J11 I6:J6 L2 J2 D6:E11" xr:uid="{00000000-0002-0000-1F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J26"/>
  <sheetViews>
    <sheetView zoomScaleNormal="100" workbookViewId="0">
      <selection activeCell="A2" sqref="A2:D2"/>
    </sheetView>
  </sheetViews>
  <sheetFormatPr defaultRowHeight="14.5"/>
  <cols>
    <col min="2" max="2" width="13.08984375" customWidth="1"/>
    <col min="3" max="3" width="7.6328125" customWidth="1"/>
    <col min="4" max="4" width="6.54296875" customWidth="1"/>
    <col min="5" max="5" width="7.453125" customWidth="1"/>
    <col min="6" max="6" width="7.08984375" customWidth="1"/>
    <col min="7" max="7" width="7.453125" customWidth="1"/>
    <col min="8" max="8" width="10.36328125" customWidth="1"/>
    <col min="9" max="9" width="10.6328125" customWidth="1"/>
    <col min="10" max="10" width="13.54296875" customWidth="1"/>
  </cols>
  <sheetData>
    <row r="1" spans="1:10" s="1" customFormat="1" ht="15.75" customHeight="1" thickTop="1">
      <c r="A1" s="285" t="s">
        <v>0</v>
      </c>
      <c r="B1" s="286"/>
      <c r="C1" s="286"/>
      <c r="D1" s="287"/>
      <c r="E1" s="285" t="s">
        <v>1</v>
      </c>
      <c r="F1" s="287"/>
      <c r="G1" s="285" t="s">
        <v>2</v>
      </c>
      <c r="H1" s="286"/>
      <c r="I1" s="285" t="s">
        <v>43</v>
      </c>
      <c r="J1" s="287"/>
    </row>
    <row r="2" spans="1:10" s="1" customFormat="1" ht="28.5" customHeight="1" thickBot="1">
      <c r="A2" s="652">
        <f>NameOfLegalEntity</f>
        <v>0</v>
      </c>
      <c r="B2" s="653"/>
      <c r="C2" s="653"/>
      <c r="D2" s="654"/>
      <c r="E2" s="655">
        <f>ReviewLevel</f>
        <v>0</v>
      </c>
      <c r="F2" s="656"/>
      <c r="G2" s="655">
        <f>ReviewType</f>
        <v>0</v>
      </c>
      <c r="H2" s="657"/>
      <c r="I2" s="658">
        <f>ContractNumber</f>
        <v>0</v>
      </c>
      <c r="J2" s="659"/>
    </row>
    <row r="3" spans="1:10" s="1" customFormat="1" ht="15.75" customHeight="1" thickTop="1">
      <c r="A3" s="660" t="s">
        <v>3</v>
      </c>
      <c r="B3" s="661"/>
      <c r="C3" s="265" t="s">
        <v>4</v>
      </c>
      <c r="D3" s="266"/>
      <c r="E3" s="265" t="s">
        <v>531</v>
      </c>
      <c r="F3" s="266"/>
      <c r="G3" s="265" t="s">
        <v>531</v>
      </c>
      <c r="H3" s="266"/>
      <c r="I3" s="643" t="s">
        <v>567</v>
      </c>
      <c r="J3" s="555"/>
    </row>
    <row r="4" spans="1:10" s="1" customFormat="1" ht="15" customHeight="1">
      <c r="A4" s="139" t="s">
        <v>6</v>
      </c>
      <c r="B4" s="148">
        <f>CompletedByLastName</f>
        <v>0</v>
      </c>
      <c r="C4" s="637" t="s">
        <v>7</v>
      </c>
      <c r="D4" s="638"/>
      <c r="E4" s="637" t="s">
        <v>532</v>
      </c>
      <c r="F4" s="638"/>
      <c r="G4" s="637" t="s">
        <v>578</v>
      </c>
      <c r="H4" s="638"/>
      <c r="I4" s="140" t="s">
        <v>8</v>
      </c>
      <c r="J4" s="150" t="str">
        <f>IF(DateOfMonitoringPeriodBegin="","",DateOfMonitoringPeriodBegin)</f>
        <v/>
      </c>
    </row>
    <row r="5" spans="1:10" s="1" customFormat="1" ht="16.5" customHeight="1" thickBot="1">
      <c r="A5" s="139" t="s">
        <v>9</v>
      </c>
      <c r="B5" s="149">
        <f>CompletedByFirstName</f>
        <v>0</v>
      </c>
      <c r="C5" s="662" t="str">
        <f>IF(DateOfEntrance="","",DateOfEntrance)</f>
        <v/>
      </c>
      <c r="D5" s="663"/>
      <c r="E5" s="639" t="str">
        <f>IF(DateofExit="","",DateofExit)</f>
        <v/>
      </c>
      <c r="F5" s="640"/>
      <c r="G5" s="639" t="str">
        <f>IF(DateOfExitRevised="","",DateOfExitRevised)</f>
        <v/>
      </c>
      <c r="H5" s="640"/>
      <c r="I5" s="140" t="s">
        <v>10</v>
      </c>
      <c r="J5" s="151" t="str">
        <f>IF(DateOfMonitoringPeriodEnd="","",DateOfMonitoringPeriodEnd)</f>
        <v/>
      </c>
    </row>
    <row r="6" spans="1:10" ht="15.75" customHeight="1" thickTop="1" thickBot="1">
      <c r="A6" s="647" t="s">
        <v>144</v>
      </c>
      <c r="B6" s="648"/>
      <c r="C6" s="648"/>
      <c r="D6" s="648"/>
      <c r="E6" s="648"/>
      <c r="F6" s="648"/>
      <c r="G6" s="648"/>
      <c r="H6" s="648"/>
      <c r="I6" s="648"/>
      <c r="J6" s="649"/>
    </row>
    <row r="7" spans="1:10" s="1" customFormat="1" ht="15.75" customHeight="1" thickTop="1">
      <c r="A7" s="647" t="s">
        <v>17</v>
      </c>
      <c r="B7" s="648"/>
      <c r="C7" s="648"/>
      <c r="D7" s="648"/>
      <c r="E7" s="648"/>
      <c r="F7" s="649"/>
      <c r="G7" s="39" t="s">
        <v>18</v>
      </c>
      <c r="H7" s="39" t="s">
        <v>19</v>
      </c>
      <c r="I7" s="39" t="s">
        <v>20</v>
      </c>
      <c r="J7" s="39" t="s">
        <v>21</v>
      </c>
    </row>
    <row r="8" spans="1:10" s="1" customFormat="1" ht="17.25" customHeight="1">
      <c r="A8" s="691"/>
      <c r="B8" s="692"/>
      <c r="C8" s="692"/>
      <c r="D8" s="692"/>
      <c r="E8" s="692"/>
      <c r="F8" s="693"/>
      <c r="G8" s="697" t="s">
        <v>13</v>
      </c>
      <c r="H8" s="697" t="s">
        <v>14</v>
      </c>
      <c r="I8" s="40" t="s">
        <v>22</v>
      </c>
      <c r="J8" s="40" t="s">
        <v>23</v>
      </c>
    </row>
    <row r="9" spans="1:10" s="1" customFormat="1" ht="25.5" customHeight="1" thickBot="1">
      <c r="A9" s="694"/>
      <c r="B9" s="695"/>
      <c r="C9" s="695"/>
      <c r="D9" s="695"/>
      <c r="E9" s="695"/>
      <c r="F9" s="696"/>
      <c r="G9" s="698"/>
      <c r="H9" s="698"/>
      <c r="I9" s="41" t="s">
        <v>24</v>
      </c>
      <c r="J9" s="41" t="s">
        <v>25</v>
      </c>
    </row>
    <row r="10" spans="1:10" s="1" customFormat="1" ht="15.75" customHeight="1" thickTop="1">
      <c r="A10" s="699" t="s">
        <v>26</v>
      </c>
      <c r="B10" s="700"/>
      <c r="C10" s="700"/>
      <c r="D10" s="700"/>
      <c r="E10" s="700"/>
      <c r="F10" s="701"/>
      <c r="G10" s="641">
        <f xml:space="preserve"> Standard_I_Total_Yes</f>
        <v>0</v>
      </c>
      <c r="H10" s="641">
        <f>Standard_I_Total_No</f>
        <v>0</v>
      </c>
      <c r="I10" s="641">
        <f xml:space="preserve"> Standard_I_Total_Yes + Standard_I_Total_No</f>
        <v>0</v>
      </c>
      <c r="J10" s="650" t="str">
        <f>IF(I10 &lt;&gt; 0, G10/I10, "")</f>
        <v/>
      </c>
    </row>
    <row r="11" spans="1:10" s="1" customFormat="1" ht="15.75" customHeight="1" thickBot="1">
      <c r="A11" s="644" t="s">
        <v>139</v>
      </c>
      <c r="B11" s="645"/>
      <c r="C11" s="645"/>
      <c r="D11" s="645"/>
      <c r="E11" s="645"/>
      <c r="F11" s="646"/>
      <c r="G11" s="642"/>
      <c r="H11" s="642"/>
      <c r="I11" s="642"/>
      <c r="J11" s="651"/>
    </row>
    <row r="12" spans="1:10" s="1" customFormat="1" ht="15.75" customHeight="1" thickTop="1">
      <c r="A12" s="666" t="s">
        <v>27</v>
      </c>
      <c r="B12" s="667"/>
      <c r="C12" s="667"/>
      <c r="D12" s="667"/>
      <c r="E12" s="667"/>
      <c r="F12" s="668"/>
      <c r="G12" s="641">
        <f ca="1" xml:space="preserve"> Standard_II_Total_Yes</f>
        <v>0</v>
      </c>
      <c r="H12" s="641">
        <f ca="1">Standard_II_Total_No</f>
        <v>0</v>
      </c>
      <c r="I12" s="641">
        <f ca="1" xml:space="preserve"> Standard_II_Total_Yes + Standard_II_Total_No</f>
        <v>0</v>
      </c>
      <c r="J12" s="650" t="str">
        <f t="shared" ref="J12" ca="1" si="0">IF(I12 &lt;&gt; 0, G12/I12, "")</f>
        <v/>
      </c>
    </row>
    <row r="13" spans="1:10" s="1" customFormat="1" ht="15.75" customHeight="1" thickBot="1">
      <c r="A13" s="644" t="s">
        <v>140</v>
      </c>
      <c r="B13" s="645"/>
      <c r="C13" s="645"/>
      <c r="D13" s="645"/>
      <c r="E13" s="645"/>
      <c r="F13" s="646"/>
      <c r="G13" s="642"/>
      <c r="H13" s="642"/>
      <c r="I13" s="642"/>
      <c r="J13" s="651"/>
    </row>
    <row r="14" spans="1:10" s="1" customFormat="1" ht="15.75" customHeight="1" thickTop="1">
      <c r="A14" s="666" t="s">
        <v>28</v>
      </c>
      <c r="B14" s="667"/>
      <c r="C14" s="667"/>
      <c r="D14" s="667"/>
      <c r="E14" s="667"/>
      <c r="F14" s="668"/>
      <c r="G14" s="641">
        <f xml:space="preserve"> Standard_III_Total_Yes</f>
        <v>0</v>
      </c>
      <c r="H14" s="641">
        <f>Standard_III_Total_No</f>
        <v>0</v>
      </c>
      <c r="I14" s="641">
        <f xml:space="preserve"> Standard_III_Total_Yes + Standard_III_Total_No</f>
        <v>0</v>
      </c>
      <c r="J14" s="650" t="str">
        <f t="shared" ref="J14" si="1">IF(I14 &lt;&gt; 0, G14/I14, "")</f>
        <v/>
      </c>
    </row>
    <row r="15" spans="1:10" s="1" customFormat="1" ht="15.75" customHeight="1" thickBot="1">
      <c r="A15" s="644" t="s">
        <v>141</v>
      </c>
      <c r="B15" s="645"/>
      <c r="C15" s="645"/>
      <c r="D15" s="645"/>
      <c r="E15" s="645"/>
      <c r="F15" s="646"/>
      <c r="G15" s="642"/>
      <c r="H15" s="642"/>
      <c r="I15" s="642"/>
      <c r="J15" s="651"/>
    </row>
    <row r="16" spans="1:10" s="1" customFormat="1" ht="15.75" customHeight="1" thickTop="1">
      <c r="A16" s="666" t="s">
        <v>29</v>
      </c>
      <c r="B16" s="667"/>
      <c r="C16" s="667"/>
      <c r="D16" s="667"/>
      <c r="E16" s="667"/>
      <c r="F16" s="668"/>
      <c r="G16" s="641">
        <f ca="1">Standard_IV_Total_Yes</f>
        <v>0</v>
      </c>
      <c r="H16" s="641">
        <f ca="1">Standard_IV_Total_No</f>
        <v>0</v>
      </c>
      <c r="I16" s="641">
        <f ca="1" xml:space="preserve"> Standard_IV_Total_Yes + Standard_IV_Total_No</f>
        <v>0</v>
      </c>
      <c r="J16" s="650" t="str">
        <f t="shared" ref="J16" ca="1" si="2">IF(I16 &lt;&gt; 0, G16/I16, "")</f>
        <v/>
      </c>
    </row>
    <row r="17" spans="1:10" s="1" customFormat="1" ht="15.75" customHeight="1" thickBot="1">
      <c r="A17" s="644" t="s">
        <v>142</v>
      </c>
      <c r="B17" s="645"/>
      <c r="C17" s="645"/>
      <c r="D17" s="645"/>
      <c r="E17" s="645"/>
      <c r="F17" s="646"/>
      <c r="G17" s="642"/>
      <c r="H17" s="642"/>
      <c r="I17" s="642"/>
      <c r="J17" s="651"/>
    </row>
    <row r="18" spans="1:10" s="1" customFormat="1" ht="15.75" customHeight="1" thickTop="1">
      <c r="A18" s="666" t="s">
        <v>30</v>
      </c>
      <c r="B18" s="667"/>
      <c r="C18" s="667"/>
      <c r="D18" s="667"/>
      <c r="E18" s="667"/>
      <c r="F18" s="668"/>
      <c r="G18" s="641">
        <f ca="1">Standard_V_Total_Yes</f>
        <v>0</v>
      </c>
      <c r="H18" s="641">
        <f ca="1">Standard_V_Total_No</f>
        <v>0</v>
      </c>
      <c r="I18" s="641">
        <f ca="1" xml:space="preserve"> Standard_V_Total_Yes + Standard_V_Total_No</f>
        <v>0</v>
      </c>
      <c r="J18" s="650" t="str">
        <f t="shared" ref="J18" ca="1" si="3">IF(I18 &lt;&gt; 0, G18/I18, "")</f>
        <v/>
      </c>
    </row>
    <row r="19" spans="1:10" s="1" customFormat="1" ht="15.75" customHeight="1" thickBot="1">
      <c r="A19" s="644" t="s">
        <v>143</v>
      </c>
      <c r="B19" s="645"/>
      <c r="C19" s="645"/>
      <c r="D19" s="645"/>
      <c r="E19" s="645"/>
      <c r="F19" s="646"/>
      <c r="G19" s="642"/>
      <c r="H19" s="642"/>
      <c r="I19" s="642"/>
      <c r="J19" s="651"/>
    </row>
    <row r="20" spans="1:10" s="1" customFormat="1" ht="15.75" customHeight="1" thickTop="1">
      <c r="A20" s="666" t="s">
        <v>31</v>
      </c>
      <c r="B20" s="667"/>
      <c r="C20" s="667"/>
      <c r="D20" s="667"/>
      <c r="E20" s="667"/>
      <c r="F20" s="668"/>
      <c r="G20" s="641">
        <f ca="1">Standard_VI_Total_Yes</f>
        <v>0</v>
      </c>
      <c r="H20" s="641">
        <f ca="1">Standard_VI_Total_No</f>
        <v>0</v>
      </c>
      <c r="I20" s="641">
        <f ca="1" xml:space="preserve"> Standard_VI_Total_Yes + Standard_VI_Total_No</f>
        <v>0</v>
      </c>
      <c r="J20" s="650" t="str">
        <f t="shared" ref="J20" ca="1" si="4">IF(I20 &lt;&gt; 0, G20/I20, "")</f>
        <v/>
      </c>
    </row>
    <row r="21" spans="1:10" s="1" customFormat="1" ht="15.75" customHeight="1" thickBot="1">
      <c r="A21" s="644" t="s">
        <v>42</v>
      </c>
      <c r="B21" s="645"/>
      <c r="C21" s="645"/>
      <c r="D21" s="645"/>
      <c r="E21" s="645"/>
      <c r="F21" s="646"/>
      <c r="G21" s="642"/>
      <c r="H21" s="642"/>
      <c r="I21" s="642"/>
      <c r="J21" s="651"/>
    </row>
    <row r="22" spans="1:10" s="1" customFormat="1" ht="16.5" customHeight="1" thickTop="1">
      <c r="A22" s="685" t="s">
        <v>77</v>
      </c>
      <c r="B22" s="686"/>
      <c r="C22" s="686"/>
      <c r="D22" s="686"/>
      <c r="E22" s="686"/>
      <c r="F22" s="687"/>
      <c r="G22" s="664">
        <f ca="1">SUM(G10:G21)</f>
        <v>0</v>
      </c>
      <c r="H22" s="664">
        <f ca="1">SUM(H10:H21)</f>
        <v>0</v>
      </c>
      <c r="I22" s="664">
        <f ca="1">SUM(I10:I21)</f>
        <v>0</v>
      </c>
      <c r="J22" s="683" t="str">
        <f>IF(ReviewLevel="FULL", IF(Overall_Total &lt;&gt; 0, Overall_Total_Yes/Overall_Total, ""),"")</f>
        <v/>
      </c>
    </row>
    <row r="23" spans="1:10" ht="15" thickBot="1">
      <c r="A23" s="688"/>
      <c r="B23" s="689"/>
      <c r="C23" s="689"/>
      <c r="D23" s="689"/>
      <c r="E23" s="689"/>
      <c r="F23" s="690"/>
      <c r="G23" s="665"/>
      <c r="H23" s="665"/>
      <c r="I23" s="665"/>
      <c r="J23" s="684"/>
    </row>
    <row r="24" spans="1:10" s="2" customFormat="1" ht="15.75" customHeight="1" thickTop="1" thickBot="1">
      <c r="A24" s="677" t="s">
        <v>711</v>
      </c>
      <c r="B24" s="678"/>
      <c r="C24" s="679"/>
      <c r="D24" s="669" t="s">
        <v>145</v>
      </c>
      <c r="E24" s="670"/>
      <c r="F24" s="670"/>
      <c r="G24" s="670"/>
      <c r="H24" s="671"/>
      <c r="I24" s="672">
        <f>'Demand for Pmt. (Print)'!Total_Financial_Errors</f>
        <v>0</v>
      </c>
      <c r="J24" s="673"/>
    </row>
    <row r="25" spans="1:10" s="2" customFormat="1" ht="17.25" customHeight="1" thickTop="1" thickBot="1">
      <c r="A25" s="680"/>
      <c r="B25" s="681"/>
      <c r="C25" s="682"/>
      <c r="D25" s="674" t="s">
        <v>626</v>
      </c>
      <c r="E25" s="675"/>
      <c r="F25" s="675"/>
      <c r="G25" s="675"/>
      <c r="H25" s="676"/>
      <c r="I25" s="672"/>
      <c r="J25" s="673"/>
    </row>
    <row r="26" spans="1:10" s="2" customFormat="1" ht="13" thickTop="1"/>
  </sheetData>
  <sheetProtection algorithmName="SHA-512" hashValue="xewrYCxl4u+uVxRwOEy1qSVInpIi32K5w9dL5qAazG52Y6fvdoYB+ISJJBKs6a8ZWzeCg1a1/NlMbCRdkEuuqg==" saltValue="7brNqSaZLDADanmFrpWb+w==" spinCount="100000" sheet="1" objects="1" scenarios="1" selectLockedCells="1"/>
  <customSheetViews>
    <customSheetView guid="{FA063EB1-52B3-49D8-83D1-441968C7020F}">
      <selection activeCell="A2" sqref="A2:D2"/>
      <pageMargins left="0.5" right="0.5" top="0.75" bottom="0.75" header="0.3" footer="0.3"/>
      <printOptions horizontalCentered="1"/>
      <pageSetup orientation="portrait" r:id="rId1"/>
      <headerFooter>
        <oddHeader>&amp;L&amp;"Arial,Regular"&amp;8Texas Health and
Human Services Commission&amp;C&amp;"Arial,Bold"&amp;12DAY ACTIVITY AND HEALTH SERVICES (DAHS)
COMPLIANCE SUMMARY&amp;R&amp;"Arial,Regular"&amp;8Page &amp;P</oddHeader>
      </headerFooter>
    </customSheetView>
  </customSheetViews>
  <mergeCells count="68">
    <mergeCell ref="H14:H15"/>
    <mergeCell ref="H10:H11"/>
    <mergeCell ref="I12:I13"/>
    <mergeCell ref="J12:J13"/>
    <mergeCell ref="A7:F9"/>
    <mergeCell ref="G8:G9"/>
    <mergeCell ref="H8:H9"/>
    <mergeCell ref="A12:F12"/>
    <mergeCell ref="G12:G13"/>
    <mergeCell ref="H12:H13"/>
    <mergeCell ref="A10:F10"/>
    <mergeCell ref="G10:G11"/>
    <mergeCell ref="A21:F21"/>
    <mergeCell ref="A18:F18"/>
    <mergeCell ref="A13:F13"/>
    <mergeCell ref="D24:H24"/>
    <mergeCell ref="I24:J25"/>
    <mergeCell ref="D25:H25"/>
    <mergeCell ref="I22:I23"/>
    <mergeCell ref="A20:F20"/>
    <mergeCell ref="G20:G21"/>
    <mergeCell ref="H20:H21"/>
    <mergeCell ref="I20:I21"/>
    <mergeCell ref="A24:C25"/>
    <mergeCell ref="J22:J23"/>
    <mergeCell ref="A22:F23"/>
    <mergeCell ref="J18:J19"/>
    <mergeCell ref="G22:G23"/>
    <mergeCell ref="A3:B3"/>
    <mergeCell ref="C3:D3"/>
    <mergeCell ref="C5:D5"/>
    <mergeCell ref="J20:J21"/>
    <mergeCell ref="H22:H23"/>
    <mergeCell ref="I10:I11"/>
    <mergeCell ref="J10:J11"/>
    <mergeCell ref="A11:F11"/>
    <mergeCell ref="A16:F16"/>
    <mergeCell ref="G16:G17"/>
    <mergeCell ref="H16:H17"/>
    <mergeCell ref="I16:I17"/>
    <mergeCell ref="J16:J17"/>
    <mergeCell ref="A17:F17"/>
    <mergeCell ref="A14:F14"/>
    <mergeCell ref="G14:G15"/>
    <mergeCell ref="A1:D1"/>
    <mergeCell ref="E1:F1"/>
    <mergeCell ref="G1:H1"/>
    <mergeCell ref="I1:J1"/>
    <mergeCell ref="A2:D2"/>
    <mergeCell ref="E2:F2"/>
    <mergeCell ref="G2:H2"/>
    <mergeCell ref="I2:J2"/>
    <mergeCell ref="C4:D4"/>
    <mergeCell ref="E3:F3"/>
    <mergeCell ref="E4:F4"/>
    <mergeCell ref="E5:F5"/>
    <mergeCell ref="I18:I19"/>
    <mergeCell ref="H18:H19"/>
    <mergeCell ref="G3:H3"/>
    <mergeCell ref="G4:H4"/>
    <mergeCell ref="G5:H5"/>
    <mergeCell ref="I3:J3"/>
    <mergeCell ref="A19:F19"/>
    <mergeCell ref="G18:G19"/>
    <mergeCell ref="A6:J6"/>
    <mergeCell ref="I14:I15"/>
    <mergeCell ref="J14:J15"/>
    <mergeCell ref="A15:F15"/>
  </mergeCells>
  <conditionalFormatting sqref="J10:J23">
    <cfRule type="cellIs" dxfId="0" priority="1" operator="lessThan">
      <formula>0.9</formula>
    </cfRule>
  </conditionalFormatting>
  <printOptions horizontalCentered="1"/>
  <pageMargins left="0.5" right="0.5" top="0.75" bottom="0.75" header="0.3" footer="0.3"/>
  <pageSetup orientation="portrait" r:id="rId2"/>
  <headerFooter>
    <oddHeader>&amp;L&amp;"Arial,Regular"&amp;8Texas Health and
Human Services Commission&amp;C&amp;"Arial,Bold"&amp;12DAY ACTIVITY AND HEALTH SERVICES (DAHS)
COMPLIANCE SUMMARY&amp;R&amp;"Arial,Regular"&amp;8Page &amp;P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pageSetUpPr fitToPage="1"/>
  </sheetPr>
  <dimension ref="A1:N1014"/>
  <sheetViews>
    <sheetView zoomScaleNormal="100" workbookViewId="0">
      <pane ySplit="13" topLeftCell="A14" activePane="bottomLeft" state="frozen"/>
      <selection pane="bottomLeft" activeCell="A14" sqref="A14"/>
    </sheetView>
  </sheetViews>
  <sheetFormatPr defaultRowHeight="14.5"/>
  <cols>
    <col min="1" max="1" width="8.54296875" customWidth="1"/>
    <col min="2" max="2" width="8.6328125" customWidth="1"/>
    <col min="3" max="3" width="13.6328125" customWidth="1"/>
    <col min="4" max="4" width="5.6328125" customWidth="1"/>
    <col min="5" max="5" width="9" customWidth="1"/>
    <col min="6" max="7" width="8.6328125" customWidth="1"/>
    <col min="8" max="8" width="7.6328125" customWidth="1"/>
    <col min="9" max="10" width="8.6328125" customWidth="1"/>
    <col min="11" max="11" width="9.54296875" customWidth="1"/>
    <col min="12" max="13" width="9.6328125" customWidth="1"/>
    <col min="14" max="14" width="38.6328125" customWidth="1"/>
  </cols>
  <sheetData>
    <row r="1" spans="1:14" s="1" customFormat="1" ht="15.75" customHeight="1" thickTop="1">
      <c r="A1" s="754" t="s">
        <v>0</v>
      </c>
      <c r="B1" s="755"/>
      <c r="C1" s="745"/>
      <c r="D1" s="744" t="s">
        <v>1</v>
      </c>
      <c r="E1" s="755"/>
      <c r="F1" s="745"/>
      <c r="G1" s="750" t="s">
        <v>2</v>
      </c>
      <c r="H1" s="751"/>
      <c r="I1" s="752"/>
      <c r="J1" s="713" t="s">
        <v>43</v>
      </c>
      <c r="K1" s="714"/>
      <c r="L1" s="714"/>
      <c r="M1" s="715"/>
      <c r="N1" s="716"/>
    </row>
    <row r="2" spans="1:14" s="1" customFormat="1" ht="16.5" customHeight="1" thickBot="1">
      <c r="A2" s="756">
        <f>NameOfLegalEntity</f>
        <v>0</v>
      </c>
      <c r="B2" s="747"/>
      <c r="C2" s="753"/>
      <c r="D2" s="746">
        <f>ReviewLevel</f>
        <v>0</v>
      </c>
      <c r="E2" s="747"/>
      <c r="F2" s="753"/>
      <c r="G2" s="746">
        <f>ReviewType</f>
        <v>0</v>
      </c>
      <c r="H2" s="747"/>
      <c r="I2" s="753"/>
      <c r="J2" s="746">
        <f>ContractNumber</f>
        <v>0</v>
      </c>
      <c r="K2" s="747"/>
      <c r="L2" s="747"/>
      <c r="M2" s="748"/>
      <c r="N2" s="749"/>
    </row>
    <row r="3" spans="1:14" s="1" customFormat="1" ht="15.75" customHeight="1">
      <c r="A3" s="736" t="s">
        <v>3</v>
      </c>
      <c r="B3" s="714"/>
      <c r="C3" s="737"/>
      <c r="D3" s="713" t="s">
        <v>4</v>
      </c>
      <c r="E3" s="737"/>
      <c r="F3" s="713" t="s">
        <v>531</v>
      </c>
      <c r="G3" s="737"/>
      <c r="H3" s="713" t="s">
        <v>531</v>
      </c>
      <c r="I3" s="737"/>
      <c r="J3" s="713" t="s">
        <v>567</v>
      </c>
      <c r="K3" s="714"/>
      <c r="L3" s="714"/>
      <c r="M3" s="715"/>
      <c r="N3" s="716"/>
    </row>
    <row r="4" spans="1:14" s="1" customFormat="1" ht="15.75" customHeight="1">
      <c r="A4" s="138" t="s">
        <v>6</v>
      </c>
      <c r="B4" s="738" t="str">
        <f>IF(CompletedByLastName="","",CompletedByLastName)</f>
        <v/>
      </c>
      <c r="C4" s="739"/>
      <c r="D4" s="744" t="s">
        <v>7</v>
      </c>
      <c r="E4" s="745"/>
      <c r="F4" s="744" t="s">
        <v>532</v>
      </c>
      <c r="G4" s="745"/>
      <c r="H4" s="744" t="s">
        <v>578</v>
      </c>
      <c r="I4" s="745"/>
      <c r="J4" s="182" t="s">
        <v>8</v>
      </c>
      <c r="K4" s="717" t="str">
        <f>IF(DateOfMonitoringPeriodBegin="","",DateOfMonitoringPeriodBegin)</f>
        <v/>
      </c>
      <c r="L4" s="718"/>
      <c r="M4" s="719"/>
      <c r="N4" s="720"/>
    </row>
    <row r="5" spans="1:14" s="1" customFormat="1" ht="15.75" customHeight="1" thickBot="1">
      <c r="A5" s="141" t="s">
        <v>9</v>
      </c>
      <c r="B5" s="740" t="str">
        <f>IF(CompletedByFirstName="","",CompletedByFirstName)</f>
        <v/>
      </c>
      <c r="C5" s="741"/>
      <c r="D5" s="742" t="str">
        <f>IF(DateOfEntrance="","",DateOfEntrance)</f>
        <v/>
      </c>
      <c r="E5" s="743"/>
      <c r="F5" s="742" t="str">
        <f>IF(DateofExit="","",DateofExit)</f>
        <v/>
      </c>
      <c r="G5" s="743"/>
      <c r="H5" s="742" t="str">
        <f>IF(DateOfExitRevised="","",DateOfExitRevised)</f>
        <v/>
      </c>
      <c r="I5" s="743"/>
      <c r="J5" s="182" t="s">
        <v>10</v>
      </c>
      <c r="K5" s="721" t="str">
        <f>IF(DateOfMonitoringPeriodEnd="","",DateOfMonitoringPeriodEnd)</f>
        <v/>
      </c>
      <c r="L5" s="721"/>
      <c r="M5" s="722"/>
      <c r="N5" s="723"/>
    </row>
    <row r="6" spans="1:14" ht="16.5" customHeight="1" thickTop="1" thickBot="1">
      <c r="A6" s="727" t="s">
        <v>146</v>
      </c>
      <c r="B6" s="728"/>
      <c r="C6" s="728"/>
      <c r="D6" s="728"/>
      <c r="E6" s="728"/>
      <c r="F6" s="728"/>
      <c r="G6" s="728"/>
      <c r="H6" s="728"/>
      <c r="I6" s="729"/>
      <c r="J6" s="709">
        <f>SUM(M14:M1014)</f>
        <v>0</v>
      </c>
      <c r="K6" s="710"/>
      <c r="L6" s="710"/>
      <c r="M6" s="711"/>
      <c r="N6" s="712"/>
    </row>
    <row r="7" spans="1:14" ht="29.25" customHeight="1" thickTop="1" thickBot="1">
      <c r="A7" s="705" t="s">
        <v>712</v>
      </c>
      <c r="B7" s="706"/>
      <c r="C7" s="706"/>
      <c r="D7" s="706"/>
      <c r="E7" s="706"/>
      <c r="F7" s="706"/>
      <c r="G7" s="706"/>
      <c r="H7" s="706"/>
      <c r="I7" s="706"/>
      <c r="J7" s="706"/>
      <c r="K7" s="706"/>
      <c r="L7" s="706"/>
      <c r="M7" s="707"/>
      <c r="N7" s="708"/>
    </row>
    <row r="8" spans="1:14" ht="44.25" customHeight="1" thickTop="1">
      <c r="A8" s="236" t="s">
        <v>597</v>
      </c>
      <c r="B8" s="725"/>
      <c r="C8" s="725"/>
      <c r="D8" s="725"/>
      <c r="E8" s="725"/>
      <c r="F8" s="725"/>
      <c r="G8" s="725"/>
      <c r="H8" s="725"/>
      <c r="I8" s="726"/>
      <c r="J8" s="724" t="s">
        <v>598</v>
      </c>
      <c r="K8" s="724" t="s">
        <v>755</v>
      </c>
      <c r="L8" s="724" t="s">
        <v>600</v>
      </c>
      <c r="M8" s="724" t="s">
        <v>601</v>
      </c>
      <c r="N8" s="702" t="s">
        <v>699</v>
      </c>
    </row>
    <row r="9" spans="1:14" ht="16.5" customHeight="1">
      <c r="A9" s="236" t="s">
        <v>299</v>
      </c>
      <c r="B9" s="725"/>
      <c r="C9" s="725"/>
      <c r="D9" s="725"/>
      <c r="E9" s="725"/>
      <c r="F9" s="725"/>
      <c r="G9" s="725"/>
      <c r="H9" s="725"/>
      <c r="I9" s="726"/>
      <c r="J9" s="724"/>
      <c r="K9" s="724"/>
      <c r="L9" s="724"/>
      <c r="M9" s="724"/>
      <c r="N9" s="703"/>
    </row>
    <row r="10" spans="1:14" ht="27" customHeight="1">
      <c r="A10" s="730" t="s">
        <v>678</v>
      </c>
      <c r="B10" s="731"/>
      <c r="C10" s="731"/>
      <c r="D10" s="731"/>
      <c r="E10" s="731"/>
      <c r="F10" s="731"/>
      <c r="G10" s="731"/>
      <c r="H10" s="731"/>
      <c r="I10" s="732"/>
      <c r="J10" s="724"/>
      <c r="K10" s="724"/>
      <c r="L10" s="724"/>
      <c r="M10" s="724"/>
      <c r="N10" s="703"/>
    </row>
    <row r="11" spans="1:14" ht="22.5" customHeight="1" thickBot="1">
      <c r="A11" s="733"/>
      <c r="B11" s="734"/>
      <c r="C11" s="734"/>
      <c r="D11" s="734"/>
      <c r="E11" s="734"/>
      <c r="F11" s="734"/>
      <c r="G11" s="734"/>
      <c r="H11" s="734"/>
      <c r="I11" s="735"/>
      <c r="J11" s="724"/>
      <c r="K11" s="724"/>
      <c r="L11" s="724"/>
      <c r="M11" s="724"/>
      <c r="N11" s="703"/>
    </row>
    <row r="12" spans="1:14" ht="16.5" customHeight="1" thickBot="1">
      <c r="A12" s="197" t="s">
        <v>45</v>
      </c>
      <c r="B12" s="198" t="s">
        <v>46</v>
      </c>
      <c r="C12" s="199" t="s">
        <v>47</v>
      </c>
      <c r="D12" s="199" t="s">
        <v>48</v>
      </c>
      <c r="E12" s="199" t="s">
        <v>49</v>
      </c>
      <c r="F12" s="199" t="s">
        <v>50</v>
      </c>
      <c r="G12" s="200" t="s">
        <v>51</v>
      </c>
      <c r="H12" s="199" t="s">
        <v>52</v>
      </c>
      <c r="I12" s="199" t="s">
        <v>53</v>
      </c>
      <c r="J12" s="199" t="s">
        <v>58</v>
      </c>
      <c r="K12" s="199" t="s">
        <v>59</v>
      </c>
      <c r="L12" s="199" t="s">
        <v>60</v>
      </c>
      <c r="M12" s="199" t="s">
        <v>61</v>
      </c>
      <c r="N12" s="703"/>
    </row>
    <row r="13" spans="1:14" ht="57" customHeight="1" thickBot="1">
      <c r="A13" s="201" t="s">
        <v>36</v>
      </c>
      <c r="B13" s="202" t="s">
        <v>575</v>
      </c>
      <c r="C13" s="203" t="s">
        <v>34</v>
      </c>
      <c r="D13" s="203" t="s">
        <v>54</v>
      </c>
      <c r="E13" s="203" t="s">
        <v>55</v>
      </c>
      <c r="F13" s="203" t="s">
        <v>56</v>
      </c>
      <c r="G13" s="204" t="s">
        <v>57</v>
      </c>
      <c r="H13" s="203" t="s">
        <v>561</v>
      </c>
      <c r="I13" s="203" t="s">
        <v>599</v>
      </c>
      <c r="J13" s="203" t="s">
        <v>78</v>
      </c>
      <c r="K13" s="203" t="s">
        <v>79</v>
      </c>
      <c r="L13" s="203" t="s">
        <v>147</v>
      </c>
      <c r="M13" s="203" t="s">
        <v>713</v>
      </c>
      <c r="N13" s="704"/>
    </row>
    <row r="14" spans="1:14" ht="15.5" thickTop="1" thickBot="1">
      <c r="A14" s="185"/>
      <c r="B14" s="186"/>
      <c r="C14" s="187"/>
      <c r="D14" s="188"/>
      <c r="E14" s="189"/>
      <c r="F14" s="190"/>
      <c r="G14" s="191"/>
      <c r="H14" s="192"/>
      <c r="I14" s="193"/>
      <c r="J14" s="194" t="str">
        <f t="shared" ref="J14" si="0">IF(H14 &gt; 0, I14 / H14, "")</f>
        <v/>
      </c>
      <c r="K14" s="195"/>
      <c r="L14" s="196">
        <f t="shared" ref="L14" si="1">MAX(0, H14 - K14)</f>
        <v>0</v>
      </c>
      <c r="M14" s="228" t="str">
        <f t="shared" ref="M14:M77" si="2">IF(J14 &lt;&gt; "", J14 * L14, "")</f>
        <v/>
      </c>
      <c r="N14" s="232"/>
    </row>
    <row r="15" spans="1:14" ht="15" thickBot="1">
      <c r="A15" s="170"/>
      <c r="B15" s="171"/>
      <c r="C15" s="172"/>
      <c r="D15" s="173"/>
      <c r="E15" s="174"/>
      <c r="F15" s="175"/>
      <c r="G15" s="176"/>
      <c r="H15" s="177"/>
      <c r="I15" s="178"/>
      <c r="J15" s="179" t="str">
        <f t="shared" ref="J15:J78" si="3">IF(H15 &gt; 0, I15 / H15, "")</f>
        <v/>
      </c>
      <c r="K15" s="180"/>
      <c r="L15" s="181">
        <f t="shared" ref="L15:L78" si="4">MAX(0, H15 - K15)</f>
        <v>0</v>
      </c>
      <c r="M15" s="229" t="str">
        <f t="shared" si="2"/>
        <v/>
      </c>
      <c r="N15" s="232"/>
    </row>
    <row r="16" spans="1:14" ht="15" thickBot="1">
      <c r="A16" s="170"/>
      <c r="B16" s="171"/>
      <c r="C16" s="172"/>
      <c r="D16" s="173"/>
      <c r="E16" s="174"/>
      <c r="F16" s="175"/>
      <c r="G16" s="176"/>
      <c r="H16" s="177"/>
      <c r="I16" s="178"/>
      <c r="J16" s="179" t="str">
        <f t="shared" si="3"/>
        <v/>
      </c>
      <c r="K16" s="180"/>
      <c r="L16" s="181">
        <f t="shared" si="4"/>
        <v>0</v>
      </c>
      <c r="M16" s="229" t="str">
        <f t="shared" si="2"/>
        <v/>
      </c>
      <c r="N16" s="232"/>
    </row>
    <row r="17" spans="1:14" ht="15" thickBot="1">
      <c r="A17" s="170"/>
      <c r="B17" s="171"/>
      <c r="C17" s="172"/>
      <c r="D17" s="173"/>
      <c r="E17" s="174"/>
      <c r="F17" s="175"/>
      <c r="G17" s="176"/>
      <c r="H17" s="177"/>
      <c r="I17" s="178"/>
      <c r="J17" s="179" t="str">
        <f t="shared" si="3"/>
        <v/>
      </c>
      <c r="K17" s="180"/>
      <c r="L17" s="181">
        <f t="shared" si="4"/>
        <v>0</v>
      </c>
      <c r="M17" s="229" t="str">
        <f t="shared" si="2"/>
        <v/>
      </c>
      <c r="N17" s="232"/>
    </row>
    <row r="18" spans="1:14" ht="15" thickBot="1">
      <c r="A18" s="170"/>
      <c r="B18" s="171"/>
      <c r="C18" s="172"/>
      <c r="D18" s="173"/>
      <c r="E18" s="174"/>
      <c r="F18" s="175"/>
      <c r="G18" s="176"/>
      <c r="H18" s="177"/>
      <c r="I18" s="178"/>
      <c r="J18" s="179" t="str">
        <f t="shared" si="3"/>
        <v/>
      </c>
      <c r="K18" s="180"/>
      <c r="L18" s="181">
        <f t="shared" si="4"/>
        <v>0</v>
      </c>
      <c r="M18" s="229" t="str">
        <f t="shared" si="2"/>
        <v/>
      </c>
      <c r="N18" s="232"/>
    </row>
    <row r="19" spans="1:14" ht="15" thickBot="1">
      <c r="A19" s="170"/>
      <c r="B19" s="171"/>
      <c r="C19" s="172"/>
      <c r="D19" s="173"/>
      <c r="E19" s="174"/>
      <c r="F19" s="175"/>
      <c r="G19" s="176"/>
      <c r="H19" s="177"/>
      <c r="I19" s="178"/>
      <c r="J19" s="179" t="str">
        <f t="shared" si="3"/>
        <v/>
      </c>
      <c r="K19" s="180"/>
      <c r="L19" s="181">
        <f t="shared" si="4"/>
        <v>0</v>
      </c>
      <c r="M19" s="229" t="str">
        <f t="shared" si="2"/>
        <v/>
      </c>
      <c r="N19" s="232"/>
    </row>
    <row r="20" spans="1:14" ht="15" thickBot="1">
      <c r="A20" s="170"/>
      <c r="B20" s="171"/>
      <c r="C20" s="172"/>
      <c r="D20" s="173"/>
      <c r="E20" s="174"/>
      <c r="F20" s="175"/>
      <c r="G20" s="176"/>
      <c r="H20" s="177"/>
      <c r="I20" s="178"/>
      <c r="J20" s="179" t="str">
        <f t="shared" si="3"/>
        <v/>
      </c>
      <c r="K20" s="180"/>
      <c r="L20" s="181">
        <f t="shared" si="4"/>
        <v>0</v>
      </c>
      <c r="M20" s="229" t="str">
        <f t="shared" si="2"/>
        <v/>
      </c>
      <c r="N20" s="232"/>
    </row>
    <row r="21" spans="1:14" ht="15" thickBot="1">
      <c r="A21" s="170"/>
      <c r="B21" s="171"/>
      <c r="C21" s="172"/>
      <c r="D21" s="173"/>
      <c r="E21" s="174"/>
      <c r="F21" s="175"/>
      <c r="G21" s="176"/>
      <c r="H21" s="177"/>
      <c r="I21" s="178"/>
      <c r="J21" s="179" t="str">
        <f t="shared" si="3"/>
        <v/>
      </c>
      <c r="K21" s="180"/>
      <c r="L21" s="181">
        <f t="shared" si="4"/>
        <v>0</v>
      </c>
      <c r="M21" s="229" t="str">
        <f t="shared" si="2"/>
        <v/>
      </c>
      <c r="N21" s="232"/>
    </row>
    <row r="22" spans="1:14" ht="15" thickBot="1">
      <c r="A22" s="170"/>
      <c r="B22" s="171"/>
      <c r="C22" s="172"/>
      <c r="D22" s="173"/>
      <c r="E22" s="174"/>
      <c r="F22" s="175"/>
      <c r="G22" s="176"/>
      <c r="H22" s="177"/>
      <c r="I22" s="178"/>
      <c r="J22" s="179" t="str">
        <f t="shared" si="3"/>
        <v/>
      </c>
      <c r="K22" s="180"/>
      <c r="L22" s="181">
        <f t="shared" si="4"/>
        <v>0</v>
      </c>
      <c r="M22" s="229" t="str">
        <f t="shared" si="2"/>
        <v/>
      </c>
      <c r="N22" s="232"/>
    </row>
    <row r="23" spans="1:14" ht="15" thickBot="1">
      <c r="A23" s="170"/>
      <c r="B23" s="171"/>
      <c r="C23" s="172"/>
      <c r="D23" s="173"/>
      <c r="E23" s="174"/>
      <c r="F23" s="175"/>
      <c r="G23" s="176"/>
      <c r="H23" s="177"/>
      <c r="I23" s="178"/>
      <c r="J23" s="179" t="str">
        <f t="shared" si="3"/>
        <v/>
      </c>
      <c r="K23" s="180"/>
      <c r="L23" s="181">
        <f t="shared" si="4"/>
        <v>0</v>
      </c>
      <c r="M23" s="229" t="str">
        <f t="shared" si="2"/>
        <v/>
      </c>
      <c r="N23" s="232"/>
    </row>
    <row r="24" spans="1:14" ht="15" thickBot="1">
      <c r="A24" s="170"/>
      <c r="B24" s="171"/>
      <c r="C24" s="172"/>
      <c r="D24" s="173"/>
      <c r="E24" s="174"/>
      <c r="F24" s="175"/>
      <c r="G24" s="176"/>
      <c r="H24" s="177"/>
      <c r="I24" s="178"/>
      <c r="J24" s="179" t="str">
        <f t="shared" si="3"/>
        <v/>
      </c>
      <c r="K24" s="180"/>
      <c r="L24" s="181">
        <f t="shared" si="4"/>
        <v>0</v>
      </c>
      <c r="M24" s="229" t="str">
        <f t="shared" si="2"/>
        <v/>
      </c>
      <c r="N24" s="232"/>
    </row>
    <row r="25" spans="1:14" ht="15" thickBot="1">
      <c r="A25" s="170"/>
      <c r="B25" s="171"/>
      <c r="C25" s="172"/>
      <c r="D25" s="173"/>
      <c r="E25" s="174"/>
      <c r="F25" s="175"/>
      <c r="G25" s="176"/>
      <c r="H25" s="177"/>
      <c r="I25" s="178"/>
      <c r="J25" s="179" t="str">
        <f t="shared" si="3"/>
        <v/>
      </c>
      <c r="K25" s="180"/>
      <c r="L25" s="181">
        <f t="shared" si="4"/>
        <v>0</v>
      </c>
      <c r="M25" s="229" t="str">
        <f t="shared" si="2"/>
        <v/>
      </c>
      <c r="N25" s="232"/>
    </row>
    <row r="26" spans="1:14" ht="15" thickBot="1">
      <c r="A26" s="170"/>
      <c r="B26" s="171"/>
      <c r="C26" s="172"/>
      <c r="D26" s="173"/>
      <c r="E26" s="174"/>
      <c r="F26" s="175"/>
      <c r="G26" s="176"/>
      <c r="H26" s="177"/>
      <c r="I26" s="178"/>
      <c r="J26" s="179" t="str">
        <f t="shared" si="3"/>
        <v/>
      </c>
      <c r="K26" s="180"/>
      <c r="L26" s="181">
        <f t="shared" si="4"/>
        <v>0</v>
      </c>
      <c r="M26" s="229" t="str">
        <f t="shared" si="2"/>
        <v/>
      </c>
      <c r="N26" s="232"/>
    </row>
    <row r="27" spans="1:14" ht="15" thickBot="1">
      <c r="A27" s="170"/>
      <c r="B27" s="171"/>
      <c r="C27" s="172"/>
      <c r="D27" s="173"/>
      <c r="E27" s="174"/>
      <c r="F27" s="175"/>
      <c r="G27" s="176"/>
      <c r="H27" s="177"/>
      <c r="I27" s="178"/>
      <c r="J27" s="179" t="str">
        <f t="shared" si="3"/>
        <v/>
      </c>
      <c r="K27" s="180"/>
      <c r="L27" s="181">
        <f t="shared" si="4"/>
        <v>0</v>
      </c>
      <c r="M27" s="229" t="str">
        <f t="shared" si="2"/>
        <v/>
      </c>
      <c r="N27" s="232"/>
    </row>
    <row r="28" spans="1:14" ht="15" thickBot="1">
      <c r="A28" s="170"/>
      <c r="B28" s="171"/>
      <c r="C28" s="172"/>
      <c r="D28" s="173"/>
      <c r="E28" s="174"/>
      <c r="F28" s="175"/>
      <c r="G28" s="176"/>
      <c r="H28" s="177"/>
      <c r="I28" s="178"/>
      <c r="J28" s="179" t="str">
        <f t="shared" si="3"/>
        <v/>
      </c>
      <c r="K28" s="180"/>
      <c r="L28" s="181">
        <f t="shared" si="4"/>
        <v>0</v>
      </c>
      <c r="M28" s="229" t="str">
        <f t="shared" si="2"/>
        <v/>
      </c>
      <c r="N28" s="232"/>
    </row>
    <row r="29" spans="1:14" ht="15" thickBot="1">
      <c r="A29" s="170"/>
      <c r="B29" s="171"/>
      <c r="C29" s="172"/>
      <c r="D29" s="173"/>
      <c r="E29" s="174"/>
      <c r="F29" s="175"/>
      <c r="G29" s="176"/>
      <c r="H29" s="177"/>
      <c r="I29" s="178"/>
      <c r="J29" s="179" t="str">
        <f t="shared" si="3"/>
        <v/>
      </c>
      <c r="K29" s="180"/>
      <c r="L29" s="181">
        <f t="shared" si="4"/>
        <v>0</v>
      </c>
      <c r="M29" s="229" t="str">
        <f t="shared" si="2"/>
        <v/>
      </c>
      <c r="N29" s="232"/>
    </row>
    <row r="30" spans="1:14" ht="15" thickBot="1">
      <c r="A30" s="170"/>
      <c r="B30" s="171"/>
      <c r="C30" s="172"/>
      <c r="D30" s="173"/>
      <c r="E30" s="174"/>
      <c r="F30" s="175"/>
      <c r="G30" s="176"/>
      <c r="H30" s="177"/>
      <c r="I30" s="178"/>
      <c r="J30" s="179" t="str">
        <f t="shared" si="3"/>
        <v/>
      </c>
      <c r="K30" s="180"/>
      <c r="L30" s="181">
        <f t="shared" si="4"/>
        <v>0</v>
      </c>
      <c r="M30" s="229" t="str">
        <f t="shared" si="2"/>
        <v/>
      </c>
      <c r="N30" s="232"/>
    </row>
    <row r="31" spans="1:14" ht="15" thickBot="1">
      <c r="A31" s="170"/>
      <c r="B31" s="171"/>
      <c r="C31" s="172"/>
      <c r="D31" s="173"/>
      <c r="E31" s="174"/>
      <c r="F31" s="175"/>
      <c r="G31" s="176"/>
      <c r="H31" s="177"/>
      <c r="I31" s="178"/>
      <c r="J31" s="179" t="str">
        <f t="shared" si="3"/>
        <v/>
      </c>
      <c r="K31" s="180"/>
      <c r="L31" s="181">
        <f t="shared" si="4"/>
        <v>0</v>
      </c>
      <c r="M31" s="229" t="str">
        <f t="shared" si="2"/>
        <v/>
      </c>
      <c r="N31" s="232"/>
    </row>
    <row r="32" spans="1:14" ht="15" thickBot="1">
      <c r="A32" s="170"/>
      <c r="B32" s="171"/>
      <c r="C32" s="172"/>
      <c r="D32" s="173"/>
      <c r="E32" s="174"/>
      <c r="F32" s="175"/>
      <c r="G32" s="176"/>
      <c r="H32" s="177"/>
      <c r="I32" s="178"/>
      <c r="J32" s="179" t="str">
        <f t="shared" si="3"/>
        <v/>
      </c>
      <c r="K32" s="180"/>
      <c r="L32" s="181">
        <f t="shared" si="4"/>
        <v>0</v>
      </c>
      <c r="M32" s="229" t="str">
        <f t="shared" si="2"/>
        <v/>
      </c>
      <c r="N32" s="232"/>
    </row>
    <row r="33" spans="1:14" ht="15" thickBot="1">
      <c r="A33" s="170"/>
      <c r="B33" s="171"/>
      <c r="C33" s="172"/>
      <c r="D33" s="173"/>
      <c r="E33" s="174"/>
      <c r="F33" s="175"/>
      <c r="G33" s="176"/>
      <c r="H33" s="177"/>
      <c r="I33" s="178"/>
      <c r="J33" s="179" t="str">
        <f t="shared" si="3"/>
        <v/>
      </c>
      <c r="K33" s="180"/>
      <c r="L33" s="181">
        <f t="shared" si="4"/>
        <v>0</v>
      </c>
      <c r="M33" s="229" t="str">
        <f t="shared" si="2"/>
        <v/>
      </c>
      <c r="N33" s="232"/>
    </row>
    <row r="34" spans="1:14" ht="15" thickBot="1">
      <c r="A34" s="170"/>
      <c r="B34" s="171"/>
      <c r="C34" s="172"/>
      <c r="D34" s="173"/>
      <c r="E34" s="174"/>
      <c r="F34" s="175"/>
      <c r="G34" s="176"/>
      <c r="H34" s="177"/>
      <c r="I34" s="178"/>
      <c r="J34" s="179" t="str">
        <f t="shared" si="3"/>
        <v/>
      </c>
      <c r="K34" s="180"/>
      <c r="L34" s="181">
        <f t="shared" si="4"/>
        <v>0</v>
      </c>
      <c r="M34" s="229" t="str">
        <f t="shared" si="2"/>
        <v/>
      </c>
      <c r="N34" s="232"/>
    </row>
    <row r="35" spans="1:14" ht="15" thickBot="1">
      <c r="A35" s="170"/>
      <c r="B35" s="171"/>
      <c r="C35" s="172"/>
      <c r="D35" s="173"/>
      <c r="E35" s="174"/>
      <c r="F35" s="175"/>
      <c r="G35" s="176"/>
      <c r="H35" s="177"/>
      <c r="I35" s="178"/>
      <c r="J35" s="179" t="str">
        <f t="shared" si="3"/>
        <v/>
      </c>
      <c r="K35" s="180"/>
      <c r="L35" s="181">
        <f t="shared" si="4"/>
        <v>0</v>
      </c>
      <c r="M35" s="229" t="str">
        <f t="shared" si="2"/>
        <v/>
      </c>
      <c r="N35" s="232"/>
    </row>
    <row r="36" spans="1:14" ht="15" thickBot="1">
      <c r="A36" s="170"/>
      <c r="B36" s="171"/>
      <c r="C36" s="172"/>
      <c r="D36" s="173"/>
      <c r="E36" s="174"/>
      <c r="F36" s="175"/>
      <c r="G36" s="176"/>
      <c r="H36" s="177"/>
      <c r="I36" s="178"/>
      <c r="J36" s="179" t="str">
        <f t="shared" si="3"/>
        <v/>
      </c>
      <c r="K36" s="180"/>
      <c r="L36" s="181">
        <f t="shared" si="4"/>
        <v>0</v>
      </c>
      <c r="M36" s="229" t="str">
        <f t="shared" si="2"/>
        <v/>
      </c>
      <c r="N36" s="232"/>
    </row>
    <row r="37" spans="1:14" ht="15" thickBot="1">
      <c r="A37" s="170"/>
      <c r="B37" s="171"/>
      <c r="C37" s="172"/>
      <c r="D37" s="173"/>
      <c r="E37" s="174"/>
      <c r="F37" s="175"/>
      <c r="G37" s="176"/>
      <c r="H37" s="177"/>
      <c r="I37" s="178"/>
      <c r="J37" s="179" t="str">
        <f t="shared" si="3"/>
        <v/>
      </c>
      <c r="K37" s="180"/>
      <c r="L37" s="181">
        <f t="shared" si="4"/>
        <v>0</v>
      </c>
      <c r="M37" s="229" t="str">
        <f t="shared" si="2"/>
        <v/>
      </c>
      <c r="N37" s="232"/>
    </row>
    <row r="38" spans="1:14" ht="15" thickBot="1">
      <c r="A38" s="170"/>
      <c r="B38" s="171"/>
      <c r="C38" s="172"/>
      <c r="D38" s="173"/>
      <c r="E38" s="174"/>
      <c r="F38" s="175"/>
      <c r="G38" s="176"/>
      <c r="H38" s="177"/>
      <c r="I38" s="178"/>
      <c r="J38" s="179" t="str">
        <f t="shared" si="3"/>
        <v/>
      </c>
      <c r="K38" s="180"/>
      <c r="L38" s="181">
        <f t="shared" si="4"/>
        <v>0</v>
      </c>
      <c r="M38" s="229" t="str">
        <f t="shared" si="2"/>
        <v/>
      </c>
      <c r="N38" s="232"/>
    </row>
    <row r="39" spans="1:14" ht="15" thickBot="1">
      <c r="A39" s="170"/>
      <c r="B39" s="171"/>
      <c r="C39" s="172"/>
      <c r="D39" s="173"/>
      <c r="E39" s="174"/>
      <c r="F39" s="175"/>
      <c r="G39" s="176"/>
      <c r="H39" s="177"/>
      <c r="I39" s="178"/>
      <c r="J39" s="179" t="str">
        <f t="shared" si="3"/>
        <v/>
      </c>
      <c r="K39" s="180"/>
      <c r="L39" s="181">
        <f t="shared" si="4"/>
        <v>0</v>
      </c>
      <c r="M39" s="229" t="str">
        <f t="shared" si="2"/>
        <v/>
      </c>
      <c r="N39" s="232"/>
    </row>
    <row r="40" spans="1:14" ht="15" thickBot="1">
      <c r="A40" s="170"/>
      <c r="B40" s="171"/>
      <c r="C40" s="172"/>
      <c r="D40" s="173"/>
      <c r="E40" s="174"/>
      <c r="F40" s="175"/>
      <c r="G40" s="176"/>
      <c r="H40" s="177"/>
      <c r="I40" s="178"/>
      <c r="J40" s="179" t="str">
        <f t="shared" si="3"/>
        <v/>
      </c>
      <c r="K40" s="180"/>
      <c r="L40" s="181">
        <f t="shared" si="4"/>
        <v>0</v>
      </c>
      <c r="M40" s="229" t="str">
        <f t="shared" si="2"/>
        <v/>
      </c>
      <c r="N40" s="232"/>
    </row>
    <row r="41" spans="1:14" ht="15" thickBot="1">
      <c r="A41" s="170"/>
      <c r="B41" s="171"/>
      <c r="C41" s="172"/>
      <c r="D41" s="173"/>
      <c r="E41" s="174"/>
      <c r="F41" s="175"/>
      <c r="G41" s="176"/>
      <c r="H41" s="177"/>
      <c r="I41" s="178"/>
      <c r="J41" s="179" t="str">
        <f t="shared" si="3"/>
        <v/>
      </c>
      <c r="K41" s="180"/>
      <c r="L41" s="181">
        <f t="shared" si="4"/>
        <v>0</v>
      </c>
      <c r="M41" s="229" t="str">
        <f t="shared" si="2"/>
        <v/>
      </c>
      <c r="N41" s="232"/>
    </row>
    <row r="42" spans="1:14" ht="15" thickBot="1">
      <c r="A42" s="170"/>
      <c r="B42" s="171"/>
      <c r="C42" s="172"/>
      <c r="D42" s="173"/>
      <c r="E42" s="174"/>
      <c r="F42" s="175"/>
      <c r="G42" s="176"/>
      <c r="H42" s="177"/>
      <c r="I42" s="178"/>
      <c r="J42" s="179" t="str">
        <f t="shared" si="3"/>
        <v/>
      </c>
      <c r="K42" s="180"/>
      <c r="L42" s="181">
        <f t="shared" si="4"/>
        <v>0</v>
      </c>
      <c r="M42" s="229" t="str">
        <f t="shared" si="2"/>
        <v/>
      </c>
      <c r="N42" s="232"/>
    </row>
    <row r="43" spans="1:14" ht="15" thickBot="1">
      <c r="A43" s="170"/>
      <c r="B43" s="171"/>
      <c r="C43" s="172"/>
      <c r="D43" s="173"/>
      <c r="E43" s="174"/>
      <c r="F43" s="175"/>
      <c r="G43" s="176"/>
      <c r="H43" s="177"/>
      <c r="I43" s="178"/>
      <c r="J43" s="179" t="str">
        <f t="shared" si="3"/>
        <v/>
      </c>
      <c r="K43" s="180"/>
      <c r="L43" s="181">
        <f t="shared" si="4"/>
        <v>0</v>
      </c>
      <c r="M43" s="229" t="str">
        <f t="shared" si="2"/>
        <v/>
      </c>
      <c r="N43" s="232"/>
    </row>
    <row r="44" spans="1:14" ht="15" thickBot="1">
      <c r="A44" s="170"/>
      <c r="B44" s="171"/>
      <c r="C44" s="172"/>
      <c r="D44" s="173"/>
      <c r="E44" s="174"/>
      <c r="F44" s="175"/>
      <c r="G44" s="176"/>
      <c r="H44" s="177"/>
      <c r="I44" s="178"/>
      <c r="J44" s="179" t="str">
        <f t="shared" si="3"/>
        <v/>
      </c>
      <c r="K44" s="180"/>
      <c r="L44" s="181">
        <f t="shared" si="4"/>
        <v>0</v>
      </c>
      <c r="M44" s="229" t="str">
        <f t="shared" si="2"/>
        <v/>
      </c>
      <c r="N44" s="232"/>
    </row>
    <row r="45" spans="1:14" ht="15" thickBot="1">
      <c r="A45" s="170"/>
      <c r="B45" s="171"/>
      <c r="C45" s="172"/>
      <c r="D45" s="173"/>
      <c r="E45" s="174"/>
      <c r="F45" s="175"/>
      <c r="G45" s="176"/>
      <c r="H45" s="177"/>
      <c r="I45" s="178"/>
      <c r="J45" s="179" t="str">
        <f t="shared" si="3"/>
        <v/>
      </c>
      <c r="K45" s="180"/>
      <c r="L45" s="181">
        <f t="shared" si="4"/>
        <v>0</v>
      </c>
      <c r="M45" s="229" t="str">
        <f t="shared" si="2"/>
        <v/>
      </c>
      <c r="N45" s="232"/>
    </row>
    <row r="46" spans="1:14" ht="15" thickBot="1">
      <c r="A46" s="170"/>
      <c r="B46" s="171"/>
      <c r="C46" s="172"/>
      <c r="D46" s="173"/>
      <c r="E46" s="174"/>
      <c r="F46" s="175"/>
      <c r="G46" s="176"/>
      <c r="H46" s="177"/>
      <c r="I46" s="178"/>
      <c r="J46" s="179" t="str">
        <f t="shared" si="3"/>
        <v/>
      </c>
      <c r="K46" s="180"/>
      <c r="L46" s="181">
        <f t="shared" si="4"/>
        <v>0</v>
      </c>
      <c r="M46" s="229" t="str">
        <f t="shared" si="2"/>
        <v/>
      </c>
      <c r="N46" s="232"/>
    </row>
    <row r="47" spans="1:14" ht="15" thickBot="1">
      <c r="A47" s="170"/>
      <c r="B47" s="171"/>
      <c r="C47" s="172"/>
      <c r="D47" s="173"/>
      <c r="E47" s="174"/>
      <c r="F47" s="175"/>
      <c r="G47" s="176"/>
      <c r="H47" s="177"/>
      <c r="I47" s="178"/>
      <c r="J47" s="179" t="str">
        <f t="shared" si="3"/>
        <v/>
      </c>
      <c r="K47" s="180"/>
      <c r="L47" s="181">
        <f t="shared" si="4"/>
        <v>0</v>
      </c>
      <c r="M47" s="229" t="str">
        <f t="shared" si="2"/>
        <v/>
      </c>
      <c r="N47" s="232"/>
    </row>
    <row r="48" spans="1:14" ht="15" thickBot="1">
      <c r="A48" s="170"/>
      <c r="B48" s="171"/>
      <c r="C48" s="172"/>
      <c r="D48" s="173"/>
      <c r="E48" s="174"/>
      <c r="F48" s="175"/>
      <c r="G48" s="176"/>
      <c r="H48" s="177"/>
      <c r="I48" s="178"/>
      <c r="J48" s="179" t="str">
        <f t="shared" si="3"/>
        <v/>
      </c>
      <c r="K48" s="180"/>
      <c r="L48" s="181">
        <f t="shared" si="4"/>
        <v>0</v>
      </c>
      <c r="M48" s="229" t="str">
        <f t="shared" si="2"/>
        <v/>
      </c>
      <c r="N48" s="232"/>
    </row>
    <row r="49" spans="1:14" ht="15" thickBot="1">
      <c r="A49" s="170"/>
      <c r="B49" s="171"/>
      <c r="C49" s="172"/>
      <c r="D49" s="173"/>
      <c r="E49" s="174"/>
      <c r="F49" s="175"/>
      <c r="G49" s="176"/>
      <c r="H49" s="177"/>
      <c r="I49" s="178"/>
      <c r="J49" s="179" t="str">
        <f t="shared" si="3"/>
        <v/>
      </c>
      <c r="K49" s="180"/>
      <c r="L49" s="181">
        <f t="shared" si="4"/>
        <v>0</v>
      </c>
      <c r="M49" s="229" t="str">
        <f t="shared" si="2"/>
        <v/>
      </c>
      <c r="N49" s="232"/>
    </row>
    <row r="50" spans="1:14" ht="15" thickBot="1">
      <c r="A50" s="170"/>
      <c r="B50" s="171"/>
      <c r="C50" s="172"/>
      <c r="D50" s="173"/>
      <c r="E50" s="174"/>
      <c r="F50" s="175"/>
      <c r="G50" s="176"/>
      <c r="H50" s="177"/>
      <c r="I50" s="178"/>
      <c r="J50" s="179" t="str">
        <f t="shared" si="3"/>
        <v/>
      </c>
      <c r="K50" s="180"/>
      <c r="L50" s="181">
        <f t="shared" si="4"/>
        <v>0</v>
      </c>
      <c r="M50" s="229" t="str">
        <f t="shared" si="2"/>
        <v/>
      </c>
      <c r="N50" s="232"/>
    </row>
    <row r="51" spans="1:14" ht="15" thickBot="1">
      <c r="A51" s="170"/>
      <c r="B51" s="171"/>
      <c r="C51" s="172"/>
      <c r="D51" s="173"/>
      <c r="E51" s="174"/>
      <c r="F51" s="175"/>
      <c r="G51" s="176"/>
      <c r="H51" s="177"/>
      <c r="I51" s="178"/>
      <c r="J51" s="179" t="str">
        <f t="shared" si="3"/>
        <v/>
      </c>
      <c r="K51" s="180"/>
      <c r="L51" s="181">
        <f t="shared" si="4"/>
        <v>0</v>
      </c>
      <c r="M51" s="229" t="str">
        <f t="shared" si="2"/>
        <v/>
      </c>
      <c r="N51" s="232"/>
    </row>
    <row r="52" spans="1:14" ht="15" thickBot="1">
      <c r="A52" s="170"/>
      <c r="B52" s="171"/>
      <c r="C52" s="172"/>
      <c r="D52" s="173"/>
      <c r="E52" s="174"/>
      <c r="F52" s="175"/>
      <c r="G52" s="176"/>
      <c r="H52" s="177"/>
      <c r="I52" s="178"/>
      <c r="J52" s="179" t="str">
        <f t="shared" si="3"/>
        <v/>
      </c>
      <c r="K52" s="180"/>
      <c r="L52" s="181">
        <f t="shared" si="4"/>
        <v>0</v>
      </c>
      <c r="M52" s="229" t="str">
        <f t="shared" si="2"/>
        <v/>
      </c>
      <c r="N52" s="232"/>
    </row>
    <row r="53" spans="1:14" ht="15" thickBot="1">
      <c r="A53" s="170"/>
      <c r="B53" s="171"/>
      <c r="C53" s="172"/>
      <c r="D53" s="173"/>
      <c r="E53" s="174"/>
      <c r="F53" s="175"/>
      <c r="G53" s="176"/>
      <c r="H53" s="177"/>
      <c r="I53" s="178"/>
      <c r="J53" s="179" t="str">
        <f t="shared" si="3"/>
        <v/>
      </c>
      <c r="K53" s="180"/>
      <c r="L53" s="181">
        <f t="shared" si="4"/>
        <v>0</v>
      </c>
      <c r="M53" s="229" t="str">
        <f t="shared" si="2"/>
        <v/>
      </c>
      <c r="N53" s="232"/>
    </row>
    <row r="54" spans="1:14" ht="15" thickBot="1">
      <c r="A54" s="170"/>
      <c r="B54" s="171"/>
      <c r="C54" s="172"/>
      <c r="D54" s="173"/>
      <c r="E54" s="174"/>
      <c r="F54" s="175"/>
      <c r="G54" s="176"/>
      <c r="H54" s="177"/>
      <c r="I54" s="178"/>
      <c r="J54" s="179" t="str">
        <f t="shared" si="3"/>
        <v/>
      </c>
      <c r="K54" s="180"/>
      <c r="L54" s="181">
        <f t="shared" si="4"/>
        <v>0</v>
      </c>
      <c r="M54" s="229" t="str">
        <f t="shared" si="2"/>
        <v/>
      </c>
      <c r="N54" s="232"/>
    </row>
    <row r="55" spans="1:14" ht="15" thickBot="1">
      <c r="A55" s="170"/>
      <c r="B55" s="171"/>
      <c r="C55" s="172"/>
      <c r="D55" s="173"/>
      <c r="E55" s="174"/>
      <c r="F55" s="175"/>
      <c r="G55" s="176"/>
      <c r="H55" s="177"/>
      <c r="I55" s="178"/>
      <c r="J55" s="179" t="str">
        <f t="shared" si="3"/>
        <v/>
      </c>
      <c r="K55" s="180"/>
      <c r="L55" s="181">
        <f t="shared" si="4"/>
        <v>0</v>
      </c>
      <c r="M55" s="229" t="str">
        <f t="shared" si="2"/>
        <v/>
      </c>
      <c r="N55" s="232"/>
    </row>
    <row r="56" spans="1:14" ht="15" thickBot="1">
      <c r="A56" s="170"/>
      <c r="B56" s="171"/>
      <c r="C56" s="172"/>
      <c r="D56" s="173"/>
      <c r="E56" s="174"/>
      <c r="F56" s="175"/>
      <c r="G56" s="176"/>
      <c r="H56" s="177"/>
      <c r="I56" s="178"/>
      <c r="J56" s="179" t="str">
        <f t="shared" si="3"/>
        <v/>
      </c>
      <c r="K56" s="180"/>
      <c r="L56" s="181">
        <f t="shared" si="4"/>
        <v>0</v>
      </c>
      <c r="M56" s="229" t="str">
        <f t="shared" si="2"/>
        <v/>
      </c>
      <c r="N56" s="232"/>
    </row>
    <row r="57" spans="1:14" ht="15" thickBot="1">
      <c r="A57" s="170"/>
      <c r="B57" s="171"/>
      <c r="C57" s="172"/>
      <c r="D57" s="173"/>
      <c r="E57" s="174"/>
      <c r="F57" s="175"/>
      <c r="G57" s="176"/>
      <c r="H57" s="177"/>
      <c r="I57" s="178"/>
      <c r="J57" s="179" t="str">
        <f t="shared" si="3"/>
        <v/>
      </c>
      <c r="K57" s="180"/>
      <c r="L57" s="181">
        <f t="shared" si="4"/>
        <v>0</v>
      </c>
      <c r="M57" s="229" t="str">
        <f t="shared" si="2"/>
        <v/>
      </c>
      <c r="N57" s="232"/>
    </row>
    <row r="58" spans="1:14" ht="15" thickBot="1">
      <c r="A58" s="170"/>
      <c r="B58" s="171"/>
      <c r="C58" s="172"/>
      <c r="D58" s="173"/>
      <c r="E58" s="174"/>
      <c r="F58" s="175"/>
      <c r="G58" s="176"/>
      <c r="H58" s="177"/>
      <c r="I58" s="178"/>
      <c r="J58" s="179" t="str">
        <f t="shared" si="3"/>
        <v/>
      </c>
      <c r="K58" s="180"/>
      <c r="L58" s="181">
        <f t="shared" si="4"/>
        <v>0</v>
      </c>
      <c r="M58" s="229" t="str">
        <f t="shared" si="2"/>
        <v/>
      </c>
      <c r="N58" s="232"/>
    </row>
    <row r="59" spans="1:14" ht="15" thickBot="1">
      <c r="A59" s="170"/>
      <c r="B59" s="171"/>
      <c r="C59" s="172"/>
      <c r="D59" s="173"/>
      <c r="E59" s="174"/>
      <c r="F59" s="175"/>
      <c r="G59" s="176"/>
      <c r="H59" s="177"/>
      <c r="I59" s="178"/>
      <c r="J59" s="179" t="str">
        <f t="shared" si="3"/>
        <v/>
      </c>
      <c r="K59" s="180"/>
      <c r="L59" s="181">
        <f t="shared" si="4"/>
        <v>0</v>
      </c>
      <c r="M59" s="229" t="str">
        <f t="shared" si="2"/>
        <v/>
      </c>
      <c r="N59" s="232"/>
    </row>
    <row r="60" spans="1:14" ht="15" thickBot="1">
      <c r="A60" s="170"/>
      <c r="B60" s="171"/>
      <c r="C60" s="172"/>
      <c r="D60" s="173"/>
      <c r="E60" s="174"/>
      <c r="F60" s="175"/>
      <c r="G60" s="176"/>
      <c r="H60" s="177"/>
      <c r="I60" s="178"/>
      <c r="J60" s="179" t="str">
        <f t="shared" si="3"/>
        <v/>
      </c>
      <c r="K60" s="180"/>
      <c r="L60" s="181">
        <f t="shared" si="4"/>
        <v>0</v>
      </c>
      <c r="M60" s="229" t="str">
        <f t="shared" si="2"/>
        <v/>
      </c>
      <c r="N60" s="232"/>
    </row>
    <row r="61" spans="1:14" ht="15" thickBot="1">
      <c r="A61" s="170"/>
      <c r="B61" s="171"/>
      <c r="C61" s="172"/>
      <c r="D61" s="173"/>
      <c r="E61" s="174"/>
      <c r="F61" s="175"/>
      <c r="G61" s="176"/>
      <c r="H61" s="177"/>
      <c r="I61" s="178"/>
      <c r="J61" s="179" t="str">
        <f t="shared" si="3"/>
        <v/>
      </c>
      <c r="K61" s="180"/>
      <c r="L61" s="181">
        <f t="shared" si="4"/>
        <v>0</v>
      </c>
      <c r="M61" s="229" t="str">
        <f t="shared" si="2"/>
        <v/>
      </c>
      <c r="N61" s="232"/>
    </row>
    <row r="62" spans="1:14" ht="15" thickBot="1">
      <c r="A62" s="170"/>
      <c r="B62" s="171"/>
      <c r="C62" s="172"/>
      <c r="D62" s="173"/>
      <c r="E62" s="174"/>
      <c r="F62" s="175"/>
      <c r="G62" s="176"/>
      <c r="H62" s="177"/>
      <c r="I62" s="178"/>
      <c r="J62" s="179" t="str">
        <f t="shared" si="3"/>
        <v/>
      </c>
      <c r="K62" s="180"/>
      <c r="L62" s="181">
        <f t="shared" si="4"/>
        <v>0</v>
      </c>
      <c r="M62" s="229" t="str">
        <f t="shared" si="2"/>
        <v/>
      </c>
      <c r="N62" s="232"/>
    </row>
    <row r="63" spans="1:14" ht="15" thickBot="1">
      <c r="A63" s="170"/>
      <c r="B63" s="171"/>
      <c r="C63" s="172"/>
      <c r="D63" s="173"/>
      <c r="E63" s="174"/>
      <c r="F63" s="175"/>
      <c r="G63" s="176"/>
      <c r="H63" s="177"/>
      <c r="I63" s="178"/>
      <c r="J63" s="179" t="str">
        <f t="shared" si="3"/>
        <v/>
      </c>
      <c r="K63" s="180"/>
      <c r="L63" s="181">
        <f t="shared" si="4"/>
        <v>0</v>
      </c>
      <c r="M63" s="229" t="str">
        <f t="shared" si="2"/>
        <v/>
      </c>
      <c r="N63" s="232"/>
    </row>
    <row r="64" spans="1:14" ht="15" thickBot="1">
      <c r="A64" s="170"/>
      <c r="B64" s="171"/>
      <c r="C64" s="172"/>
      <c r="D64" s="173"/>
      <c r="E64" s="174"/>
      <c r="F64" s="175"/>
      <c r="G64" s="176"/>
      <c r="H64" s="177"/>
      <c r="I64" s="178"/>
      <c r="J64" s="179" t="str">
        <f t="shared" si="3"/>
        <v/>
      </c>
      <c r="K64" s="180"/>
      <c r="L64" s="181">
        <f t="shared" si="4"/>
        <v>0</v>
      </c>
      <c r="M64" s="229" t="str">
        <f t="shared" si="2"/>
        <v/>
      </c>
      <c r="N64" s="232"/>
    </row>
    <row r="65" spans="1:14" ht="15" thickBot="1">
      <c r="A65" s="170"/>
      <c r="B65" s="171"/>
      <c r="C65" s="172"/>
      <c r="D65" s="173"/>
      <c r="E65" s="174"/>
      <c r="F65" s="175"/>
      <c r="G65" s="176"/>
      <c r="H65" s="177"/>
      <c r="I65" s="178"/>
      <c r="J65" s="179" t="str">
        <f t="shared" si="3"/>
        <v/>
      </c>
      <c r="K65" s="180"/>
      <c r="L65" s="181">
        <f t="shared" si="4"/>
        <v>0</v>
      </c>
      <c r="M65" s="229" t="str">
        <f t="shared" si="2"/>
        <v/>
      </c>
      <c r="N65" s="232"/>
    </row>
    <row r="66" spans="1:14" ht="15" thickBot="1">
      <c r="A66" s="170"/>
      <c r="B66" s="171"/>
      <c r="C66" s="172"/>
      <c r="D66" s="173"/>
      <c r="E66" s="174"/>
      <c r="F66" s="175"/>
      <c r="G66" s="176"/>
      <c r="H66" s="177"/>
      <c r="I66" s="178"/>
      <c r="J66" s="179" t="str">
        <f t="shared" si="3"/>
        <v/>
      </c>
      <c r="K66" s="180"/>
      <c r="L66" s="181">
        <f t="shared" si="4"/>
        <v>0</v>
      </c>
      <c r="M66" s="229" t="str">
        <f t="shared" si="2"/>
        <v/>
      </c>
      <c r="N66" s="232"/>
    </row>
    <row r="67" spans="1:14" ht="15" thickBot="1">
      <c r="A67" s="170"/>
      <c r="B67" s="171"/>
      <c r="C67" s="172"/>
      <c r="D67" s="173"/>
      <c r="E67" s="174"/>
      <c r="F67" s="175"/>
      <c r="G67" s="176"/>
      <c r="H67" s="177"/>
      <c r="I67" s="178"/>
      <c r="J67" s="179" t="str">
        <f t="shared" si="3"/>
        <v/>
      </c>
      <c r="K67" s="180"/>
      <c r="L67" s="181">
        <f t="shared" si="4"/>
        <v>0</v>
      </c>
      <c r="M67" s="229" t="str">
        <f t="shared" si="2"/>
        <v/>
      </c>
      <c r="N67" s="232"/>
    </row>
    <row r="68" spans="1:14" ht="15" thickBot="1">
      <c r="A68" s="170"/>
      <c r="B68" s="171"/>
      <c r="C68" s="172"/>
      <c r="D68" s="173"/>
      <c r="E68" s="174"/>
      <c r="F68" s="175"/>
      <c r="G68" s="176"/>
      <c r="H68" s="177"/>
      <c r="I68" s="178"/>
      <c r="J68" s="179" t="str">
        <f t="shared" si="3"/>
        <v/>
      </c>
      <c r="K68" s="180"/>
      <c r="L68" s="181">
        <f t="shared" si="4"/>
        <v>0</v>
      </c>
      <c r="M68" s="229" t="str">
        <f t="shared" si="2"/>
        <v/>
      </c>
      <c r="N68" s="232"/>
    </row>
    <row r="69" spans="1:14" ht="15" thickBot="1">
      <c r="A69" s="170"/>
      <c r="B69" s="171"/>
      <c r="C69" s="172"/>
      <c r="D69" s="173"/>
      <c r="E69" s="174"/>
      <c r="F69" s="175"/>
      <c r="G69" s="176"/>
      <c r="H69" s="177"/>
      <c r="I69" s="178"/>
      <c r="J69" s="179" t="str">
        <f t="shared" si="3"/>
        <v/>
      </c>
      <c r="K69" s="180"/>
      <c r="L69" s="181">
        <f t="shared" si="4"/>
        <v>0</v>
      </c>
      <c r="M69" s="229" t="str">
        <f t="shared" si="2"/>
        <v/>
      </c>
      <c r="N69" s="232"/>
    </row>
    <row r="70" spans="1:14" ht="15" thickBot="1">
      <c r="A70" s="170"/>
      <c r="B70" s="171"/>
      <c r="C70" s="172"/>
      <c r="D70" s="173"/>
      <c r="E70" s="174"/>
      <c r="F70" s="175"/>
      <c r="G70" s="176"/>
      <c r="H70" s="177"/>
      <c r="I70" s="178"/>
      <c r="J70" s="179" t="str">
        <f t="shared" si="3"/>
        <v/>
      </c>
      <c r="K70" s="180"/>
      <c r="L70" s="181">
        <f t="shared" si="4"/>
        <v>0</v>
      </c>
      <c r="M70" s="229" t="str">
        <f t="shared" si="2"/>
        <v/>
      </c>
      <c r="N70" s="232"/>
    </row>
    <row r="71" spans="1:14" ht="15" thickBot="1">
      <c r="A71" s="170"/>
      <c r="B71" s="171"/>
      <c r="C71" s="172"/>
      <c r="D71" s="173"/>
      <c r="E71" s="174"/>
      <c r="F71" s="175"/>
      <c r="G71" s="176"/>
      <c r="H71" s="177"/>
      <c r="I71" s="178"/>
      <c r="J71" s="179" t="str">
        <f t="shared" si="3"/>
        <v/>
      </c>
      <c r="K71" s="180"/>
      <c r="L71" s="181">
        <f t="shared" si="4"/>
        <v>0</v>
      </c>
      <c r="M71" s="229" t="str">
        <f t="shared" si="2"/>
        <v/>
      </c>
      <c r="N71" s="232"/>
    </row>
    <row r="72" spans="1:14" ht="15" thickBot="1">
      <c r="A72" s="170"/>
      <c r="B72" s="171"/>
      <c r="C72" s="172"/>
      <c r="D72" s="173"/>
      <c r="E72" s="174"/>
      <c r="F72" s="175"/>
      <c r="G72" s="176"/>
      <c r="H72" s="177"/>
      <c r="I72" s="178"/>
      <c r="J72" s="179" t="str">
        <f t="shared" si="3"/>
        <v/>
      </c>
      <c r="K72" s="180"/>
      <c r="L72" s="181">
        <f t="shared" si="4"/>
        <v>0</v>
      </c>
      <c r="M72" s="229" t="str">
        <f t="shared" si="2"/>
        <v/>
      </c>
      <c r="N72" s="232"/>
    </row>
    <row r="73" spans="1:14" ht="15" thickBot="1">
      <c r="A73" s="170"/>
      <c r="B73" s="171"/>
      <c r="C73" s="172"/>
      <c r="D73" s="173"/>
      <c r="E73" s="174"/>
      <c r="F73" s="175"/>
      <c r="G73" s="176"/>
      <c r="H73" s="177"/>
      <c r="I73" s="178"/>
      <c r="J73" s="179" t="str">
        <f t="shared" si="3"/>
        <v/>
      </c>
      <c r="K73" s="180"/>
      <c r="L73" s="181">
        <f t="shared" si="4"/>
        <v>0</v>
      </c>
      <c r="M73" s="229" t="str">
        <f t="shared" si="2"/>
        <v/>
      </c>
      <c r="N73" s="232"/>
    </row>
    <row r="74" spans="1:14" ht="15" thickBot="1">
      <c r="A74" s="170"/>
      <c r="B74" s="171"/>
      <c r="C74" s="172"/>
      <c r="D74" s="173"/>
      <c r="E74" s="174"/>
      <c r="F74" s="175"/>
      <c r="G74" s="176"/>
      <c r="H74" s="177"/>
      <c r="I74" s="178"/>
      <c r="J74" s="179" t="str">
        <f t="shared" si="3"/>
        <v/>
      </c>
      <c r="K74" s="180"/>
      <c r="L74" s="181">
        <f t="shared" si="4"/>
        <v>0</v>
      </c>
      <c r="M74" s="229" t="str">
        <f t="shared" si="2"/>
        <v/>
      </c>
      <c r="N74" s="232"/>
    </row>
    <row r="75" spans="1:14" ht="15" thickBot="1">
      <c r="A75" s="170"/>
      <c r="B75" s="171"/>
      <c r="C75" s="172"/>
      <c r="D75" s="173"/>
      <c r="E75" s="174"/>
      <c r="F75" s="175"/>
      <c r="G75" s="176"/>
      <c r="H75" s="177"/>
      <c r="I75" s="178"/>
      <c r="J75" s="179" t="str">
        <f t="shared" si="3"/>
        <v/>
      </c>
      <c r="K75" s="180"/>
      <c r="L75" s="181">
        <f t="shared" si="4"/>
        <v>0</v>
      </c>
      <c r="M75" s="229" t="str">
        <f t="shared" si="2"/>
        <v/>
      </c>
      <c r="N75" s="232"/>
    </row>
    <row r="76" spans="1:14" ht="15" thickBot="1">
      <c r="A76" s="170"/>
      <c r="B76" s="171"/>
      <c r="C76" s="172"/>
      <c r="D76" s="173"/>
      <c r="E76" s="174"/>
      <c r="F76" s="175"/>
      <c r="G76" s="176"/>
      <c r="H76" s="177"/>
      <c r="I76" s="178"/>
      <c r="J76" s="179" t="str">
        <f t="shared" si="3"/>
        <v/>
      </c>
      <c r="K76" s="180"/>
      <c r="L76" s="181">
        <f t="shared" si="4"/>
        <v>0</v>
      </c>
      <c r="M76" s="229" t="str">
        <f t="shared" si="2"/>
        <v/>
      </c>
      <c r="N76" s="232"/>
    </row>
    <row r="77" spans="1:14" ht="15" thickBot="1">
      <c r="A77" s="170"/>
      <c r="B77" s="171"/>
      <c r="C77" s="172"/>
      <c r="D77" s="173"/>
      <c r="E77" s="174"/>
      <c r="F77" s="175"/>
      <c r="G77" s="176"/>
      <c r="H77" s="177"/>
      <c r="I77" s="178"/>
      <c r="J77" s="179" t="str">
        <f t="shared" si="3"/>
        <v/>
      </c>
      <c r="K77" s="180"/>
      <c r="L77" s="181">
        <f t="shared" si="4"/>
        <v>0</v>
      </c>
      <c r="M77" s="229" t="str">
        <f t="shared" si="2"/>
        <v/>
      </c>
      <c r="N77" s="232"/>
    </row>
    <row r="78" spans="1:14" ht="15" thickBot="1">
      <c r="A78" s="170"/>
      <c r="B78" s="171"/>
      <c r="C78" s="172"/>
      <c r="D78" s="173"/>
      <c r="E78" s="174"/>
      <c r="F78" s="175"/>
      <c r="G78" s="176"/>
      <c r="H78" s="177"/>
      <c r="I78" s="178"/>
      <c r="J78" s="179" t="str">
        <f t="shared" si="3"/>
        <v/>
      </c>
      <c r="K78" s="180"/>
      <c r="L78" s="181">
        <f t="shared" si="4"/>
        <v>0</v>
      </c>
      <c r="M78" s="229" t="str">
        <f t="shared" ref="M78:M141" si="5">IF(J78 &lt;&gt; "", J78 * L78, "")</f>
        <v/>
      </c>
      <c r="N78" s="232"/>
    </row>
    <row r="79" spans="1:14" ht="15" thickBot="1">
      <c r="A79" s="170"/>
      <c r="B79" s="171"/>
      <c r="C79" s="172"/>
      <c r="D79" s="173"/>
      <c r="E79" s="174"/>
      <c r="F79" s="175"/>
      <c r="G79" s="176"/>
      <c r="H79" s="177"/>
      <c r="I79" s="178"/>
      <c r="J79" s="179" t="str">
        <f t="shared" ref="J79:J142" si="6">IF(H79 &gt; 0, I79 / H79, "")</f>
        <v/>
      </c>
      <c r="K79" s="180"/>
      <c r="L79" s="181">
        <f t="shared" ref="L79:L142" si="7">MAX(0, H79 - K79)</f>
        <v>0</v>
      </c>
      <c r="M79" s="229" t="str">
        <f t="shared" si="5"/>
        <v/>
      </c>
      <c r="N79" s="232"/>
    </row>
    <row r="80" spans="1:14" ht="15" thickBot="1">
      <c r="A80" s="170"/>
      <c r="B80" s="171"/>
      <c r="C80" s="172"/>
      <c r="D80" s="173"/>
      <c r="E80" s="174"/>
      <c r="F80" s="175"/>
      <c r="G80" s="176"/>
      <c r="H80" s="177"/>
      <c r="I80" s="178"/>
      <c r="J80" s="179" t="str">
        <f t="shared" si="6"/>
        <v/>
      </c>
      <c r="K80" s="180"/>
      <c r="L80" s="181">
        <f t="shared" si="7"/>
        <v>0</v>
      </c>
      <c r="M80" s="229" t="str">
        <f t="shared" si="5"/>
        <v/>
      </c>
      <c r="N80" s="232"/>
    </row>
    <row r="81" spans="1:14" ht="15" thickBot="1">
      <c r="A81" s="170"/>
      <c r="B81" s="171"/>
      <c r="C81" s="172"/>
      <c r="D81" s="173"/>
      <c r="E81" s="174"/>
      <c r="F81" s="175"/>
      <c r="G81" s="176"/>
      <c r="H81" s="177"/>
      <c r="I81" s="178"/>
      <c r="J81" s="179" t="str">
        <f t="shared" si="6"/>
        <v/>
      </c>
      <c r="K81" s="180"/>
      <c r="L81" s="181">
        <f t="shared" si="7"/>
        <v>0</v>
      </c>
      <c r="M81" s="229" t="str">
        <f t="shared" si="5"/>
        <v/>
      </c>
      <c r="N81" s="232"/>
    </row>
    <row r="82" spans="1:14" ht="15" thickBot="1">
      <c r="A82" s="170"/>
      <c r="B82" s="171"/>
      <c r="C82" s="172"/>
      <c r="D82" s="173"/>
      <c r="E82" s="174"/>
      <c r="F82" s="175"/>
      <c r="G82" s="176"/>
      <c r="H82" s="177"/>
      <c r="I82" s="178"/>
      <c r="J82" s="179" t="str">
        <f t="shared" si="6"/>
        <v/>
      </c>
      <c r="K82" s="180"/>
      <c r="L82" s="181">
        <f t="shared" si="7"/>
        <v>0</v>
      </c>
      <c r="M82" s="229" t="str">
        <f t="shared" si="5"/>
        <v/>
      </c>
      <c r="N82" s="232"/>
    </row>
    <row r="83" spans="1:14" ht="15" thickBot="1">
      <c r="A83" s="170"/>
      <c r="B83" s="171"/>
      <c r="C83" s="172"/>
      <c r="D83" s="173"/>
      <c r="E83" s="174"/>
      <c r="F83" s="175"/>
      <c r="G83" s="176"/>
      <c r="H83" s="177"/>
      <c r="I83" s="178"/>
      <c r="J83" s="179" t="str">
        <f t="shared" si="6"/>
        <v/>
      </c>
      <c r="K83" s="180"/>
      <c r="L83" s="181">
        <f t="shared" si="7"/>
        <v>0</v>
      </c>
      <c r="M83" s="229" t="str">
        <f t="shared" si="5"/>
        <v/>
      </c>
      <c r="N83" s="232"/>
    </row>
    <row r="84" spans="1:14" ht="15" thickBot="1">
      <c r="A84" s="170"/>
      <c r="B84" s="171"/>
      <c r="C84" s="172"/>
      <c r="D84" s="173"/>
      <c r="E84" s="174"/>
      <c r="F84" s="175"/>
      <c r="G84" s="176"/>
      <c r="H84" s="177"/>
      <c r="I84" s="178"/>
      <c r="J84" s="179" t="str">
        <f t="shared" si="6"/>
        <v/>
      </c>
      <c r="K84" s="180"/>
      <c r="L84" s="181">
        <f t="shared" si="7"/>
        <v>0</v>
      </c>
      <c r="M84" s="229" t="str">
        <f t="shared" si="5"/>
        <v/>
      </c>
      <c r="N84" s="232"/>
    </row>
    <row r="85" spans="1:14" ht="15" thickBot="1">
      <c r="A85" s="170"/>
      <c r="B85" s="171"/>
      <c r="C85" s="172"/>
      <c r="D85" s="173"/>
      <c r="E85" s="174"/>
      <c r="F85" s="175"/>
      <c r="G85" s="176"/>
      <c r="H85" s="177"/>
      <c r="I85" s="178"/>
      <c r="J85" s="179" t="str">
        <f t="shared" si="6"/>
        <v/>
      </c>
      <c r="K85" s="180"/>
      <c r="L85" s="181">
        <f t="shared" si="7"/>
        <v>0</v>
      </c>
      <c r="M85" s="229" t="str">
        <f t="shared" si="5"/>
        <v/>
      </c>
      <c r="N85" s="232"/>
    </row>
    <row r="86" spans="1:14" ht="15" thickBot="1">
      <c r="A86" s="170"/>
      <c r="B86" s="171"/>
      <c r="C86" s="172"/>
      <c r="D86" s="173"/>
      <c r="E86" s="174"/>
      <c r="F86" s="175"/>
      <c r="G86" s="176"/>
      <c r="H86" s="177"/>
      <c r="I86" s="178"/>
      <c r="J86" s="179" t="str">
        <f t="shared" si="6"/>
        <v/>
      </c>
      <c r="K86" s="180"/>
      <c r="L86" s="181">
        <f t="shared" si="7"/>
        <v>0</v>
      </c>
      <c r="M86" s="229" t="str">
        <f t="shared" si="5"/>
        <v/>
      </c>
      <c r="N86" s="232"/>
    </row>
    <row r="87" spans="1:14" ht="15" thickBot="1">
      <c r="A87" s="170"/>
      <c r="B87" s="171"/>
      <c r="C87" s="172"/>
      <c r="D87" s="173"/>
      <c r="E87" s="174"/>
      <c r="F87" s="175"/>
      <c r="G87" s="176"/>
      <c r="H87" s="177"/>
      <c r="I87" s="178"/>
      <c r="J87" s="179" t="str">
        <f t="shared" si="6"/>
        <v/>
      </c>
      <c r="K87" s="180"/>
      <c r="L87" s="181">
        <f t="shared" si="7"/>
        <v>0</v>
      </c>
      <c r="M87" s="229" t="str">
        <f t="shared" si="5"/>
        <v/>
      </c>
      <c r="N87" s="232"/>
    </row>
    <row r="88" spans="1:14" ht="15" thickBot="1">
      <c r="A88" s="170"/>
      <c r="B88" s="171"/>
      <c r="C88" s="172"/>
      <c r="D88" s="173"/>
      <c r="E88" s="174"/>
      <c r="F88" s="175"/>
      <c r="G88" s="176"/>
      <c r="H88" s="177"/>
      <c r="I88" s="178"/>
      <c r="J88" s="179" t="str">
        <f t="shared" si="6"/>
        <v/>
      </c>
      <c r="K88" s="180"/>
      <c r="L88" s="181">
        <f t="shared" si="7"/>
        <v>0</v>
      </c>
      <c r="M88" s="229" t="str">
        <f t="shared" si="5"/>
        <v/>
      </c>
      <c r="N88" s="232"/>
    </row>
    <row r="89" spans="1:14" ht="15" thickBot="1">
      <c r="A89" s="170"/>
      <c r="B89" s="171"/>
      <c r="C89" s="172"/>
      <c r="D89" s="173"/>
      <c r="E89" s="174"/>
      <c r="F89" s="175"/>
      <c r="G89" s="176"/>
      <c r="H89" s="177"/>
      <c r="I89" s="178"/>
      <c r="J89" s="179" t="str">
        <f t="shared" si="6"/>
        <v/>
      </c>
      <c r="K89" s="180"/>
      <c r="L89" s="181">
        <f t="shared" si="7"/>
        <v>0</v>
      </c>
      <c r="M89" s="229" t="str">
        <f t="shared" si="5"/>
        <v/>
      </c>
      <c r="N89" s="232"/>
    </row>
    <row r="90" spans="1:14" ht="15" thickBot="1">
      <c r="A90" s="170"/>
      <c r="B90" s="171"/>
      <c r="C90" s="172"/>
      <c r="D90" s="173"/>
      <c r="E90" s="174"/>
      <c r="F90" s="175"/>
      <c r="G90" s="176"/>
      <c r="H90" s="177"/>
      <c r="I90" s="178"/>
      <c r="J90" s="179" t="str">
        <f t="shared" si="6"/>
        <v/>
      </c>
      <c r="K90" s="180"/>
      <c r="L90" s="181">
        <f t="shared" si="7"/>
        <v>0</v>
      </c>
      <c r="M90" s="229" t="str">
        <f t="shared" si="5"/>
        <v/>
      </c>
      <c r="N90" s="232"/>
    </row>
    <row r="91" spans="1:14" ht="15" thickBot="1">
      <c r="A91" s="170"/>
      <c r="B91" s="171"/>
      <c r="C91" s="172"/>
      <c r="D91" s="173"/>
      <c r="E91" s="174"/>
      <c r="F91" s="175"/>
      <c r="G91" s="176"/>
      <c r="H91" s="177"/>
      <c r="I91" s="178"/>
      <c r="J91" s="179" t="str">
        <f t="shared" si="6"/>
        <v/>
      </c>
      <c r="K91" s="180"/>
      <c r="L91" s="181">
        <f t="shared" si="7"/>
        <v>0</v>
      </c>
      <c r="M91" s="229" t="str">
        <f t="shared" si="5"/>
        <v/>
      </c>
      <c r="N91" s="232"/>
    </row>
    <row r="92" spans="1:14" ht="15" thickBot="1">
      <c r="A92" s="170"/>
      <c r="B92" s="171"/>
      <c r="C92" s="172"/>
      <c r="D92" s="173"/>
      <c r="E92" s="174"/>
      <c r="F92" s="175"/>
      <c r="G92" s="176"/>
      <c r="H92" s="177"/>
      <c r="I92" s="178"/>
      <c r="J92" s="179" t="str">
        <f t="shared" si="6"/>
        <v/>
      </c>
      <c r="K92" s="180"/>
      <c r="L92" s="181">
        <f t="shared" si="7"/>
        <v>0</v>
      </c>
      <c r="M92" s="229" t="str">
        <f t="shared" si="5"/>
        <v/>
      </c>
      <c r="N92" s="232"/>
    </row>
    <row r="93" spans="1:14" ht="15" thickBot="1">
      <c r="A93" s="170"/>
      <c r="B93" s="171"/>
      <c r="C93" s="172"/>
      <c r="D93" s="173"/>
      <c r="E93" s="174"/>
      <c r="F93" s="175"/>
      <c r="G93" s="176"/>
      <c r="H93" s="177"/>
      <c r="I93" s="178"/>
      <c r="J93" s="179" t="str">
        <f t="shared" si="6"/>
        <v/>
      </c>
      <c r="K93" s="180"/>
      <c r="L93" s="181">
        <f t="shared" si="7"/>
        <v>0</v>
      </c>
      <c r="M93" s="229" t="str">
        <f t="shared" si="5"/>
        <v/>
      </c>
      <c r="N93" s="232"/>
    </row>
    <row r="94" spans="1:14" ht="15" thickBot="1">
      <c r="A94" s="170"/>
      <c r="B94" s="171"/>
      <c r="C94" s="172"/>
      <c r="D94" s="173"/>
      <c r="E94" s="174"/>
      <c r="F94" s="175"/>
      <c r="G94" s="176"/>
      <c r="H94" s="177"/>
      <c r="I94" s="178"/>
      <c r="J94" s="179" t="str">
        <f t="shared" si="6"/>
        <v/>
      </c>
      <c r="K94" s="180"/>
      <c r="L94" s="181">
        <f t="shared" si="7"/>
        <v>0</v>
      </c>
      <c r="M94" s="229" t="str">
        <f t="shared" si="5"/>
        <v/>
      </c>
      <c r="N94" s="232"/>
    </row>
    <row r="95" spans="1:14" ht="15" thickBot="1">
      <c r="A95" s="170"/>
      <c r="B95" s="171"/>
      <c r="C95" s="172"/>
      <c r="D95" s="173"/>
      <c r="E95" s="174"/>
      <c r="F95" s="175"/>
      <c r="G95" s="176"/>
      <c r="H95" s="177"/>
      <c r="I95" s="178"/>
      <c r="J95" s="179" t="str">
        <f t="shared" si="6"/>
        <v/>
      </c>
      <c r="K95" s="180"/>
      <c r="L95" s="181">
        <f t="shared" si="7"/>
        <v>0</v>
      </c>
      <c r="M95" s="229" t="str">
        <f t="shared" si="5"/>
        <v/>
      </c>
      <c r="N95" s="232"/>
    </row>
    <row r="96" spans="1:14" ht="15" thickBot="1">
      <c r="A96" s="170"/>
      <c r="B96" s="171"/>
      <c r="C96" s="172"/>
      <c r="D96" s="173"/>
      <c r="E96" s="174"/>
      <c r="F96" s="175"/>
      <c r="G96" s="176"/>
      <c r="H96" s="177"/>
      <c r="I96" s="178"/>
      <c r="J96" s="179" t="str">
        <f t="shared" si="6"/>
        <v/>
      </c>
      <c r="K96" s="180"/>
      <c r="L96" s="181">
        <f t="shared" si="7"/>
        <v>0</v>
      </c>
      <c r="M96" s="229" t="str">
        <f t="shared" si="5"/>
        <v/>
      </c>
      <c r="N96" s="232"/>
    </row>
    <row r="97" spans="1:14" ht="15" thickBot="1">
      <c r="A97" s="170"/>
      <c r="B97" s="171"/>
      <c r="C97" s="172"/>
      <c r="D97" s="173"/>
      <c r="E97" s="174"/>
      <c r="F97" s="175"/>
      <c r="G97" s="176"/>
      <c r="H97" s="177"/>
      <c r="I97" s="178"/>
      <c r="J97" s="179" t="str">
        <f t="shared" si="6"/>
        <v/>
      </c>
      <c r="K97" s="180"/>
      <c r="L97" s="181">
        <f t="shared" si="7"/>
        <v>0</v>
      </c>
      <c r="M97" s="229" t="str">
        <f t="shared" si="5"/>
        <v/>
      </c>
      <c r="N97" s="232"/>
    </row>
    <row r="98" spans="1:14" ht="15" thickBot="1">
      <c r="A98" s="170"/>
      <c r="B98" s="171"/>
      <c r="C98" s="172"/>
      <c r="D98" s="173"/>
      <c r="E98" s="174"/>
      <c r="F98" s="175"/>
      <c r="G98" s="176"/>
      <c r="H98" s="177"/>
      <c r="I98" s="178"/>
      <c r="J98" s="179" t="str">
        <f t="shared" si="6"/>
        <v/>
      </c>
      <c r="K98" s="180"/>
      <c r="L98" s="181">
        <f t="shared" si="7"/>
        <v>0</v>
      </c>
      <c r="M98" s="229" t="str">
        <f t="shared" si="5"/>
        <v/>
      </c>
      <c r="N98" s="232"/>
    </row>
    <row r="99" spans="1:14" ht="15" thickBot="1">
      <c r="A99" s="170"/>
      <c r="B99" s="171"/>
      <c r="C99" s="172"/>
      <c r="D99" s="173"/>
      <c r="E99" s="174"/>
      <c r="F99" s="175"/>
      <c r="G99" s="176"/>
      <c r="H99" s="177"/>
      <c r="I99" s="178"/>
      <c r="J99" s="179" t="str">
        <f t="shared" si="6"/>
        <v/>
      </c>
      <c r="K99" s="180"/>
      <c r="L99" s="181">
        <f t="shared" si="7"/>
        <v>0</v>
      </c>
      <c r="M99" s="229" t="str">
        <f t="shared" si="5"/>
        <v/>
      </c>
      <c r="N99" s="232"/>
    </row>
    <row r="100" spans="1:14" ht="15" thickBot="1">
      <c r="A100" s="170"/>
      <c r="B100" s="171"/>
      <c r="C100" s="172"/>
      <c r="D100" s="173"/>
      <c r="E100" s="174"/>
      <c r="F100" s="175"/>
      <c r="G100" s="176"/>
      <c r="H100" s="177"/>
      <c r="I100" s="178"/>
      <c r="J100" s="179" t="str">
        <f t="shared" si="6"/>
        <v/>
      </c>
      <c r="K100" s="180"/>
      <c r="L100" s="181">
        <f t="shared" si="7"/>
        <v>0</v>
      </c>
      <c r="M100" s="229" t="str">
        <f t="shared" si="5"/>
        <v/>
      </c>
      <c r="N100" s="232"/>
    </row>
    <row r="101" spans="1:14" ht="15" thickBot="1">
      <c r="A101" s="170"/>
      <c r="B101" s="171"/>
      <c r="C101" s="172"/>
      <c r="D101" s="173"/>
      <c r="E101" s="174"/>
      <c r="F101" s="175"/>
      <c r="G101" s="176"/>
      <c r="H101" s="177"/>
      <c r="I101" s="178"/>
      <c r="J101" s="179" t="str">
        <f t="shared" si="6"/>
        <v/>
      </c>
      <c r="K101" s="180"/>
      <c r="L101" s="181">
        <f t="shared" si="7"/>
        <v>0</v>
      </c>
      <c r="M101" s="229" t="str">
        <f t="shared" si="5"/>
        <v/>
      </c>
      <c r="N101" s="232"/>
    </row>
    <row r="102" spans="1:14" ht="15" thickBot="1">
      <c r="A102" s="170"/>
      <c r="B102" s="171"/>
      <c r="C102" s="172"/>
      <c r="D102" s="173"/>
      <c r="E102" s="174"/>
      <c r="F102" s="175"/>
      <c r="G102" s="176"/>
      <c r="H102" s="177"/>
      <c r="I102" s="178"/>
      <c r="J102" s="179" t="str">
        <f t="shared" si="6"/>
        <v/>
      </c>
      <c r="K102" s="180"/>
      <c r="L102" s="181">
        <f t="shared" si="7"/>
        <v>0</v>
      </c>
      <c r="M102" s="229" t="str">
        <f t="shared" si="5"/>
        <v/>
      </c>
      <c r="N102" s="232"/>
    </row>
    <row r="103" spans="1:14" ht="15" thickBot="1">
      <c r="A103" s="170"/>
      <c r="B103" s="171"/>
      <c r="C103" s="172"/>
      <c r="D103" s="173"/>
      <c r="E103" s="174"/>
      <c r="F103" s="175"/>
      <c r="G103" s="176"/>
      <c r="H103" s="177"/>
      <c r="I103" s="178"/>
      <c r="J103" s="179" t="str">
        <f t="shared" si="6"/>
        <v/>
      </c>
      <c r="K103" s="180"/>
      <c r="L103" s="181">
        <f t="shared" si="7"/>
        <v>0</v>
      </c>
      <c r="M103" s="229" t="str">
        <f t="shared" si="5"/>
        <v/>
      </c>
      <c r="N103" s="232"/>
    </row>
    <row r="104" spans="1:14" ht="15" thickBot="1">
      <c r="A104" s="170"/>
      <c r="B104" s="171"/>
      <c r="C104" s="172"/>
      <c r="D104" s="173"/>
      <c r="E104" s="174"/>
      <c r="F104" s="175"/>
      <c r="G104" s="176"/>
      <c r="H104" s="177"/>
      <c r="I104" s="178"/>
      <c r="J104" s="179" t="str">
        <f t="shared" si="6"/>
        <v/>
      </c>
      <c r="K104" s="180"/>
      <c r="L104" s="181">
        <f t="shared" si="7"/>
        <v>0</v>
      </c>
      <c r="M104" s="229" t="str">
        <f t="shared" si="5"/>
        <v/>
      </c>
      <c r="N104" s="232"/>
    </row>
    <row r="105" spans="1:14" ht="15" thickBot="1">
      <c r="A105" s="170"/>
      <c r="B105" s="171"/>
      <c r="C105" s="172"/>
      <c r="D105" s="173"/>
      <c r="E105" s="174"/>
      <c r="F105" s="175"/>
      <c r="G105" s="176"/>
      <c r="H105" s="177"/>
      <c r="I105" s="178"/>
      <c r="J105" s="179" t="str">
        <f t="shared" si="6"/>
        <v/>
      </c>
      <c r="K105" s="180"/>
      <c r="L105" s="181">
        <f t="shared" si="7"/>
        <v>0</v>
      </c>
      <c r="M105" s="229" t="str">
        <f t="shared" si="5"/>
        <v/>
      </c>
      <c r="N105" s="232"/>
    </row>
    <row r="106" spans="1:14" ht="15" thickBot="1">
      <c r="A106" s="170"/>
      <c r="B106" s="171"/>
      <c r="C106" s="172"/>
      <c r="D106" s="173"/>
      <c r="E106" s="174"/>
      <c r="F106" s="175"/>
      <c r="G106" s="176"/>
      <c r="H106" s="177"/>
      <c r="I106" s="178"/>
      <c r="J106" s="179" t="str">
        <f t="shared" si="6"/>
        <v/>
      </c>
      <c r="K106" s="180"/>
      <c r="L106" s="181">
        <f t="shared" si="7"/>
        <v>0</v>
      </c>
      <c r="M106" s="229" t="str">
        <f t="shared" si="5"/>
        <v/>
      </c>
      <c r="N106" s="232"/>
    </row>
    <row r="107" spans="1:14" ht="15" thickBot="1">
      <c r="A107" s="170"/>
      <c r="B107" s="171"/>
      <c r="C107" s="172"/>
      <c r="D107" s="173"/>
      <c r="E107" s="174"/>
      <c r="F107" s="175"/>
      <c r="G107" s="176"/>
      <c r="H107" s="177"/>
      <c r="I107" s="178"/>
      <c r="J107" s="179" t="str">
        <f t="shared" si="6"/>
        <v/>
      </c>
      <c r="K107" s="180"/>
      <c r="L107" s="181">
        <f t="shared" si="7"/>
        <v>0</v>
      </c>
      <c r="M107" s="229" t="str">
        <f t="shared" si="5"/>
        <v/>
      </c>
      <c r="N107" s="232"/>
    </row>
    <row r="108" spans="1:14" ht="15" thickBot="1">
      <c r="A108" s="170"/>
      <c r="B108" s="171"/>
      <c r="C108" s="172"/>
      <c r="D108" s="173"/>
      <c r="E108" s="174"/>
      <c r="F108" s="175"/>
      <c r="G108" s="176"/>
      <c r="H108" s="177"/>
      <c r="I108" s="178"/>
      <c r="J108" s="179" t="str">
        <f t="shared" si="6"/>
        <v/>
      </c>
      <c r="K108" s="180"/>
      <c r="L108" s="181">
        <f t="shared" si="7"/>
        <v>0</v>
      </c>
      <c r="M108" s="229" t="str">
        <f t="shared" si="5"/>
        <v/>
      </c>
      <c r="N108" s="232"/>
    </row>
    <row r="109" spans="1:14" ht="15" thickBot="1">
      <c r="A109" s="170"/>
      <c r="B109" s="171"/>
      <c r="C109" s="172"/>
      <c r="D109" s="173"/>
      <c r="E109" s="174"/>
      <c r="F109" s="175"/>
      <c r="G109" s="176"/>
      <c r="H109" s="177"/>
      <c r="I109" s="178"/>
      <c r="J109" s="179" t="str">
        <f t="shared" si="6"/>
        <v/>
      </c>
      <c r="K109" s="180"/>
      <c r="L109" s="181">
        <f t="shared" si="7"/>
        <v>0</v>
      </c>
      <c r="M109" s="229" t="str">
        <f t="shared" si="5"/>
        <v/>
      </c>
      <c r="N109" s="232"/>
    </row>
    <row r="110" spans="1:14" ht="15" thickBot="1">
      <c r="A110" s="170"/>
      <c r="B110" s="171"/>
      <c r="C110" s="172"/>
      <c r="D110" s="173"/>
      <c r="E110" s="174"/>
      <c r="F110" s="175"/>
      <c r="G110" s="176"/>
      <c r="H110" s="177"/>
      <c r="I110" s="178"/>
      <c r="J110" s="179" t="str">
        <f t="shared" si="6"/>
        <v/>
      </c>
      <c r="K110" s="180"/>
      <c r="L110" s="181">
        <f t="shared" si="7"/>
        <v>0</v>
      </c>
      <c r="M110" s="229" t="str">
        <f t="shared" si="5"/>
        <v/>
      </c>
      <c r="N110" s="232"/>
    </row>
    <row r="111" spans="1:14" ht="15" thickBot="1">
      <c r="A111" s="170"/>
      <c r="B111" s="171"/>
      <c r="C111" s="172"/>
      <c r="D111" s="173"/>
      <c r="E111" s="174"/>
      <c r="F111" s="175"/>
      <c r="G111" s="176"/>
      <c r="H111" s="177"/>
      <c r="I111" s="178"/>
      <c r="J111" s="179" t="str">
        <f t="shared" si="6"/>
        <v/>
      </c>
      <c r="K111" s="180"/>
      <c r="L111" s="181">
        <f t="shared" si="7"/>
        <v>0</v>
      </c>
      <c r="M111" s="229" t="str">
        <f t="shared" si="5"/>
        <v/>
      </c>
      <c r="N111" s="232"/>
    </row>
    <row r="112" spans="1:14" ht="15" thickBot="1">
      <c r="A112" s="170"/>
      <c r="B112" s="171"/>
      <c r="C112" s="172"/>
      <c r="D112" s="173"/>
      <c r="E112" s="174"/>
      <c r="F112" s="175"/>
      <c r="G112" s="176"/>
      <c r="H112" s="177"/>
      <c r="I112" s="178"/>
      <c r="J112" s="179" t="str">
        <f t="shared" si="6"/>
        <v/>
      </c>
      <c r="K112" s="180"/>
      <c r="L112" s="181">
        <f t="shared" si="7"/>
        <v>0</v>
      </c>
      <c r="M112" s="229" t="str">
        <f t="shared" si="5"/>
        <v/>
      </c>
      <c r="N112" s="232"/>
    </row>
    <row r="113" spans="1:14" ht="15" thickBot="1">
      <c r="A113" s="170"/>
      <c r="B113" s="171"/>
      <c r="C113" s="172"/>
      <c r="D113" s="173"/>
      <c r="E113" s="174"/>
      <c r="F113" s="175"/>
      <c r="G113" s="176"/>
      <c r="H113" s="177"/>
      <c r="I113" s="178"/>
      <c r="J113" s="179" t="str">
        <f t="shared" si="6"/>
        <v/>
      </c>
      <c r="K113" s="180"/>
      <c r="L113" s="181">
        <f t="shared" si="7"/>
        <v>0</v>
      </c>
      <c r="M113" s="229" t="str">
        <f t="shared" si="5"/>
        <v/>
      </c>
      <c r="N113" s="232"/>
    </row>
    <row r="114" spans="1:14" ht="15" thickBot="1">
      <c r="A114" s="170"/>
      <c r="B114" s="171"/>
      <c r="C114" s="172"/>
      <c r="D114" s="173"/>
      <c r="E114" s="174"/>
      <c r="F114" s="175"/>
      <c r="G114" s="176"/>
      <c r="H114" s="177"/>
      <c r="I114" s="178"/>
      <c r="J114" s="179" t="str">
        <f t="shared" si="6"/>
        <v/>
      </c>
      <c r="K114" s="180"/>
      <c r="L114" s="181">
        <f t="shared" si="7"/>
        <v>0</v>
      </c>
      <c r="M114" s="229" t="str">
        <f t="shared" si="5"/>
        <v/>
      </c>
      <c r="N114" s="232"/>
    </row>
    <row r="115" spans="1:14" ht="15" thickBot="1">
      <c r="A115" s="170"/>
      <c r="B115" s="171"/>
      <c r="C115" s="172"/>
      <c r="D115" s="173"/>
      <c r="E115" s="174"/>
      <c r="F115" s="175"/>
      <c r="G115" s="176"/>
      <c r="H115" s="177"/>
      <c r="I115" s="178"/>
      <c r="J115" s="179" t="str">
        <f t="shared" si="6"/>
        <v/>
      </c>
      <c r="K115" s="180"/>
      <c r="L115" s="181">
        <f t="shared" si="7"/>
        <v>0</v>
      </c>
      <c r="M115" s="229" t="str">
        <f t="shared" si="5"/>
        <v/>
      </c>
      <c r="N115" s="232"/>
    </row>
    <row r="116" spans="1:14" ht="15" thickBot="1">
      <c r="A116" s="170"/>
      <c r="B116" s="171"/>
      <c r="C116" s="172"/>
      <c r="D116" s="173"/>
      <c r="E116" s="174"/>
      <c r="F116" s="175"/>
      <c r="G116" s="176"/>
      <c r="H116" s="177"/>
      <c r="I116" s="178"/>
      <c r="J116" s="179" t="str">
        <f t="shared" si="6"/>
        <v/>
      </c>
      <c r="K116" s="180"/>
      <c r="L116" s="181">
        <f t="shared" si="7"/>
        <v>0</v>
      </c>
      <c r="M116" s="229" t="str">
        <f t="shared" si="5"/>
        <v/>
      </c>
      <c r="N116" s="232"/>
    </row>
    <row r="117" spans="1:14" ht="15" thickBot="1">
      <c r="A117" s="170"/>
      <c r="B117" s="171"/>
      <c r="C117" s="172"/>
      <c r="D117" s="173"/>
      <c r="E117" s="174"/>
      <c r="F117" s="175"/>
      <c r="G117" s="176"/>
      <c r="H117" s="177"/>
      <c r="I117" s="178"/>
      <c r="J117" s="179" t="str">
        <f t="shared" si="6"/>
        <v/>
      </c>
      <c r="K117" s="180"/>
      <c r="L117" s="181">
        <f t="shared" si="7"/>
        <v>0</v>
      </c>
      <c r="M117" s="229" t="str">
        <f t="shared" si="5"/>
        <v/>
      </c>
      <c r="N117" s="232"/>
    </row>
    <row r="118" spans="1:14" ht="15" thickBot="1">
      <c r="A118" s="170"/>
      <c r="B118" s="171"/>
      <c r="C118" s="172"/>
      <c r="D118" s="173"/>
      <c r="E118" s="174"/>
      <c r="F118" s="175"/>
      <c r="G118" s="176"/>
      <c r="H118" s="177"/>
      <c r="I118" s="178"/>
      <c r="J118" s="179" t="str">
        <f t="shared" si="6"/>
        <v/>
      </c>
      <c r="K118" s="180"/>
      <c r="L118" s="181">
        <f t="shared" si="7"/>
        <v>0</v>
      </c>
      <c r="M118" s="229" t="str">
        <f t="shared" si="5"/>
        <v/>
      </c>
      <c r="N118" s="232"/>
    </row>
    <row r="119" spans="1:14" ht="15" thickBot="1">
      <c r="A119" s="170"/>
      <c r="B119" s="171"/>
      <c r="C119" s="172"/>
      <c r="D119" s="173"/>
      <c r="E119" s="174"/>
      <c r="F119" s="175"/>
      <c r="G119" s="176"/>
      <c r="H119" s="177"/>
      <c r="I119" s="178"/>
      <c r="J119" s="179" t="str">
        <f t="shared" si="6"/>
        <v/>
      </c>
      <c r="K119" s="180"/>
      <c r="L119" s="181">
        <f t="shared" si="7"/>
        <v>0</v>
      </c>
      <c r="M119" s="229" t="str">
        <f t="shared" si="5"/>
        <v/>
      </c>
      <c r="N119" s="232"/>
    </row>
    <row r="120" spans="1:14" ht="15" thickBot="1">
      <c r="A120" s="170"/>
      <c r="B120" s="171"/>
      <c r="C120" s="172"/>
      <c r="D120" s="173"/>
      <c r="E120" s="174"/>
      <c r="F120" s="175"/>
      <c r="G120" s="176"/>
      <c r="H120" s="177"/>
      <c r="I120" s="178"/>
      <c r="J120" s="179" t="str">
        <f t="shared" si="6"/>
        <v/>
      </c>
      <c r="K120" s="180"/>
      <c r="L120" s="181">
        <f t="shared" si="7"/>
        <v>0</v>
      </c>
      <c r="M120" s="229" t="str">
        <f t="shared" si="5"/>
        <v/>
      </c>
      <c r="N120" s="232"/>
    </row>
    <row r="121" spans="1:14" ht="15" thickBot="1">
      <c r="A121" s="170"/>
      <c r="B121" s="171"/>
      <c r="C121" s="172"/>
      <c r="D121" s="173"/>
      <c r="E121" s="174"/>
      <c r="F121" s="175"/>
      <c r="G121" s="176"/>
      <c r="H121" s="177"/>
      <c r="I121" s="178"/>
      <c r="J121" s="179" t="str">
        <f t="shared" si="6"/>
        <v/>
      </c>
      <c r="K121" s="180"/>
      <c r="L121" s="181">
        <f t="shared" si="7"/>
        <v>0</v>
      </c>
      <c r="M121" s="229" t="str">
        <f t="shared" si="5"/>
        <v/>
      </c>
      <c r="N121" s="232"/>
    </row>
    <row r="122" spans="1:14" ht="15" thickBot="1">
      <c r="A122" s="170"/>
      <c r="B122" s="171"/>
      <c r="C122" s="172"/>
      <c r="D122" s="173"/>
      <c r="E122" s="174"/>
      <c r="F122" s="175"/>
      <c r="G122" s="176"/>
      <c r="H122" s="177"/>
      <c r="I122" s="178"/>
      <c r="J122" s="179" t="str">
        <f t="shared" si="6"/>
        <v/>
      </c>
      <c r="K122" s="180"/>
      <c r="L122" s="181">
        <f t="shared" si="7"/>
        <v>0</v>
      </c>
      <c r="M122" s="229" t="str">
        <f t="shared" si="5"/>
        <v/>
      </c>
      <c r="N122" s="232"/>
    </row>
    <row r="123" spans="1:14" ht="15" thickBot="1">
      <c r="A123" s="170"/>
      <c r="B123" s="171"/>
      <c r="C123" s="172"/>
      <c r="D123" s="173"/>
      <c r="E123" s="174"/>
      <c r="F123" s="175"/>
      <c r="G123" s="176"/>
      <c r="H123" s="177"/>
      <c r="I123" s="178"/>
      <c r="J123" s="179" t="str">
        <f t="shared" si="6"/>
        <v/>
      </c>
      <c r="K123" s="180"/>
      <c r="L123" s="181">
        <f t="shared" si="7"/>
        <v>0</v>
      </c>
      <c r="M123" s="229" t="str">
        <f t="shared" si="5"/>
        <v/>
      </c>
      <c r="N123" s="232"/>
    </row>
    <row r="124" spans="1:14" ht="15" thickBot="1">
      <c r="A124" s="170"/>
      <c r="B124" s="171"/>
      <c r="C124" s="172"/>
      <c r="D124" s="173"/>
      <c r="E124" s="174"/>
      <c r="F124" s="175"/>
      <c r="G124" s="176"/>
      <c r="H124" s="177"/>
      <c r="I124" s="178"/>
      <c r="J124" s="179" t="str">
        <f t="shared" si="6"/>
        <v/>
      </c>
      <c r="K124" s="180"/>
      <c r="L124" s="181">
        <f t="shared" si="7"/>
        <v>0</v>
      </c>
      <c r="M124" s="229" t="str">
        <f t="shared" si="5"/>
        <v/>
      </c>
      <c r="N124" s="232"/>
    </row>
    <row r="125" spans="1:14" ht="15" thickBot="1">
      <c r="A125" s="170"/>
      <c r="B125" s="171"/>
      <c r="C125" s="172"/>
      <c r="D125" s="173"/>
      <c r="E125" s="174"/>
      <c r="F125" s="175"/>
      <c r="G125" s="176"/>
      <c r="H125" s="177"/>
      <c r="I125" s="178"/>
      <c r="J125" s="179" t="str">
        <f t="shared" si="6"/>
        <v/>
      </c>
      <c r="K125" s="180"/>
      <c r="L125" s="181">
        <f t="shared" si="7"/>
        <v>0</v>
      </c>
      <c r="M125" s="229" t="str">
        <f t="shared" si="5"/>
        <v/>
      </c>
      <c r="N125" s="232"/>
    </row>
    <row r="126" spans="1:14" ht="15" thickBot="1">
      <c r="A126" s="170"/>
      <c r="B126" s="171"/>
      <c r="C126" s="172"/>
      <c r="D126" s="173"/>
      <c r="E126" s="174"/>
      <c r="F126" s="175"/>
      <c r="G126" s="176"/>
      <c r="H126" s="177"/>
      <c r="I126" s="178"/>
      <c r="J126" s="179" t="str">
        <f t="shared" si="6"/>
        <v/>
      </c>
      <c r="K126" s="180"/>
      <c r="L126" s="181">
        <f t="shared" si="7"/>
        <v>0</v>
      </c>
      <c r="M126" s="229" t="str">
        <f t="shared" si="5"/>
        <v/>
      </c>
      <c r="N126" s="232"/>
    </row>
    <row r="127" spans="1:14" ht="15" thickBot="1">
      <c r="A127" s="170"/>
      <c r="B127" s="171"/>
      <c r="C127" s="172"/>
      <c r="D127" s="173"/>
      <c r="E127" s="174"/>
      <c r="F127" s="175"/>
      <c r="G127" s="176"/>
      <c r="H127" s="177"/>
      <c r="I127" s="178"/>
      <c r="J127" s="179" t="str">
        <f t="shared" si="6"/>
        <v/>
      </c>
      <c r="K127" s="180"/>
      <c r="L127" s="181">
        <f t="shared" si="7"/>
        <v>0</v>
      </c>
      <c r="M127" s="229" t="str">
        <f t="shared" si="5"/>
        <v/>
      </c>
      <c r="N127" s="232"/>
    </row>
    <row r="128" spans="1:14" ht="15" thickBot="1">
      <c r="A128" s="170"/>
      <c r="B128" s="171"/>
      <c r="C128" s="172"/>
      <c r="D128" s="173"/>
      <c r="E128" s="174"/>
      <c r="F128" s="175"/>
      <c r="G128" s="176"/>
      <c r="H128" s="177"/>
      <c r="I128" s="178"/>
      <c r="J128" s="179" t="str">
        <f t="shared" si="6"/>
        <v/>
      </c>
      <c r="K128" s="180"/>
      <c r="L128" s="181">
        <f t="shared" si="7"/>
        <v>0</v>
      </c>
      <c r="M128" s="229" t="str">
        <f t="shared" si="5"/>
        <v/>
      </c>
      <c r="N128" s="232"/>
    </row>
    <row r="129" spans="1:14" ht="15" thickBot="1">
      <c r="A129" s="170"/>
      <c r="B129" s="171"/>
      <c r="C129" s="172"/>
      <c r="D129" s="173"/>
      <c r="E129" s="174"/>
      <c r="F129" s="175"/>
      <c r="G129" s="176"/>
      <c r="H129" s="177"/>
      <c r="I129" s="178"/>
      <c r="J129" s="179" t="str">
        <f t="shared" si="6"/>
        <v/>
      </c>
      <c r="K129" s="180"/>
      <c r="L129" s="181">
        <f t="shared" si="7"/>
        <v>0</v>
      </c>
      <c r="M129" s="229" t="str">
        <f t="shared" si="5"/>
        <v/>
      </c>
      <c r="N129" s="232"/>
    </row>
    <row r="130" spans="1:14" ht="15" thickBot="1">
      <c r="A130" s="170"/>
      <c r="B130" s="171"/>
      <c r="C130" s="172"/>
      <c r="D130" s="173"/>
      <c r="E130" s="174"/>
      <c r="F130" s="175"/>
      <c r="G130" s="176"/>
      <c r="H130" s="177"/>
      <c r="I130" s="178"/>
      <c r="J130" s="179" t="str">
        <f t="shared" si="6"/>
        <v/>
      </c>
      <c r="K130" s="180"/>
      <c r="L130" s="181">
        <f t="shared" si="7"/>
        <v>0</v>
      </c>
      <c r="M130" s="229" t="str">
        <f t="shared" si="5"/>
        <v/>
      </c>
      <c r="N130" s="232"/>
    </row>
    <row r="131" spans="1:14" ht="15" thickBot="1">
      <c r="A131" s="170"/>
      <c r="B131" s="171"/>
      <c r="C131" s="172"/>
      <c r="D131" s="173"/>
      <c r="E131" s="174"/>
      <c r="F131" s="175"/>
      <c r="G131" s="176"/>
      <c r="H131" s="177"/>
      <c r="I131" s="178"/>
      <c r="J131" s="179" t="str">
        <f t="shared" si="6"/>
        <v/>
      </c>
      <c r="K131" s="180"/>
      <c r="L131" s="181">
        <f t="shared" si="7"/>
        <v>0</v>
      </c>
      <c r="M131" s="229" t="str">
        <f t="shared" si="5"/>
        <v/>
      </c>
      <c r="N131" s="232"/>
    </row>
    <row r="132" spans="1:14" ht="15" thickBot="1">
      <c r="A132" s="170"/>
      <c r="B132" s="171"/>
      <c r="C132" s="172"/>
      <c r="D132" s="173"/>
      <c r="E132" s="174"/>
      <c r="F132" s="175"/>
      <c r="G132" s="176"/>
      <c r="H132" s="177"/>
      <c r="I132" s="178"/>
      <c r="J132" s="179" t="str">
        <f t="shared" si="6"/>
        <v/>
      </c>
      <c r="K132" s="180"/>
      <c r="L132" s="181">
        <f t="shared" si="7"/>
        <v>0</v>
      </c>
      <c r="M132" s="229" t="str">
        <f t="shared" si="5"/>
        <v/>
      </c>
      <c r="N132" s="232"/>
    </row>
    <row r="133" spans="1:14" ht="15" thickBot="1">
      <c r="A133" s="170"/>
      <c r="B133" s="171"/>
      <c r="C133" s="172"/>
      <c r="D133" s="173"/>
      <c r="E133" s="174"/>
      <c r="F133" s="175"/>
      <c r="G133" s="176"/>
      <c r="H133" s="177"/>
      <c r="I133" s="178"/>
      <c r="J133" s="179" t="str">
        <f t="shared" si="6"/>
        <v/>
      </c>
      <c r="K133" s="180"/>
      <c r="L133" s="181">
        <f t="shared" si="7"/>
        <v>0</v>
      </c>
      <c r="M133" s="229" t="str">
        <f t="shared" si="5"/>
        <v/>
      </c>
      <c r="N133" s="232"/>
    </row>
    <row r="134" spans="1:14" ht="15" thickBot="1">
      <c r="A134" s="170"/>
      <c r="B134" s="171"/>
      <c r="C134" s="172"/>
      <c r="D134" s="173"/>
      <c r="E134" s="174"/>
      <c r="F134" s="175"/>
      <c r="G134" s="176"/>
      <c r="H134" s="177"/>
      <c r="I134" s="178"/>
      <c r="J134" s="179" t="str">
        <f t="shared" si="6"/>
        <v/>
      </c>
      <c r="K134" s="180"/>
      <c r="L134" s="181">
        <f t="shared" si="7"/>
        <v>0</v>
      </c>
      <c r="M134" s="229" t="str">
        <f t="shared" si="5"/>
        <v/>
      </c>
      <c r="N134" s="232"/>
    </row>
    <row r="135" spans="1:14" ht="15" thickBot="1">
      <c r="A135" s="170"/>
      <c r="B135" s="171"/>
      <c r="C135" s="172"/>
      <c r="D135" s="173"/>
      <c r="E135" s="174"/>
      <c r="F135" s="175"/>
      <c r="G135" s="176"/>
      <c r="H135" s="177"/>
      <c r="I135" s="178"/>
      <c r="J135" s="179" t="str">
        <f t="shared" si="6"/>
        <v/>
      </c>
      <c r="K135" s="180"/>
      <c r="L135" s="181">
        <f t="shared" si="7"/>
        <v>0</v>
      </c>
      <c r="M135" s="229" t="str">
        <f t="shared" si="5"/>
        <v/>
      </c>
      <c r="N135" s="232"/>
    </row>
    <row r="136" spans="1:14" ht="15" thickBot="1">
      <c r="A136" s="170"/>
      <c r="B136" s="171"/>
      <c r="C136" s="172"/>
      <c r="D136" s="173"/>
      <c r="E136" s="174"/>
      <c r="F136" s="175"/>
      <c r="G136" s="176"/>
      <c r="H136" s="177"/>
      <c r="I136" s="178"/>
      <c r="J136" s="179" t="str">
        <f t="shared" si="6"/>
        <v/>
      </c>
      <c r="K136" s="180"/>
      <c r="L136" s="181">
        <f t="shared" si="7"/>
        <v>0</v>
      </c>
      <c r="M136" s="229" t="str">
        <f t="shared" si="5"/>
        <v/>
      </c>
      <c r="N136" s="232"/>
    </row>
    <row r="137" spans="1:14" ht="15" thickBot="1">
      <c r="A137" s="170"/>
      <c r="B137" s="171"/>
      <c r="C137" s="172"/>
      <c r="D137" s="173"/>
      <c r="E137" s="174"/>
      <c r="F137" s="175"/>
      <c r="G137" s="176"/>
      <c r="H137" s="177"/>
      <c r="I137" s="178"/>
      <c r="J137" s="179" t="str">
        <f t="shared" si="6"/>
        <v/>
      </c>
      <c r="K137" s="180"/>
      <c r="L137" s="181">
        <f t="shared" si="7"/>
        <v>0</v>
      </c>
      <c r="M137" s="229" t="str">
        <f t="shared" si="5"/>
        <v/>
      </c>
      <c r="N137" s="232"/>
    </row>
    <row r="138" spans="1:14" ht="15" thickBot="1">
      <c r="A138" s="170"/>
      <c r="B138" s="171"/>
      <c r="C138" s="172"/>
      <c r="D138" s="173"/>
      <c r="E138" s="174"/>
      <c r="F138" s="175"/>
      <c r="G138" s="176"/>
      <c r="H138" s="177"/>
      <c r="I138" s="178"/>
      <c r="J138" s="179" t="str">
        <f t="shared" si="6"/>
        <v/>
      </c>
      <c r="K138" s="180"/>
      <c r="L138" s="181">
        <f t="shared" si="7"/>
        <v>0</v>
      </c>
      <c r="M138" s="229" t="str">
        <f t="shared" si="5"/>
        <v/>
      </c>
      <c r="N138" s="232"/>
    </row>
    <row r="139" spans="1:14" ht="15" thickBot="1">
      <c r="A139" s="170"/>
      <c r="B139" s="171"/>
      <c r="C139" s="172"/>
      <c r="D139" s="173"/>
      <c r="E139" s="174"/>
      <c r="F139" s="175"/>
      <c r="G139" s="176"/>
      <c r="H139" s="177"/>
      <c r="I139" s="178"/>
      <c r="J139" s="179" t="str">
        <f t="shared" si="6"/>
        <v/>
      </c>
      <c r="K139" s="180"/>
      <c r="L139" s="181">
        <f t="shared" si="7"/>
        <v>0</v>
      </c>
      <c r="M139" s="229" t="str">
        <f t="shared" si="5"/>
        <v/>
      </c>
      <c r="N139" s="232"/>
    </row>
    <row r="140" spans="1:14" ht="15" thickBot="1">
      <c r="A140" s="170"/>
      <c r="B140" s="171"/>
      <c r="C140" s="172"/>
      <c r="D140" s="173"/>
      <c r="E140" s="174"/>
      <c r="F140" s="175"/>
      <c r="G140" s="176"/>
      <c r="H140" s="177"/>
      <c r="I140" s="178"/>
      <c r="J140" s="179" t="str">
        <f t="shared" si="6"/>
        <v/>
      </c>
      <c r="K140" s="180"/>
      <c r="L140" s="181">
        <f t="shared" si="7"/>
        <v>0</v>
      </c>
      <c r="M140" s="229" t="str">
        <f t="shared" si="5"/>
        <v/>
      </c>
      <c r="N140" s="232"/>
    </row>
    <row r="141" spans="1:14" ht="15" thickBot="1">
      <c r="A141" s="170"/>
      <c r="B141" s="171"/>
      <c r="C141" s="172"/>
      <c r="D141" s="173"/>
      <c r="E141" s="174"/>
      <c r="F141" s="175"/>
      <c r="G141" s="176"/>
      <c r="H141" s="177"/>
      <c r="I141" s="178"/>
      <c r="J141" s="179" t="str">
        <f t="shared" si="6"/>
        <v/>
      </c>
      <c r="K141" s="180"/>
      <c r="L141" s="181">
        <f t="shared" si="7"/>
        <v>0</v>
      </c>
      <c r="M141" s="229" t="str">
        <f t="shared" si="5"/>
        <v/>
      </c>
      <c r="N141" s="232"/>
    </row>
    <row r="142" spans="1:14" ht="15" thickBot="1">
      <c r="A142" s="170"/>
      <c r="B142" s="171"/>
      <c r="C142" s="172"/>
      <c r="D142" s="173"/>
      <c r="E142" s="174"/>
      <c r="F142" s="175"/>
      <c r="G142" s="176"/>
      <c r="H142" s="177"/>
      <c r="I142" s="178"/>
      <c r="J142" s="179" t="str">
        <f t="shared" si="6"/>
        <v/>
      </c>
      <c r="K142" s="180"/>
      <c r="L142" s="181">
        <f t="shared" si="7"/>
        <v>0</v>
      </c>
      <c r="M142" s="229" t="str">
        <f t="shared" ref="M142:M205" si="8">IF(J142 &lt;&gt; "", J142 * L142, "")</f>
        <v/>
      </c>
      <c r="N142" s="232"/>
    </row>
    <row r="143" spans="1:14" ht="15" thickBot="1">
      <c r="A143" s="170"/>
      <c r="B143" s="171"/>
      <c r="C143" s="172"/>
      <c r="D143" s="173"/>
      <c r="E143" s="174"/>
      <c r="F143" s="175"/>
      <c r="G143" s="176"/>
      <c r="H143" s="177"/>
      <c r="I143" s="178"/>
      <c r="J143" s="179" t="str">
        <f t="shared" ref="J143:J206" si="9">IF(H143 &gt; 0, I143 / H143, "")</f>
        <v/>
      </c>
      <c r="K143" s="180"/>
      <c r="L143" s="181">
        <f t="shared" ref="L143:L206" si="10">MAX(0, H143 - K143)</f>
        <v>0</v>
      </c>
      <c r="M143" s="229" t="str">
        <f t="shared" si="8"/>
        <v/>
      </c>
      <c r="N143" s="232"/>
    </row>
    <row r="144" spans="1:14" ht="15" thickBot="1">
      <c r="A144" s="170"/>
      <c r="B144" s="171"/>
      <c r="C144" s="172"/>
      <c r="D144" s="173"/>
      <c r="E144" s="174"/>
      <c r="F144" s="175"/>
      <c r="G144" s="176"/>
      <c r="H144" s="177"/>
      <c r="I144" s="178"/>
      <c r="J144" s="179" t="str">
        <f t="shared" si="9"/>
        <v/>
      </c>
      <c r="K144" s="180"/>
      <c r="L144" s="181">
        <f t="shared" si="10"/>
        <v>0</v>
      </c>
      <c r="M144" s="229" t="str">
        <f t="shared" si="8"/>
        <v/>
      </c>
      <c r="N144" s="232"/>
    </row>
    <row r="145" spans="1:14" ht="15" thickBot="1">
      <c r="A145" s="170"/>
      <c r="B145" s="171"/>
      <c r="C145" s="172"/>
      <c r="D145" s="173"/>
      <c r="E145" s="174"/>
      <c r="F145" s="175"/>
      <c r="G145" s="176"/>
      <c r="H145" s="177"/>
      <c r="I145" s="178"/>
      <c r="J145" s="179" t="str">
        <f t="shared" si="9"/>
        <v/>
      </c>
      <c r="K145" s="180"/>
      <c r="L145" s="181">
        <f t="shared" si="10"/>
        <v>0</v>
      </c>
      <c r="M145" s="229" t="str">
        <f t="shared" si="8"/>
        <v/>
      </c>
      <c r="N145" s="232"/>
    </row>
    <row r="146" spans="1:14" ht="15" thickBot="1">
      <c r="A146" s="170"/>
      <c r="B146" s="171"/>
      <c r="C146" s="172"/>
      <c r="D146" s="173"/>
      <c r="E146" s="174"/>
      <c r="F146" s="175"/>
      <c r="G146" s="176"/>
      <c r="H146" s="177"/>
      <c r="I146" s="178"/>
      <c r="J146" s="179" t="str">
        <f t="shared" si="9"/>
        <v/>
      </c>
      <c r="K146" s="180"/>
      <c r="L146" s="181">
        <f t="shared" si="10"/>
        <v>0</v>
      </c>
      <c r="M146" s="229" t="str">
        <f t="shared" si="8"/>
        <v/>
      </c>
      <c r="N146" s="232"/>
    </row>
    <row r="147" spans="1:14" ht="15" thickBot="1">
      <c r="A147" s="170"/>
      <c r="B147" s="171"/>
      <c r="C147" s="172"/>
      <c r="D147" s="173"/>
      <c r="E147" s="174"/>
      <c r="F147" s="175"/>
      <c r="G147" s="176"/>
      <c r="H147" s="177"/>
      <c r="I147" s="178"/>
      <c r="J147" s="179" t="str">
        <f t="shared" si="9"/>
        <v/>
      </c>
      <c r="K147" s="180"/>
      <c r="L147" s="181">
        <f t="shared" si="10"/>
        <v>0</v>
      </c>
      <c r="M147" s="229" t="str">
        <f t="shared" si="8"/>
        <v/>
      </c>
      <c r="N147" s="232"/>
    </row>
    <row r="148" spans="1:14" ht="15" thickBot="1">
      <c r="A148" s="170"/>
      <c r="B148" s="171"/>
      <c r="C148" s="172"/>
      <c r="D148" s="173"/>
      <c r="E148" s="174"/>
      <c r="F148" s="175"/>
      <c r="G148" s="176"/>
      <c r="H148" s="177"/>
      <c r="I148" s="178"/>
      <c r="J148" s="179" t="str">
        <f t="shared" si="9"/>
        <v/>
      </c>
      <c r="K148" s="180"/>
      <c r="L148" s="181">
        <f t="shared" si="10"/>
        <v>0</v>
      </c>
      <c r="M148" s="229" t="str">
        <f t="shared" si="8"/>
        <v/>
      </c>
      <c r="N148" s="232"/>
    </row>
    <row r="149" spans="1:14" ht="15" thickBot="1">
      <c r="A149" s="170"/>
      <c r="B149" s="171"/>
      <c r="C149" s="172"/>
      <c r="D149" s="173"/>
      <c r="E149" s="174"/>
      <c r="F149" s="175"/>
      <c r="G149" s="176"/>
      <c r="H149" s="177"/>
      <c r="I149" s="178"/>
      <c r="J149" s="179" t="str">
        <f t="shared" si="9"/>
        <v/>
      </c>
      <c r="K149" s="180"/>
      <c r="L149" s="181">
        <f t="shared" si="10"/>
        <v>0</v>
      </c>
      <c r="M149" s="229" t="str">
        <f t="shared" si="8"/>
        <v/>
      </c>
      <c r="N149" s="232"/>
    </row>
    <row r="150" spans="1:14" ht="15" thickBot="1">
      <c r="A150" s="170"/>
      <c r="B150" s="171"/>
      <c r="C150" s="172"/>
      <c r="D150" s="173"/>
      <c r="E150" s="174"/>
      <c r="F150" s="175"/>
      <c r="G150" s="176"/>
      <c r="H150" s="177"/>
      <c r="I150" s="178"/>
      <c r="J150" s="179" t="str">
        <f t="shared" si="9"/>
        <v/>
      </c>
      <c r="K150" s="180"/>
      <c r="L150" s="181">
        <f t="shared" si="10"/>
        <v>0</v>
      </c>
      <c r="M150" s="229" t="str">
        <f t="shared" si="8"/>
        <v/>
      </c>
      <c r="N150" s="232"/>
    </row>
    <row r="151" spans="1:14" ht="15" thickBot="1">
      <c r="A151" s="170"/>
      <c r="B151" s="171"/>
      <c r="C151" s="172"/>
      <c r="D151" s="173"/>
      <c r="E151" s="174"/>
      <c r="F151" s="175"/>
      <c r="G151" s="176"/>
      <c r="H151" s="177"/>
      <c r="I151" s="178"/>
      <c r="J151" s="179" t="str">
        <f t="shared" si="9"/>
        <v/>
      </c>
      <c r="K151" s="180"/>
      <c r="L151" s="181">
        <f t="shared" si="10"/>
        <v>0</v>
      </c>
      <c r="M151" s="229" t="str">
        <f t="shared" si="8"/>
        <v/>
      </c>
      <c r="N151" s="232"/>
    </row>
    <row r="152" spans="1:14" ht="15" thickBot="1">
      <c r="A152" s="170"/>
      <c r="B152" s="171"/>
      <c r="C152" s="172"/>
      <c r="D152" s="173"/>
      <c r="E152" s="174"/>
      <c r="F152" s="175"/>
      <c r="G152" s="176"/>
      <c r="H152" s="177"/>
      <c r="I152" s="178"/>
      <c r="J152" s="179" t="str">
        <f t="shared" si="9"/>
        <v/>
      </c>
      <c r="K152" s="180"/>
      <c r="L152" s="181">
        <f t="shared" si="10"/>
        <v>0</v>
      </c>
      <c r="M152" s="229" t="str">
        <f t="shared" si="8"/>
        <v/>
      </c>
      <c r="N152" s="232"/>
    </row>
    <row r="153" spans="1:14" ht="15" thickBot="1">
      <c r="A153" s="170"/>
      <c r="B153" s="171"/>
      <c r="C153" s="172"/>
      <c r="D153" s="173"/>
      <c r="E153" s="174"/>
      <c r="F153" s="175"/>
      <c r="G153" s="176"/>
      <c r="H153" s="177"/>
      <c r="I153" s="178"/>
      <c r="J153" s="179" t="str">
        <f t="shared" si="9"/>
        <v/>
      </c>
      <c r="K153" s="180"/>
      <c r="L153" s="181">
        <f t="shared" si="10"/>
        <v>0</v>
      </c>
      <c r="M153" s="229" t="str">
        <f t="shared" si="8"/>
        <v/>
      </c>
      <c r="N153" s="232"/>
    </row>
    <row r="154" spans="1:14" ht="15" thickBot="1">
      <c r="A154" s="170"/>
      <c r="B154" s="171"/>
      <c r="C154" s="172"/>
      <c r="D154" s="173"/>
      <c r="E154" s="174"/>
      <c r="F154" s="175"/>
      <c r="G154" s="176"/>
      <c r="H154" s="177"/>
      <c r="I154" s="178"/>
      <c r="J154" s="179" t="str">
        <f t="shared" si="9"/>
        <v/>
      </c>
      <c r="K154" s="180"/>
      <c r="L154" s="181">
        <f t="shared" si="10"/>
        <v>0</v>
      </c>
      <c r="M154" s="229" t="str">
        <f t="shared" si="8"/>
        <v/>
      </c>
      <c r="N154" s="232"/>
    </row>
    <row r="155" spans="1:14" ht="15" thickBot="1">
      <c r="A155" s="170"/>
      <c r="B155" s="171"/>
      <c r="C155" s="172"/>
      <c r="D155" s="173"/>
      <c r="E155" s="174"/>
      <c r="F155" s="175"/>
      <c r="G155" s="176"/>
      <c r="H155" s="177"/>
      <c r="I155" s="178"/>
      <c r="J155" s="179" t="str">
        <f t="shared" si="9"/>
        <v/>
      </c>
      <c r="K155" s="180"/>
      <c r="L155" s="181">
        <f t="shared" si="10"/>
        <v>0</v>
      </c>
      <c r="M155" s="229" t="str">
        <f t="shared" si="8"/>
        <v/>
      </c>
      <c r="N155" s="232"/>
    </row>
    <row r="156" spans="1:14" ht="15" thickBot="1">
      <c r="A156" s="170"/>
      <c r="B156" s="171"/>
      <c r="C156" s="172"/>
      <c r="D156" s="173"/>
      <c r="E156" s="174"/>
      <c r="F156" s="175"/>
      <c r="G156" s="176"/>
      <c r="H156" s="177"/>
      <c r="I156" s="178"/>
      <c r="J156" s="179" t="str">
        <f t="shared" si="9"/>
        <v/>
      </c>
      <c r="K156" s="180"/>
      <c r="L156" s="181">
        <f t="shared" si="10"/>
        <v>0</v>
      </c>
      <c r="M156" s="229" t="str">
        <f t="shared" si="8"/>
        <v/>
      </c>
      <c r="N156" s="232"/>
    </row>
    <row r="157" spans="1:14" ht="15" thickBot="1">
      <c r="A157" s="170"/>
      <c r="B157" s="171"/>
      <c r="C157" s="172"/>
      <c r="D157" s="173"/>
      <c r="E157" s="174"/>
      <c r="F157" s="175"/>
      <c r="G157" s="176"/>
      <c r="H157" s="177"/>
      <c r="I157" s="178"/>
      <c r="J157" s="179" t="str">
        <f t="shared" si="9"/>
        <v/>
      </c>
      <c r="K157" s="180"/>
      <c r="L157" s="181">
        <f t="shared" si="10"/>
        <v>0</v>
      </c>
      <c r="M157" s="229" t="str">
        <f t="shared" si="8"/>
        <v/>
      </c>
      <c r="N157" s="232"/>
    </row>
    <row r="158" spans="1:14" ht="15" thickBot="1">
      <c r="A158" s="170"/>
      <c r="B158" s="171"/>
      <c r="C158" s="172"/>
      <c r="D158" s="173"/>
      <c r="E158" s="174"/>
      <c r="F158" s="175"/>
      <c r="G158" s="176"/>
      <c r="H158" s="177"/>
      <c r="I158" s="178"/>
      <c r="J158" s="179" t="str">
        <f t="shared" si="9"/>
        <v/>
      </c>
      <c r="K158" s="180"/>
      <c r="L158" s="181">
        <f t="shared" si="10"/>
        <v>0</v>
      </c>
      <c r="M158" s="229" t="str">
        <f t="shared" si="8"/>
        <v/>
      </c>
      <c r="N158" s="232"/>
    </row>
    <row r="159" spans="1:14" ht="15" thickBot="1">
      <c r="A159" s="170"/>
      <c r="B159" s="171"/>
      <c r="C159" s="172"/>
      <c r="D159" s="173"/>
      <c r="E159" s="174"/>
      <c r="F159" s="175"/>
      <c r="G159" s="176"/>
      <c r="H159" s="177"/>
      <c r="I159" s="178"/>
      <c r="J159" s="179" t="str">
        <f t="shared" si="9"/>
        <v/>
      </c>
      <c r="K159" s="180"/>
      <c r="L159" s="181">
        <f t="shared" si="10"/>
        <v>0</v>
      </c>
      <c r="M159" s="229" t="str">
        <f t="shared" si="8"/>
        <v/>
      </c>
      <c r="N159" s="232"/>
    </row>
    <row r="160" spans="1:14" ht="15" thickBot="1">
      <c r="A160" s="170"/>
      <c r="B160" s="171"/>
      <c r="C160" s="172"/>
      <c r="D160" s="173"/>
      <c r="E160" s="174"/>
      <c r="F160" s="175"/>
      <c r="G160" s="176"/>
      <c r="H160" s="177"/>
      <c r="I160" s="178"/>
      <c r="J160" s="179" t="str">
        <f t="shared" si="9"/>
        <v/>
      </c>
      <c r="K160" s="180"/>
      <c r="L160" s="181">
        <f t="shared" si="10"/>
        <v>0</v>
      </c>
      <c r="M160" s="229" t="str">
        <f t="shared" si="8"/>
        <v/>
      </c>
      <c r="N160" s="232"/>
    </row>
    <row r="161" spans="1:14" ht="15" thickBot="1">
      <c r="A161" s="170"/>
      <c r="B161" s="171"/>
      <c r="C161" s="172"/>
      <c r="D161" s="173"/>
      <c r="E161" s="174"/>
      <c r="F161" s="175"/>
      <c r="G161" s="176"/>
      <c r="H161" s="177"/>
      <c r="I161" s="178"/>
      <c r="J161" s="179" t="str">
        <f t="shared" si="9"/>
        <v/>
      </c>
      <c r="K161" s="180"/>
      <c r="L161" s="181">
        <f t="shared" si="10"/>
        <v>0</v>
      </c>
      <c r="M161" s="229" t="str">
        <f t="shared" si="8"/>
        <v/>
      </c>
      <c r="N161" s="232"/>
    </row>
    <row r="162" spans="1:14" ht="15" thickBot="1">
      <c r="A162" s="170"/>
      <c r="B162" s="171"/>
      <c r="C162" s="172"/>
      <c r="D162" s="173"/>
      <c r="E162" s="174"/>
      <c r="F162" s="175"/>
      <c r="G162" s="176"/>
      <c r="H162" s="177"/>
      <c r="I162" s="178"/>
      <c r="J162" s="179" t="str">
        <f t="shared" si="9"/>
        <v/>
      </c>
      <c r="K162" s="180"/>
      <c r="L162" s="181">
        <f t="shared" si="10"/>
        <v>0</v>
      </c>
      <c r="M162" s="229" t="str">
        <f t="shared" si="8"/>
        <v/>
      </c>
      <c r="N162" s="232"/>
    </row>
    <row r="163" spans="1:14" ht="15" thickBot="1">
      <c r="A163" s="170"/>
      <c r="B163" s="171"/>
      <c r="C163" s="172"/>
      <c r="D163" s="173"/>
      <c r="E163" s="174"/>
      <c r="F163" s="175"/>
      <c r="G163" s="176"/>
      <c r="H163" s="177"/>
      <c r="I163" s="178"/>
      <c r="J163" s="179" t="str">
        <f t="shared" si="9"/>
        <v/>
      </c>
      <c r="K163" s="180"/>
      <c r="L163" s="181">
        <f t="shared" si="10"/>
        <v>0</v>
      </c>
      <c r="M163" s="229" t="str">
        <f t="shared" si="8"/>
        <v/>
      </c>
      <c r="N163" s="232"/>
    </row>
    <row r="164" spans="1:14" ht="15" thickBot="1">
      <c r="A164" s="170"/>
      <c r="B164" s="171"/>
      <c r="C164" s="172"/>
      <c r="D164" s="173"/>
      <c r="E164" s="174"/>
      <c r="F164" s="175"/>
      <c r="G164" s="176"/>
      <c r="H164" s="177"/>
      <c r="I164" s="178"/>
      <c r="J164" s="179" t="str">
        <f t="shared" si="9"/>
        <v/>
      </c>
      <c r="K164" s="180"/>
      <c r="L164" s="181">
        <f t="shared" si="10"/>
        <v>0</v>
      </c>
      <c r="M164" s="229" t="str">
        <f t="shared" si="8"/>
        <v/>
      </c>
      <c r="N164" s="232"/>
    </row>
    <row r="165" spans="1:14" ht="15" thickBot="1">
      <c r="A165" s="170"/>
      <c r="B165" s="171"/>
      <c r="C165" s="172"/>
      <c r="D165" s="173"/>
      <c r="E165" s="174"/>
      <c r="F165" s="175"/>
      <c r="G165" s="176"/>
      <c r="H165" s="177"/>
      <c r="I165" s="178"/>
      <c r="J165" s="179" t="str">
        <f t="shared" si="9"/>
        <v/>
      </c>
      <c r="K165" s="180"/>
      <c r="L165" s="181">
        <f t="shared" si="10"/>
        <v>0</v>
      </c>
      <c r="M165" s="229" t="str">
        <f t="shared" si="8"/>
        <v/>
      </c>
      <c r="N165" s="232"/>
    </row>
    <row r="166" spans="1:14" ht="15" thickBot="1">
      <c r="A166" s="170"/>
      <c r="B166" s="171"/>
      <c r="C166" s="172"/>
      <c r="D166" s="173"/>
      <c r="E166" s="174"/>
      <c r="F166" s="175"/>
      <c r="G166" s="176"/>
      <c r="H166" s="177"/>
      <c r="I166" s="178"/>
      <c r="J166" s="179" t="str">
        <f t="shared" si="9"/>
        <v/>
      </c>
      <c r="K166" s="180"/>
      <c r="L166" s="181">
        <f t="shared" si="10"/>
        <v>0</v>
      </c>
      <c r="M166" s="229" t="str">
        <f t="shared" si="8"/>
        <v/>
      </c>
      <c r="N166" s="232"/>
    </row>
    <row r="167" spans="1:14" ht="15" thickBot="1">
      <c r="A167" s="170"/>
      <c r="B167" s="171"/>
      <c r="C167" s="172"/>
      <c r="D167" s="173"/>
      <c r="E167" s="174"/>
      <c r="F167" s="175"/>
      <c r="G167" s="176"/>
      <c r="H167" s="177"/>
      <c r="I167" s="178"/>
      <c r="J167" s="179" t="str">
        <f t="shared" si="9"/>
        <v/>
      </c>
      <c r="K167" s="180"/>
      <c r="L167" s="181">
        <f t="shared" si="10"/>
        <v>0</v>
      </c>
      <c r="M167" s="229" t="str">
        <f t="shared" si="8"/>
        <v/>
      </c>
      <c r="N167" s="232"/>
    </row>
    <row r="168" spans="1:14" ht="15" thickBot="1">
      <c r="A168" s="170"/>
      <c r="B168" s="171"/>
      <c r="C168" s="172"/>
      <c r="D168" s="173"/>
      <c r="E168" s="174"/>
      <c r="F168" s="175"/>
      <c r="G168" s="176"/>
      <c r="H168" s="177"/>
      <c r="I168" s="178"/>
      <c r="J168" s="179" t="str">
        <f t="shared" si="9"/>
        <v/>
      </c>
      <c r="K168" s="180"/>
      <c r="L168" s="181">
        <f t="shared" si="10"/>
        <v>0</v>
      </c>
      <c r="M168" s="229" t="str">
        <f t="shared" si="8"/>
        <v/>
      </c>
      <c r="N168" s="232"/>
    </row>
    <row r="169" spans="1:14" ht="15" thickBot="1">
      <c r="A169" s="170"/>
      <c r="B169" s="171"/>
      <c r="C169" s="172"/>
      <c r="D169" s="173"/>
      <c r="E169" s="174"/>
      <c r="F169" s="175"/>
      <c r="G169" s="176"/>
      <c r="H169" s="177"/>
      <c r="I169" s="178"/>
      <c r="J169" s="179" t="str">
        <f t="shared" si="9"/>
        <v/>
      </c>
      <c r="K169" s="180"/>
      <c r="L169" s="181">
        <f t="shared" si="10"/>
        <v>0</v>
      </c>
      <c r="M169" s="229" t="str">
        <f t="shared" si="8"/>
        <v/>
      </c>
      <c r="N169" s="232"/>
    </row>
    <row r="170" spans="1:14" ht="15" thickBot="1">
      <c r="A170" s="170"/>
      <c r="B170" s="171"/>
      <c r="C170" s="172"/>
      <c r="D170" s="173"/>
      <c r="E170" s="174"/>
      <c r="F170" s="175"/>
      <c r="G170" s="176"/>
      <c r="H170" s="177"/>
      <c r="I170" s="178"/>
      <c r="J170" s="179" t="str">
        <f t="shared" si="9"/>
        <v/>
      </c>
      <c r="K170" s="180"/>
      <c r="L170" s="181">
        <f t="shared" si="10"/>
        <v>0</v>
      </c>
      <c r="M170" s="229" t="str">
        <f t="shared" si="8"/>
        <v/>
      </c>
      <c r="N170" s="232"/>
    </row>
    <row r="171" spans="1:14" ht="15" thickBot="1">
      <c r="A171" s="170"/>
      <c r="B171" s="171"/>
      <c r="C171" s="172"/>
      <c r="D171" s="173"/>
      <c r="E171" s="174"/>
      <c r="F171" s="175"/>
      <c r="G171" s="176"/>
      <c r="H171" s="177"/>
      <c r="I171" s="178"/>
      <c r="J171" s="179" t="str">
        <f t="shared" si="9"/>
        <v/>
      </c>
      <c r="K171" s="180"/>
      <c r="L171" s="181">
        <f t="shared" si="10"/>
        <v>0</v>
      </c>
      <c r="M171" s="229" t="str">
        <f t="shared" si="8"/>
        <v/>
      </c>
      <c r="N171" s="232"/>
    </row>
    <row r="172" spans="1:14" ht="15" thickBot="1">
      <c r="A172" s="170"/>
      <c r="B172" s="171"/>
      <c r="C172" s="172"/>
      <c r="D172" s="173"/>
      <c r="E172" s="174"/>
      <c r="F172" s="175"/>
      <c r="G172" s="176"/>
      <c r="H172" s="177"/>
      <c r="I172" s="178"/>
      <c r="J172" s="179" t="str">
        <f t="shared" si="9"/>
        <v/>
      </c>
      <c r="K172" s="180"/>
      <c r="L172" s="181">
        <f t="shared" si="10"/>
        <v>0</v>
      </c>
      <c r="M172" s="229" t="str">
        <f t="shared" si="8"/>
        <v/>
      </c>
      <c r="N172" s="232"/>
    </row>
    <row r="173" spans="1:14" ht="15" thickBot="1">
      <c r="A173" s="170"/>
      <c r="B173" s="171"/>
      <c r="C173" s="172"/>
      <c r="D173" s="173"/>
      <c r="E173" s="174"/>
      <c r="F173" s="175"/>
      <c r="G173" s="176"/>
      <c r="H173" s="177"/>
      <c r="I173" s="178"/>
      <c r="J173" s="179" t="str">
        <f t="shared" si="9"/>
        <v/>
      </c>
      <c r="K173" s="180"/>
      <c r="L173" s="181">
        <f t="shared" si="10"/>
        <v>0</v>
      </c>
      <c r="M173" s="229" t="str">
        <f t="shared" si="8"/>
        <v/>
      </c>
      <c r="N173" s="232"/>
    </row>
    <row r="174" spans="1:14" ht="15" thickBot="1">
      <c r="A174" s="170"/>
      <c r="B174" s="171"/>
      <c r="C174" s="172"/>
      <c r="D174" s="173"/>
      <c r="E174" s="174"/>
      <c r="F174" s="175"/>
      <c r="G174" s="176"/>
      <c r="H174" s="177"/>
      <c r="I174" s="178"/>
      <c r="J174" s="179" t="str">
        <f t="shared" si="9"/>
        <v/>
      </c>
      <c r="K174" s="180"/>
      <c r="L174" s="181">
        <f t="shared" si="10"/>
        <v>0</v>
      </c>
      <c r="M174" s="229" t="str">
        <f t="shared" si="8"/>
        <v/>
      </c>
      <c r="N174" s="232"/>
    </row>
    <row r="175" spans="1:14" ht="15" thickBot="1">
      <c r="A175" s="170"/>
      <c r="B175" s="171"/>
      <c r="C175" s="172"/>
      <c r="D175" s="173"/>
      <c r="E175" s="174"/>
      <c r="F175" s="175"/>
      <c r="G175" s="176"/>
      <c r="H175" s="177"/>
      <c r="I175" s="178"/>
      <c r="J175" s="179" t="str">
        <f t="shared" si="9"/>
        <v/>
      </c>
      <c r="K175" s="180"/>
      <c r="L175" s="181">
        <f t="shared" si="10"/>
        <v>0</v>
      </c>
      <c r="M175" s="229" t="str">
        <f t="shared" si="8"/>
        <v/>
      </c>
      <c r="N175" s="232"/>
    </row>
    <row r="176" spans="1:14" ht="15" thickBot="1">
      <c r="A176" s="170"/>
      <c r="B176" s="171"/>
      <c r="C176" s="172"/>
      <c r="D176" s="173"/>
      <c r="E176" s="174"/>
      <c r="F176" s="175"/>
      <c r="G176" s="176"/>
      <c r="H176" s="177"/>
      <c r="I176" s="178"/>
      <c r="J176" s="179" t="str">
        <f t="shared" si="9"/>
        <v/>
      </c>
      <c r="K176" s="180"/>
      <c r="L176" s="181">
        <f t="shared" si="10"/>
        <v>0</v>
      </c>
      <c r="M176" s="229" t="str">
        <f t="shared" si="8"/>
        <v/>
      </c>
      <c r="N176" s="232"/>
    </row>
    <row r="177" spans="1:14" ht="15" thickBot="1">
      <c r="A177" s="170"/>
      <c r="B177" s="171"/>
      <c r="C177" s="172"/>
      <c r="D177" s="173"/>
      <c r="E177" s="174"/>
      <c r="F177" s="175"/>
      <c r="G177" s="176"/>
      <c r="H177" s="177"/>
      <c r="I177" s="178"/>
      <c r="J177" s="179" t="str">
        <f t="shared" si="9"/>
        <v/>
      </c>
      <c r="K177" s="180"/>
      <c r="L177" s="181">
        <f t="shared" si="10"/>
        <v>0</v>
      </c>
      <c r="M177" s="229" t="str">
        <f t="shared" si="8"/>
        <v/>
      </c>
      <c r="N177" s="232"/>
    </row>
    <row r="178" spans="1:14" ht="15" thickBot="1">
      <c r="A178" s="170"/>
      <c r="B178" s="171"/>
      <c r="C178" s="172"/>
      <c r="D178" s="173"/>
      <c r="E178" s="174"/>
      <c r="F178" s="175"/>
      <c r="G178" s="176"/>
      <c r="H178" s="177"/>
      <c r="I178" s="178"/>
      <c r="J178" s="179" t="str">
        <f t="shared" si="9"/>
        <v/>
      </c>
      <c r="K178" s="180"/>
      <c r="L178" s="181">
        <f t="shared" si="10"/>
        <v>0</v>
      </c>
      <c r="M178" s="229" t="str">
        <f t="shared" si="8"/>
        <v/>
      </c>
      <c r="N178" s="232"/>
    </row>
    <row r="179" spans="1:14" ht="15" thickBot="1">
      <c r="A179" s="170"/>
      <c r="B179" s="171"/>
      <c r="C179" s="172"/>
      <c r="D179" s="173"/>
      <c r="E179" s="174"/>
      <c r="F179" s="175"/>
      <c r="G179" s="176"/>
      <c r="H179" s="177"/>
      <c r="I179" s="178"/>
      <c r="J179" s="179" t="str">
        <f t="shared" si="9"/>
        <v/>
      </c>
      <c r="K179" s="180"/>
      <c r="L179" s="181">
        <f t="shared" si="10"/>
        <v>0</v>
      </c>
      <c r="M179" s="229" t="str">
        <f t="shared" si="8"/>
        <v/>
      </c>
      <c r="N179" s="232"/>
    </row>
    <row r="180" spans="1:14" ht="15" thickBot="1">
      <c r="A180" s="170"/>
      <c r="B180" s="171"/>
      <c r="C180" s="172"/>
      <c r="D180" s="173"/>
      <c r="E180" s="174"/>
      <c r="F180" s="175"/>
      <c r="G180" s="176"/>
      <c r="H180" s="177"/>
      <c r="I180" s="178"/>
      <c r="J180" s="179" t="str">
        <f t="shared" si="9"/>
        <v/>
      </c>
      <c r="K180" s="180"/>
      <c r="L180" s="181">
        <f t="shared" si="10"/>
        <v>0</v>
      </c>
      <c r="M180" s="229" t="str">
        <f t="shared" si="8"/>
        <v/>
      </c>
      <c r="N180" s="232"/>
    </row>
    <row r="181" spans="1:14" ht="15" thickBot="1">
      <c r="A181" s="170"/>
      <c r="B181" s="171"/>
      <c r="C181" s="172"/>
      <c r="D181" s="173"/>
      <c r="E181" s="174"/>
      <c r="F181" s="175"/>
      <c r="G181" s="176"/>
      <c r="H181" s="177"/>
      <c r="I181" s="178"/>
      <c r="J181" s="179" t="str">
        <f t="shared" si="9"/>
        <v/>
      </c>
      <c r="K181" s="180"/>
      <c r="L181" s="181">
        <f t="shared" si="10"/>
        <v>0</v>
      </c>
      <c r="M181" s="229" t="str">
        <f t="shared" si="8"/>
        <v/>
      </c>
      <c r="N181" s="232"/>
    </row>
    <row r="182" spans="1:14" ht="15" thickBot="1">
      <c r="A182" s="170"/>
      <c r="B182" s="171"/>
      <c r="C182" s="172"/>
      <c r="D182" s="173"/>
      <c r="E182" s="174"/>
      <c r="F182" s="175"/>
      <c r="G182" s="176"/>
      <c r="H182" s="177"/>
      <c r="I182" s="178"/>
      <c r="J182" s="179" t="str">
        <f t="shared" si="9"/>
        <v/>
      </c>
      <c r="K182" s="180"/>
      <c r="L182" s="181">
        <f t="shared" si="10"/>
        <v>0</v>
      </c>
      <c r="M182" s="229" t="str">
        <f t="shared" si="8"/>
        <v/>
      </c>
      <c r="N182" s="232"/>
    </row>
    <row r="183" spans="1:14" ht="15" thickBot="1">
      <c r="A183" s="170"/>
      <c r="B183" s="171"/>
      <c r="C183" s="172"/>
      <c r="D183" s="173"/>
      <c r="E183" s="174"/>
      <c r="F183" s="175"/>
      <c r="G183" s="176"/>
      <c r="H183" s="177"/>
      <c r="I183" s="178"/>
      <c r="J183" s="179" t="str">
        <f t="shared" si="9"/>
        <v/>
      </c>
      <c r="K183" s="180"/>
      <c r="L183" s="181">
        <f t="shared" si="10"/>
        <v>0</v>
      </c>
      <c r="M183" s="229" t="str">
        <f t="shared" si="8"/>
        <v/>
      </c>
      <c r="N183" s="232"/>
    </row>
    <row r="184" spans="1:14" ht="15" thickBot="1">
      <c r="A184" s="170"/>
      <c r="B184" s="171"/>
      <c r="C184" s="172"/>
      <c r="D184" s="173"/>
      <c r="E184" s="174"/>
      <c r="F184" s="175"/>
      <c r="G184" s="176"/>
      <c r="H184" s="177"/>
      <c r="I184" s="178"/>
      <c r="J184" s="179" t="str">
        <f t="shared" si="9"/>
        <v/>
      </c>
      <c r="K184" s="180"/>
      <c r="L184" s="181">
        <f t="shared" si="10"/>
        <v>0</v>
      </c>
      <c r="M184" s="229" t="str">
        <f t="shared" si="8"/>
        <v/>
      </c>
      <c r="N184" s="232"/>
    </row>
    <row r="185" spans="1:14" ht="15" thickBot="1">
      <c r="A185" s="170"/>
      <c r="B185" s="171"/>
      <c r="C185" s="172"/>
      <c r="D185" s="173"/>
      <c r="E185" s="174"/>
      <c r="F185" s="175"/>
      <c r="G185" s="176"/>
      <c r="H185" s="177"/>
      <c r="I185" s="178"/>
      <c r="J185" s="179" t="str">
        <f t="shared" si="9"/>
        <v/>
      </c>
      <c r="K185" s="180"/>
      <c r="L185" s="181">
        <f t="shared" si="10"/>
        <v>0</v>
      </c>
      <c r="M185" s="229" t="str">
        <f t="shared" si="8"/>
        <v/>
      </c>
      <c r="N185" s="232"/>
    </row>
    <row r="186" spans="1:14" ht="15" thickBot="1">
      <c r="A186" s="170"/>
      <c r="B186" s="171"/>
      <c r="C186" s="172"/>
      <c r="D186" s="173"/>
      <c r="E186" s="174"/>
      <c r="F186" s="175"/>
      <c r="G186" s="176"/>
      <c r="H186" s="177"/>
      <c r="I186" s="178"/>
      <c r="J186" s="179" t="str">
        <f t="shared" si="9"/>
        <v/>
      </c>
      <c r="K186" s="180"/>
      <c r="L186" s="181">
        <f t="shared" si="10"/>
        <v>0</v>
      </c>
      <c r="M186" s="229" t="str">
        <f t="shared" si="8"/>
        <v/>
      </c>
      <c r="N186" s="232"/>
    </row>
    <row r="187" spans="1:14" ht="15" thickBot="1">
      <c r="A187" s="170"/>
      <c r="B187" s="171"/>
      <c r="C187" s="172"/>
      <c r="D187" s="173"/>
      <c r="E187" s="174"/>
      <c r="F187" s="175"/>
      <c r="G187" s="176"/>
      <c r="H187" s="177"/>
      <c r="I187" s="178"/>
      <c r="J187" s="179" t="str">
        <f t="shared" si="9"/>
        <v/>
      </c>
      <c r="K187" s="180"/>
      <c r="L187" s="181">
        <f t="shared" si="10"/>
        <v>0</v>
      </c>
      <c r="M187" s="229" t="str">
        <f t="shared" si="8"/>
        <v/>
      </c>
      <c r="N187" s="232"/>
    </row>
    <row r="188" spans="1:14" ht="15" thickBot="1">
      <c r="A188" s="170"/>
      <c r="B188" s="171"/>
      <c r="C188" s="172"/>
      <c r="D188" s="173"/>
      <c r="E188" s="174"/>
      <c r="F188" s="175"/>
      <c r="G188" s="176"/>
      <c r="H188" s="177"/>
      <c r="I188" s="178"/>
      <c r="J188" s="179" t="str">
        <f t="shared" si="9"/>
        <v/>
      </c>
      <c r="K188" s="180"/>
      <c r="L188" s="181">
        <f t="shared" si="10"/>
        <v>0</v>
      </c>
      <c r="M188" s="229" t="str">
        <f t="shared" si="8"/>
        <v/>
      </c>
      <c r="N188" s="232"/>
    </row>
    <row r="189" spans="1:14" ht="15" thickBot="1">
      <c r="A189" s="170"/>
      <c r="B189" s="171"/>
      <c r="C189" s="172"/>
      <c r="D189" s="173"/>
      <c r="E189" s="174"/>
      <c r="F189" s="175"/>
      <c r="G189" s="176"/>
      <c r="H189" s="177"/>
      <c r="I189" s="178"/>
      <c r="J189" s="179" t="str">
        <f t="shared" si="9"/>
        <v/>
      </c>
      <c r="K189" s="180"/>
      <c r="L189" s="181">
        <f t="shared" si="10"/>
        <v>0</v>
      </c>
      <c r="M189" s="229" t="str">
        <f t="shared" si="8"/>
        <v/>
      </c>
      <c r="N189" s="232"/>
    </row>
    <row r="190" spans="1:14" ht="15" thickBot="1">
      <c r="A190" s="170"/>
      <c r="B190" s="171"/>
      <c r="C190" s="172"/>
      <c r="D190" s="173"/>
      <c r="E190" s="174"/>
      <c r="F190" s="175"/>
      <c r="G190" s="176"/>
      <c r="H190" s="177"/>
      <c r="I190" s="178"/>
      <c r="J190" s="179" t="str">
        <f t="shared" si="9"/>
        <v/>
      </c>
      <c r="K190" s="180"/>
      <c r="L190" s="181">
        <f t="shared" si="10"/>
        <v>0</v>
      </c>
      <c r="M190" s="229" t="str">
        <f t="shared" si="8"/>
        <v/>
      </c>
      <c r="N190" s="232"/>
    </row>
    <row r="191" spans="1:14" ht="15" thickBot="1">
      <c r="A191" s="170"/>
      <c r="B191" s="171"/>
      <c r="C191" s="172"/>
      <c r="D191" s="173"/>
      <c r="E191" s="174"/>
      <c r="F191" s="175"/>
      <c r="G191" s="176"/>
      <c r="H191" s="177"/>
      <c r="I191" s="178"/>
      <c r="J191" s="179" t="str">
        <f t="shared" si="9"/>
        <v/>
      </c>
      <c r="K191" s="180"/>
      <c r="L191" s="181">
        <f t="shared" si="10"/>
        <v>0</v>
      </c>
      <c r="M191" s="229" t="str">
        <f t="shared" si="8"/>
        <v/>
      </c>
      <c r="N191" s="232"/>
    </row>
    <row r="192" spans="1:14" ht="15" thickBot="1">
      <c r="A192" s="170"/>
      <c r="B192" s="171"/>
      <c r="C192" s="172"/>
      <c r="D192" s="173"/>
      <c r="E192" s="174"/>
      <c r="F192" s="175"/>
      <c r="G192" s="176"/>
      <c r="H192" s="177"/>
      <c r="I192" s="178"/>
      <c r="J192" s="179" t="str">
        <f t="shared" si="9"/>
        <v/>
      </c>
      <c r="K192" s="180"/>
      <c r="L192" s="181">
        <f t="shared" si="10"/>
        <v>0</v>
      </c>
      <c r="M192" s="229" t="str">
        <f t="shared" si="8"/>
        <v/>
      </c>
      <c r="N192" s="232"/>
    </row>
    <row r="193" spans="1:14" ht="15" thickBot="1">
      <c r="A193" s="170"/>
      <c r="B193" s="171"/>
      <c r="C193" s="172"/>
      <c r="D193" s="173"/>
      <c r="E193" s="174"/>
      <c r="F193" s="175"/>
      <c r="G193" s="176"/>
      <c r="H193" s="177"/>
      <c r="I193" s="178"/>
      <c r="J193" s="179" t="str">
        <f t="shared" si="9"/>
        <v/>
      </c>
      <c r="K193" s="180"/>
      <c r="L193" s="181">
        <f t="shared" si="10"/>
        <v>0</v>
      </c>
      <c r="M193" s="229" t="str">
        <f t="shared" si="8"/>
        <v/>
      </c>
      <c r="N193" s="232"/>
    </row>
    <row r="194" spans="1:14" ht="15" thickBot="1">
      <c r="A194" s="170"/>
      <c r="B194" s="171"/>
      <c r="C194" s="172"/>
      <c r="D194" s="173"/>
      <c r="E194" s="174"/>
      <c r="F194" s="175"/>
      <c r="G194" s="176"/>
      <c r="H194" s="177"/>
      <c r="I194" s="178"/>
      <c r="J194" s="179" t="str">
        <f t="shared" si="9"/>
        <v/>
      </c>
      <c r="K194" s="180"/>
      <c r="L194" s="181">
        <f t="shared" si="10"/>
        <v>0</v>
      </c>
      <c r="M194" s="229" t="str">
        <f t="shared" si="8"/>
        <v/>
      </c>
      <c r="N194" s="232"/>
    </row>
    <row r="195" spans="1:14" ht="15" thickBot="1">
      <c r="A195" s="170"/>
      <c r="B195" s="171"/>
      <c r="C195" s="172"/>
      <c r="D195" s="173"/>
      <c r="E195" s="174"/>
      <c r="F195" s="175"/>
      <c r="G195" s="176"/>
      <c r="H195" s="177"/>
      <c r="I195" s="178"/>
      <c r="J195" s="179" t="str">
        <f t="shared" si="9"/>
        <v/>
      </c>
      <c r="K195" s="180"/>
      <c r="L195" s="181">
        <f t="shared" si="10"/>
        <v>0</v>
      </c>
      <c r="M195" s="229" t="str">
        <f t="shared" si="8"/>
        <v/>
      </c>
      <c r="N195" s="232"/>
    </row>
    <row r="196" spans="1:14" ht="15" thickBot="1">
      <c r="A196" s="170"/>
      <c r="B196" s="171"/>
      <c r="C196" s="172"/>
      <c r="D196" s="173"/>
      <c r="E196" s="174"/>
      <c r="F196" s="175"/>
      <c r="G196" s="176"/>
      <c r="H196" s="177"/>
      <c r="I196" s="178"/>
      <c r="J196" s="179" t="str">
        <f t="shared" si="9"/>
        <v/>
      </c>
      <c r="K196" s="180"/>
      <c r="L196" s="181">
        <f t="shared" si="10"/>
        <v>0</v>
      </c>
      <c r="M196" s="229" t="str">
        <f t="shared" si="8"/>
        <v/>
      </c>
      <c r="N196" s="232"/>
    </row>
    <row r="197" spans="1:14" ht="15" thickBot="1">
      <c r="A197" s="170"/>
      <c r="B197" s="171"/>
      <c r="C197" s="172"/>
      <c r="D197" s="173"/>
      <c r="E197" s="174"/>
      <c r="F197" s="175"/>
      <c r="G197" s="176"/>
      <c r="H197" s="177"/>
      <c r="I197" s="178"/>
      <c r="J197" s="179" t="str">
        <f t="shared" si="9"/>
        <v/>
      </c>
      <c r="K197" s="180"/>
      <c r="L197" s="181">
        <f t="shared" si="10"/>
        <v>0</v>
      </c>
      <c r="M197" s="229" t="str">
        <f t="shared" si="8"/>
        <v/>
      </c>
      <c r="N197" s="232"/>
    </row>
    <row r="198" spans="1:14" ht="15" thickBot="1">
      <c r="A198" s="170"/>
      <c r="B198" s="171"/>
      <c r="C198" s="172"/>
      <c r="D198" s="173"/>
      <c r="E198" s="174"/>
      <c r="F198" s="175"/>
      <c r="G198" s="176"/>
      <c r="H198" s="177"/>
      <c r="I198" s="178"/>
      <c r="J198" s="179" t="str">
        <f t="shared" si="9"/>
        <v/>
      </c>
      <c r="K198" s="180"/>
      <c r="L198" s="181">
        <f t="shared" si="10"/>
        <v>0</v>
      </c>
      <c r="M198" s="229" t="str">
        <f t="shared" si="8"/>
        <v/>
      </c>
      <c r="N198" s="232"/>
    </row>
    <row r="199" spans="1:14" ht="15" thickBot="1">
      <c r="A199" s="170"/>
      <c r="B199" s="171"/>
      <c r="C199" s="172"/>
      <c r="D199" s="173"/>
      <c r="E199" s="174"/>
      <c r="F199" s="175"/>
      <c r="G199" s="176"/>
      <c r="H199" s="177"/>
      <c r="I199" s="178"/>
      <c r="J199" s="179" t="str">
        <f t="shared" si="9"/>
        <v/>
      </c>
      <c r="K199" s="180"/>
      <c r="L199" s="181">
        <f t="shared" si="10"/>
        <v>0</v>
      </c>
      <c r="M199" s="229" t="str">
        <f t="shared" si="8"/>
        <v/>
      </c>
      <c r="N199" s="232"/>
    </row>
    <row r="200" spans="1:14" ht="15" thickBot="1">
      <c r="A200" s="170"/>
      <c r="B200" s="171"/>
      <c r="C200" s="172"/>
      <c r="D200" s="173"/>
      <c r="E200" s="174"/>
      <c r="F200" s="175"/>
      <c r="G200" s="176"/>
      <c r="H200" s="177"/>
      <c r="I200" s="178"/>
      <c r="J200" s="179" t="str">
        <f t="shared" si="9"/>
        <v/>
      </c>
      <c r="K200" s="180"/>
      <c r="L200" s="181">
        <f t="shared" si="10"/>
        <v>0</v>
      </c>
      <c r="M200" s="229" t="str">
        <f t="shared" si="8"/>
        <v/>
      </c>
      <c r="N200" s="232"/>
    </row>
    <row r="201" spans="1:14" ht="15" thickBot="1">
      <c r="A201" s="170"/>
      <c r="B201" s="171"/>
      <c r="C201" s="172"/>
      <c r="D201" s="173"/>
      <c r="E201" s="174"/>
      <c r="F201" s="175"/>
      <c r="G201" s="176"/>
      <c r="H201" s="177"/>
      <c r="I201" s="178"/>
      <c r="J201" s="179" t="str">
        <f t="shared" si="9"/>
        <v/>
      </c>
      <c r="K201" s="180"/>
      <c r="L201" s="181">
        <f t="shared" si="10"/>
        <v>0</v>
      </c>
      <c r="M201" s="229" t="str">
        <f t="shared" si="8"/>
        <v/>
      </c>
      <c r="N201" s="232"/>
    </row>
    <row r="202" spans="1:14" ht="15" thickBot="1">
      <c r="A202" s="170"/>
      <c r="B202" s="171"/>
      <c r="C202" s="172"/>
      <c r="D202" s="173"/>
      <c r="E202" s="174"/>
      <c r="F202" s="175"/>
      <c r="G202" s="176"/>
      <c r="H202" s="177"/>
      <c r="I202" s="178"/>
      <c r="J202" s="179" t="str">
        <f t="shared" si="9"/>
        <v/>
      </c>
      <c r="K202" s="180"/>
      <c r="L202" s="181">
        <f t="shared" si="10"/>
        <v>0</v>
      </c>
      <c r="M202" s="229" t="str">
        <f t="shared" si="8"/>
        <v/>
      </c>
      <c r="N202" s="232"/>
    </row>
    <row r="203" spans="1:14" ht="15" thickBot="1">
      <c r="A203" s="170"/>
      <c r="B203" s="171"/>
      <c r="C203" s="172"/>
      <c r="D203" s="173"/>
      <c r="E203" s="174"/>
      <c r="F203" s="175"/>
      <c r="G203" s="176"/>
      <c r="H203" s="177"/>
      <c r="I203" s="178"/>
      <c r="J203" s="179" t="str">
        <f t="shared" si="9"/>
        <v/>
      </c>
      <c r="K203" s="180"/>
      <c r="L203" s="181">
        <f t="shared" si="10"/>
        <v>0</v>
      </c>
      <c r="M203" s="229" t="str">
        <f t="shared" si="8"/>
        <v/>
      </c>
      <c r="N203" s="232"/>
    </row>
    <row r="204" spans="1:14" ht="15" thickBot="1">
      <c r="A204" s="170"/>
      <c r="B204" s="171"/>
      <c r="C204" s="172"/>
      <c r="D204" s="173"/>
      <c r="E204" s="174"/>
      <c r="F204" s="175"/>
      <c r="G204" s="176"/>
      <c r="H204" s="177"/>
      <c r="I204" s="178"/>
      <c r="J204" s="179" t="str">
        <f t="shared" si="9"/>
        <v/>
      </c>
      <c r="K204" s="180"/>
      <c r="L204" s="181">
        <f t="shared" si="10"/>
        <v>0</v>
      </c>
      <c r="M204" s="229" t="str">
        <f t="shared" si="8"/>
        <v/>
      </c>
      <c r="N204" s="232"/>
    </row>
    <row r="205" spans="1:14" ht="15" thickBot="1">
      <c r="A205" s="170"/>
      <c r="B205" s="171"/>
      <c r="C205" s="172"/>
      <c r="D205" s="173"/>
      <c r="E205" s="174"/>
      <c r="F205" s="175"/>
      <c r="G205" s="176"/>
      <c r="H205" s="177"/>
      <c r="I205" s="178"/>
      <c r="J205" s="179" t="str">
        <f t="shared" si="9"/>
        <v/>
      </c>
      <c r="K205" s="180"/>
      <c r="L205" s="181">
        <f t="shared" si="10"/>
        <v>0</v>
      </c>
      <c r="M205" s="229" t="str">
        <f t="shared" si="8"/>
        <v/>
      </c>
      <c r="N205" s="232"/>
    </row>
    <row r="206" spans="1:14" ht="15" thickBot="1">
      <c r="A206" s="170"/>
      <c r="B206" s="171"/>
      <c r="C206" s="172"/>
      <c r="D206" s="173"/>
      <c r="E206" s="174"/>
      <c r="F206" s="175"/>
      <c r="G206" s="176"/>
      <c r="H206" s="177"/>
      <c r="I206" s="178"/>
      <c r="J206" s="179" t="str">
        <f t="shared" si="9"/>
        <v/>
      </c>
      <c r="K206" s="180"/>
      <c r="L206" s="181">
        <f t="shared" si="10"/>
        <v>0</v>
      </c>
      <c r="M206" s="229" t="str">
        <f t="shared" ref="M206:M269" si="11">IF(J206 &lt;&gt; "", J206 * L206, "")</f>
        <v/>
      </c>
      <c r="N206" s="232"/>
    </row>
    <row r="207" spans="1:14" ht="15" thickBot="1">
      <c r="A207" s="170"/>
      <c r="B207" s="171"/>
      <c r="C207" s="172"/>
      <c r="D207" s="173"/>
      <c r="E207" s="174"/>
      <c r="F207" s="175"/>
      <c r="G207" s="176"/>
      <c r="H207" s="177"/>
      <c r="I207" s="178"/>
      <c r="J207" s="179" t="str">
        <f t="shared" ref="J207:J270" si="12">IF(H207 &gt; 0, I207 / H207, "")</f>
        <v/>
      </c>
      <c r="K207" s="180"/>
      <c r="L207" s="181">
        <f t="shared" ref="L207:L270" si="13">MAX(0, H207 - K207)</f>
        <v>0</v>
      </c>
      <c r="M207" s="229" t="str">
        <f t="shared" si="11"/>
        <v/>
      </c>
      <c r="N207" s="232"/>
    </row>
    <row r="208" spans="1:14" ht="15" thickBot="1">
      <c r="A208" s="170"/>
      <c r="B208" s="171"/>
      <c r="C208" s="172"/>
      <c r="D208" s="173"/>
      <c r="E208" s="174"/>
      <c r="F208" s="175"/>
      <c r="G208" s="176"/>
      <c r="H208" s="177"/>
      <c r="I208" s="178"/>
      <c r="J208" s="179" t="str">
        <f t="shared" si="12"/>
        <v/>
      </c>
      <c r="K208" s="180"/>
      <c r="L208" s="181">
        <f t="shared" si="13"/>
        <v>0</v>
      </c>
      <c r="M208" s="229" t="str">
        <f t="shared" si="11"/>
        <v/>
      </c>
      <c r="N208" s="232"/>
    </row>
    <row r="209" spans="1:14" ht="15" thickBot="1">
      <c r="A209" s="170"/>
      <c r="B209" s="171"/>
      <c r="C209" s="172"/>
      <c r="D209" s="173"/>
      <c r="E209" s="174"/>
      <c r="F209" s="175"/>
      <c r="G209" s="176"/>
      <c r="H209" s="177"/>
      <c r="I209" s="178"/>
      <c r="J209" s="179" t="str">
        <f t="shared" si="12"/>
        <v/>
      </c>
      <c r="K209" s="180"/>
      <c r="L209" s="181">
        <f t="shared" si="13"/>
        <v>0</v>
      </c>
      <c r="M209" s="229" t="str">
        <f t="shared" si="11"/>
        <v/>
      </c>
      <c r="N209" s="232"/>
    </row>
    <row r="210" spans="1:14" ht="15" thickBot="1">
      <c r="A210" s="170"/>
      <c r="B210" s="171"/>
      <c r="C210" s="172"/>
      <c r="D210" s="173"/>
      <c r="E210" s="174"/>
      <c r="F210" s="175"/>
      <c r="G210" s="176"/>
      <c r="H210" s="177"/>
      <c r="I210" s="178"/>
      <c r="J210" s="179" t="str">
        <f t="shared" si="12"/>
        <v/>
      </c>
      <c r="K210" s="180"/>
      <c r="L210" s="181">
        <f t="shared" si="13"/>
        <v>0</v>
      </c>
      <c r="M210" s="229" t="str">
        <f t="shared" si="11"/>
        <v/>
      </c>
      <c r="N210" s="232"/>
    </row>
    <row r="211" spans="1:14" ht="15" thickBot="1">
      <c r="A211" s="170"/>
      <c r="B211" s="171"/>
      <c r="C211" s="172"/>
      <c r="D211" s="173"/>
      <c r="E211" s="174"/>
      <c r="F211" s="175"/>
      <c r="G211" s="176"/>
      <c r="H211" s="177"/>
      <c r="I211" s="178"/>
      <c r="J211" s="179" t="str">
        <f t="shared" si="12"/>
        <v/>
      </c>
      <c r="K211" s="180"/>
      <c r="L211" s="181">
        <f t="shared" si="13"/>
        <v>0</v>
      </c>
      <c r="M211" s="229" t="str">
        <f t="shared" si="11"/>
        <v/>
      </c>
      <c r="N211" s="232"/>
    </row>
    <row r="212" spans="1:14" ht="15" thickBot="1">
      <c r="A212" s="170"/>
      <c r="B212" s="171"/>
      <c r="C212" s="172"/>
      <c r="D212" s="173"/>
      <c r="E212" s="174"/>
      <c r="F212" s="175"/>
      <c r="G212" s="176"/>
      <c r="H212" s="177"/>
      <c r="I212" s="178"/>
      <c r="J212" s="179" t="str">
        <f t="shared" si="12"/>
        <v/>
      </c>
      <c r="K212" s="180"/>
      <c r="L212" s="181">
        <f t="shared" si="13"/>
        <v>0</v>
      </c>
      <c r="M212" s="229" t="str">
        <f t="shared" si="11"/>
        <v/>
      </c>
      <c r="N212" s="232"/>
    </row>
    <row r="213" spans="1:14" ht="15" thickBot="1">
      <c r="A213" s="170"/>
      <c r="B213" s="171"/>
      <c r="C213" s="172"/>
      <c r="D213" s="173"/>
      <c r="E213" s="174"/>
      <c r="F213" s="175"/>
      <c r="G213" s="176"/>
      <c r="H213" s="177"/>
      <c r="I213" s="178"/>
      <c r="J213" s="179" t="str">
        <f t="shared" si="12"/>
        <v/>
      </c>
      <c r="K213" s="180"/>
      <c r="L213" s="181">
        <f t="shared" si="13"/>
        <v>0</v>
      </c>
      <c r="M213" s="229" t="str">
        <f t="shared" si="11"/>
        <v/>
      </c>
      <c r="N213" s="232"/>
    </row>
    <row r="214" spans="1:14" ht="15" thickBot="1">
      <c r="A214" s="170"/>
      <c r="B214" s="171"/>
      <c r="C214" s="172"/>
      <c r="D214" s="173"/>
      <c r="E214" s="174"/>
      <c r="F214" s="175"/>
      <c r="G214" s="176"/>
      <c r="H214" s="177"/>
      <c r="I214" s="178"/>
      <c r="J214" s="179" t="str">
        <f t="shared" si="12"/>
        <v/>
      </c>
      <c r="K214" s="180"/>
      <c r="L214" s="181">
        <f t="shared" si="13"/>
        <v>0</v>
      </c>
      <c r="M214" s="229" t="str">
        <f t="shared" si="11"/>
        <v/>
      </c>
      <c r="N214" s="232"/>
    </row>
    <row r="215" spans="1:14" ht="15" thickBot="1">
      <c r="A215" s="170"/>
      <c r="B215" s="171"/>
      <c r="C215" s="172"/>
      <c r="D215" s="173"/>
      <c r="E215" s="174"/>
      <c r="F215" s="175"/>
      <c r="G215" s="176"/>
      <c r="H215" s="177"/>
      <c r="I215" s="178"/>
      <c r="J215" s="179" t="str">
        <f t="shared" si="12"/>
        <v/>
      </c>
      <c r="K215" s="180"/>
      <c r="L215" s="181">
        <f t="shared" si="13"/>
        <v>0</v>
      </c>
      <c r="M215" s="229" t="str">
        <f t="shared" si="11"/>
        <v/>
      </c>
      <c r="N215" s="232"/>
    </row>
    <row r="216" spans="1:14" ht="15" thickBot="1">
      <c r="A216" s="170"/>
      <c r="B216" s="171"/>
      <c r="C216" s="172"/>
      <c r="D216" s="173"/>
      <c r="E216" s="174"/>
      <c r="F216" s="175"/>
      <c r="G216" s="176"/>
      <c r="H216" s="177"/>
      <c r="I216" s="178"/>
      <c r="J216" s="179" t="str">
        <f t="shared" si="12"/>
        <v/>
      </c>
      <c r="K216" s="180"/>
      <c r="L216" s="181">
        <f t="shared" si="13"/>
        <v>0</v>
      </c>
      <c r="M216" s="229" t="str">
        <f t="shared" si="11"/>
        <v/>
      </c>
      <c r="N216" s="232"/>
    </row>
    <row r="217" spans="1:14" ht="15" thickBot="1">
      <c r="A217" s="170"/>
      <c r="B217" s="171"/>
      <c r="C217" s="172"/>
      <c r="D217" s="173"/>
      <c r="E217" s="174"/>
      <c r="F217" s="175"/>
      <c r="G217" s="176"/>
      <c r="H217" s="177"/>
      <c r="I217" s="178"/>
      <c r="J217" s="179" t="str">
        <f t="shared" si="12"/>
        <v/>
      </c>
      <c r="K217" s="180"/>
      <c r="L217" s="181">
        <f t="shared" si="13"/>
        <v>0</v>
      </c>
      <c r="M217" s="229" t="str">
        <f t="shared" si="11"/>
        <v/>
      </c>
      <c r="N217" s="232"/>
    </row>
    <row r="218" spans="1:14" ht="15" thickBot="1">
      <c r="A218" s="170"/>
      <c r="B218" s="171"/>
      <c r="C218" s="172"/>
      <c r="D218" s="173"/>
      <c r="E218" s="174"/>
      <c r="F218" s="175"/>
      <c r="G218" s="176"/>
      <c r="H218" s="177"/>
      <c r="I218" s="178"/>
      <c r="J218" s="179" t="str">
        <f t="shared" si="12"/>
        <v/>
      </c>
      <c r="K218" s="180"/>
      <c r="L218" s="181">
        <f t="shared" si="13"/>
        <v>0</v>
      </c>
      <c r="M218" s="229" t="str">
        <f t="shared" si="11"/>
        <v/>
      </c>
      <c r="N218" s="232"/>
    </row>
    <row r="219" spans="1:14" ht="15" thickBot="1">
      <c r="A219" s="170"/>
      <c r="B219" s="171"/>
      <c r="C219" s="172"/>
      <c r="D219" s="173"/>
      <c r="E219" s="174"/>
      <c r="F219" s="175"/>
      <c r="G219" s="176"/>
      <c r="H219" s="177"/>
      <c r="I219" s="178"/>
      <c r="J219" s="179" t="str">
        <f t="shared" si="12"/>
        <v/>
      </c>
      <c r="K219" s="180"/>
      <c r="L219" s="181">
        <f t="shared" si="13"/>
        <v>0</v>
      </c>
      <c r="M219" s="229" t="str">
        <f t="shared" si="11"/>
        <v/>
      </c>
      <c r="N219" s="232"/>
    </row>
    <row r="220" spans="1:14" ht="15" thickBot="1">
      <c r="A220" s="170"/>
      <c r="B220" s="171"/>
      <c r="C220" s="172"/>
      <c r="D220" s="173"/>
      <c r="E220" s="174"/>
      <c r="F220" s="175"/>
      <c r="G220" s="176"/>
      <c r="H220" s="177"/>
      <c r="I220" s="178"/>
      <c r="J220" s="179" t="str">
        <f t="shared" si="12"/>
        <v/>
      </c>
      <c r="K220" s="180"/>
      <c r="L220" s="181">
        <f t="shared" si="13"/>
        <v>0</v>
      </c>
      <c r="M220" s="229" t="str">
        <f t="shared" si="11"/>
        <v/>
      </c>
      <c r="N220" s="232"/>
    </row>
    <row r="221" spans="1:14" ht="15" thickBot="1">
      <c r="A221" s="170"/>
      <c r="B221" s="171"/>
      <c r="C221" s="172"/>
      <c r="D221" s="173"/>
      <c r="E221" s="174"/>
      <c r="F221" s="175"/>
      <c r="G221" s="176"/>
      <c r="H221" s="177"/>
      <c r="I221" s="178"/>
      <c r="J221" s="179" t="str">
        <f t="shared" si="12"/>
        <v/>
      </c>
      <c r="K221" s="180"/>
      <c r="L221" s="181">
        <f t="shared" si="13"/>
        <v>0</v>
      </c>
      <c r="M221" s="229" t="str">
        <f t="shared" si="11"/>
        <v/>
      </c>
      <c r="N221" s="232"/>
    </row>
    <row r="222" spans="1:14" ht="15" thickBot="1">
      <c r="A222" s="170"/>
      <c r="B222" s="171"/>
      <c r="C222" s="172"/>
      <c r="D222" s="173"/>
      <c r="E222" s="174"/>
      <c r="F222" s="175"/>
      <c r="G222" s="176"/>
      <c r="H222" s="177"/>
      <c r="I222" s="178"/>
      <c r="J222" s="179" t="str">
        <f t="shared" si="12"/>
        <v/>
      </c>
      <c r="K222" s="180"/>
      <c r="L222" s="181">
        <f t="shared" si="13"/>
        <v>0</v>
      </c>
      <c r="M222" s="229" t="str">
        <f t="shared" si="11"/>
        <v/>
      </c>
      <c r="N222" s="232"/>
    </row>
    <row r="223" spans="1:14" ht="15" thickBot="1">
      <c r="A223" s="170"/>
      <c r="B223" s="171"/>
      <c r="C223" s="172"/>
      <c r="D223" s="173"/>
      <c r="E223" s="174"/>
      <c r="F223" s="175"/>
      <c r="G223" s="176"/>
      <c r="H223" s="177"/>
      <c r="I223" s="178"/>
      <c r="J223" s="179" t="str">
        <f t="shared" si="12"/>
        <v/>
      </c>
      <c r="K223" s="180"/>
      <c r="L223" s="181">
        <f t="shared" si="13"/>
        <v>0</v>
      </c>
      <c r="M223" s="229" t="str">
        <f t="shared" si="11"/>
        <v/>
      </c>
      <c r="N223" s="232"/>
    </row>
    <row r="224" spans="1:14" ht="15" thickBot="1">
      <c r="A224" s="170"/>
      <c r="B224" s="171"/>
      <c r="C224" s="172"/>
      <c r="D224" s="173"/>
      <c r="E224" s="174"/>
      <c r="F224" s="175"/>
      <c r="G224" s="176"/>
      <c r="H224" s="177"/>
      <c r="I224" s="178"/>
      <c r="J224" s="179" t="str">
        <f t="shared" si="12"/>
        <v/>
      </c>
      <c r="K224" s="180"/>
      <c r="L224" s="181">
        <f t="shared" si="13"/>
        <v>0</v>
      </c>
      <c r="M224" s="229" t="str">
        <f t="shared" si="11"/>
        <v/>
      </c>
      <c r="N224" s="232"/>
    </row>
    <row r="225" spans="1:14" ht="15" thickBot="1">
      <c r="A225" s="170"/>
      <c r="B225" s="171"/>
      <c r="C225" s="172"/>
      <c r="D225" s="173"/>
      <c r="E225" s="174"/>
      <c r="F225" s="175"/>
      <c r="G225" s="176"/>
      <c r="H225" s="177"/>
      <c r="I225" s="178"/>
      <c r="J225" s="179" t="str">
        <f t="shared" si="12"/>
        <v/>
      </c>
      <c r="K225" s="180"/>
      <c r="L225" s="181">
        <f t="shared" si="13"/>
        <v>0</v>
      </c>
      <c r="M225" s="229" t="str">
        <f t="shared" si="11"/>
        <v/>
      </c>
      <c r="N225" s="232"/>
    </row>
    <row r="226" spans="1:14" ht="15" thickBot="1">
      <c r="A226" s="170"/>
      <c r="B226" s="171"/>
      <c r="C226" s="172"/>
      <c r="D226" s="173"/>
      <c r="E226" s="174"/>
      <c r="F226" s="175"/>
      <c r="G226" s="176"/>
      <c r="H226" s="177"/>
      <c r="I226" s="178"/>
      <c r="J226" s="179" t="str">
        <f t="shared" si="12"/>
        <v/>
      </c>
      <c r="K226" s="180"/>
      <c r="L226" s="181">
        <f t="shared" si="13"/>
        <v>0</v>
      </c>
      <c r="M226" s="229" t="str">
        <f t="shared" si="11"/>
        <v/>
      </c>
      <c r="N226" s="232"/>
    </row>
    <row r="227" spans="1:14" ht="15" thickBot="1">
      <c r="A227" s="170"/>
      <c r="B227" s="171"/>
      <c r="C227" s="172"/>
      <c r="D227" s="173"/>
      <c r="E227" s="174"/>
      <c r="F227" s="175"/>
      <c r="G227" s="176"/>
      <c r="H227" s="177"/>
      <c r="I227" s="178"/>
      <c r="J227" s="179" t="str">
        <f t="shared" si="12"/>
        <v/>
      </c>
      <c r="K227" s="180"/>
      <c r="L227" s="181">
        <f t="shared" si="13"/>
        <v>0</v>
      </c>
      <c r="M227" s="229" t="str">
        <f t="shared" si="11"/>
        <v/>
      </c>
      <c r="N227" s="232"/>
    </row>
    <row r="228" spans="1:14" ht="15" thickBot="1">
      <c r="A228" s="170"/>
      <c r="B228" s="171"/>
      <c r="C228" s="172"/>
      <c r="D228" s="173"/>
      <c r="E228" s="174"/>
      <c r="F228" s="175"/>
      <c r="G228" s="176"/>
      <c r="H228" s="177"/>
      <c r="I228" s="178"/>
      <c r="J228" s="179" t="str">
        <f t="shared" si="12"/>
        <v/>
      </c>
      <c r="K228" s="180"/>
      <c r="L228" s="181">
        <f t="shared" si="13"/>
        <v>0</v>
      </c>
      <c r="M228" s="229" t="str">
        <f t="shared" si="11"/>
        <v/>
      </c>
      <c r="N228" s="232"/>
    </row>
    <row r="229" spans="1:14" ht="15" thickBot="1">
      <c r="A229" s="170"/>
      <c r="B229" s="171"/>
      <c r="C229" s="172"/>
      <c r="D229" s="173"/>
      <c r="E229" s="174"/>
      <c r="F229" s="175"/>
      <c r="G229" s="176"/>
      <c r="H229" s="177"/>
      <c r="I229" s="178"/>
      <c r="J229" s="179" t="str">
        <f t="shared" si="12"/>
        <v/>
      </c>
      <c r="K229" s="180"/>
      <c r="L229" s="181">
        <f t="shared" si="13"/>
        <v>0</v>
      </c>
      <c r="M229" s="229" t="str">
        <f t="shared" si="11"/>
        <v/>
      </c>
      <c r="N229" s="232"/>
    </row>
    <row r="230" spans="1:14" ht="15" thickBot="1">
      <c r="A230" s="170"/>
      <c r="B230" s="171"/>
      <c r="C230" s="172"/>
      <c r="D230" s="173"/>
      <c r="E230" s="174"/>
      <c r="F230" s="175"/>
      <c r="G230" s="176"/>
      <c r="H230" s="177"/>
      <c r="I230" s="178"/>
      <c r="J230" s="179" t="str">
        <f t="shared" si="12"/>
        <v/>
      </c>
      <c r="K230" s="180"/>
      <c r="L230" s="181">
        <f t="shared" si="13"/>
        <v>0</v>
      </c>
      <c r="M230" s="229" t="str">
        <f t="shared" si="11"/>
        <v/>
      </c>
      <c r="N230" s="232"/>
    </row>
    <row r="231" spans="1:14" ht="15" thickBot="1">
      <c r="A231" s="170"/>
      <c r="B231" s="171"/>
      <c r="C231" s="172"/>
      <c r="D231" s="173"/>
      <c r="E231" s="174"/>
      <c r="F231" s="175"/>
      <c r="G231" s="176"/>
      <c r="H231" s="177"/>
      <c r="I231" s="178"/>
      <c r="J231" s="179" t="str">
        <f t="shared" si="12"/>
        <v/>
      </c>
      <c r="K231" s="180"/>
      <c r="L231" s="181">
        <f t="shared" si="13"/>
        <v>0</v>
      </c>
      <c r="M231" s="229" t="str">
        <f t="shared" si="11"/>
        <v/>
      </c>
      <c r="N231" s="232"/>
    </row>
    <row r="232" spans="1:14" ht="15" thickBot="1">
      <c r="A232" s="170"/>
      <c r="B232" s="171"/>
      <c r="C232" s="172"/>
      <c r="D232" s="173"/>
      <c r="E232" s="174"/>
      <c r="F232" s="175"/>
      <c r="G232" s="176"/>
      <c r="H232" s="177"/>
      <c r="I232" s="178"/>
      <c r="J232" s="179" t="str">
        <f t="shared" si="12"/>
        <v/>
      </c>
      <c r="K232" s="180"/>
      <c r="L232" s="181">
        <f t="shared" si="13"/>
        <v>0</v>
      </c>
      <c r="M232" s="229" t="str">
        <f t="shared" si="11"/>
        <v/>
      </c>
      <c r="N232" s="232"/>
    </row>
    <row r="233" spans="1:14" ht="15" thickBot="1">
      <c r="A233" s="170"/>
      <c r="B233" s="171"/>
      <c r="C233" s="172"/>
      <c r="D233" s="173"/>
      <c r="E233" s="174"/>
      <c r="F233" s="175"/>
      <c r="G233" s="176"/>
      <c r="H233" s="177"/>
      <c r="I233" s="178"/>
      <c r="J233" s="179" t="str">
        <f t="shared" si="12"/>
        <v/>
      </c>
      <c r="K233" s="180"/>
      <c r="L233" s="181">
        <f t="shared" si="13"/>
        <v>0</v>
      </c>
      <c r="M233" s="229" t="str">
        <f t="shared" si="11"/>
        <v/>
      </c>
      <c r="N233" s="232"/>
    </row>
    <row r="234" spans="1:14" ht="15" thickBot="1">
      <c r="A234" s="170"/>
      <c r="B234" s="171"/>
      <c r="C234" s="172"/>
      <c r="D234" s="173"/>
      <c r="E234" s="174"/>
      <c r="F234" s="175"/>
      <c r="G234" s="176"/>
      <c r="H234" s="177"/>
      <c r="I234" s="178"/>
      <c r="J234" s="179" t="str">
        <f t="shared" si="12"/>
        <v/>
      </c>
      <c r="K234" s="180"/>
      <c r="L234" s="181">
        <f t="shared" si="13"/>
        <v>0</v>
      </c>
      <c r="M234" s="229" t="str">
        <f t="shared" si="11"/>
        <v/>
      </c>
      <c r="N234" s="232"/>
    </row>
    <row r="235" spans="1:14" ht="15" thickBot="1">
      <c r="A235" s="170"/>
      <c r="B235" s="171"/>
      <c r="C235" s="172"/>
      <c r="D235" s="173"/>
      <c r="E235" s="174"/>
      <c r="F235" s="175"/>
      <c r="G235" s="176"/>
      <c r="H235" s="177"/>
      <c r="I235" s="178"/>
      <c r="J235" s="179" t="str">
        <f t="shared" si="12"/>
        <v/>
      </c>
      <c r="K235" s="180"/>
      <c r="L235" s="181">
        <f t="shared" si="13"/>
        <v>0</v>
      </c>
      <c r="M235" s="229" t="str">
        <f t="shared" si="11"/>
        <v/>
      </c>
      <c r="N235" s="232"/>
    </row>
    <row r="236" spans="1:14" ht="15" thickBot="1">
      <c r="A236" s="170"/>
      <c r="B236" s="171"/>
      <c r="C236" s="172"/>
      <c r="D236" s="173"/>
      <c r="E236" s="174"/>
      <c r="F236" s="175"/>
      <c r="G236" s="176"/>
      <c r="H236" s="177"/>
      <c r="I236" s="178"/>
      <c r="J236" s="179" t="str">
        <f t="shared" si="12"/>
        <v/>
      </c>
      <c r="K236" s="180"/>
      <c r="L236" s="181">
        <f t="shared" si="13"/>
        <v>0</v>
      </c>
      <c r="M236" s="229" t="str">
        <f t="shared" si="11"/>
        <v/>
      </c>
      <c r="N236" s="232"/>
    </row>
    <row r="237" spans="1:14" ht="15" thickBot="1">
      <c r="A237" s="170"/>
      <c r="B237" s="171"/>
      <c r="C237" s="172"/>
      <c r="D237" s="173"/>
      <c r="E237" s="174"/>
      <c r="F237" s="175"/>
      <c r="G237" s="176"/>
      <c r="H237" s="177"/>
      <c r="I237" s="178"/>
      <c r="J237" s="179" t="str">
        <f t="shared" si="12"/>
        <v/>
      </c>
      <c r="K237" s="180"/>
      <c r="L237" s="181">
        <f t="shared" si="13"/>
        <v>0</v>
      </c>
      <c r="M237" s="229" t="str">
        <f t="shared" si="11"/>
        <v/>
      </c>
      <c r="N237" s="232"/>
    </row>
    <row r="238" spans="1:14" ht="15" thickBot="1">
      <c r="A238" s="170"/>
      <c r="B238" s="171"/>
      <c r="C238" s="172"/>
      <c r="D238" s="173"/>
      <c r="E238" s="174"/>
      <c r="F238" s="175"/>
      <c r="G238" s="176"/>
      <c r="H238" s="177"/>
      <c r="I238" s="178"/>
      <c r="J238" s="179" t="str">
        <f t="shared" si="12"/>
        <v/>
      </c>
      <c r="K238" s="180"/>
      <c r="L238" s="181">
        <f t="shared" si="13"/>
        <v>0</v>
      </c>
      <c r="M238" s="229" t="str">
        <f t="shared" si="11"/>
        <v/>
      </c>
      <c r="N238" s="232"/>
    </row>
    <row r="239" spans="1:14" ht="15" thickBot="1">
      <c r="A239" s="170"/>
      <c r="B239" s="171"/>
      <c r="C239" s="172"/>
      <c r="D239" s="173"/>
      <c r="E239" s="174"/>
      <c r="F239" s="175"/>
      <c r="G239" s="176"/>
      <c r="H239" s="177"/>
      <c r="I239" s="178"/>
      <c r="J239" s="179" t="str">
        <f t="shared" si="12"/>
        <v/>
      </c>
      <c r="K239" s="180"/>
      <c r="L239" s="181">
        <f t="shared" si="13"/>
        <v>0</v>
      </c>
      <c r="M239" s="229" t="str">
        <f t="shared" si="11"/>
        <v/>
      </c>
      <c r="N239" s="232"/>
    </row>
    <row r="240" spans="1:14" ht="15" thickBot="1">
      <c r="A240" s="170"/>
      <c r="B240" s="171"/>
      <c r="C240" s="172"/>
      <c r="D240" s="173"/>
      <c r="E240" s="174"/>
      <c r="F240" s="175"/>
      <c r="G240" s="176"/>
      <c r="H240" s="177"/>
      <c r="I240" s="178"/>
      <c r="J240" s="179" t="str">
        <f t="shared" si="12"/>
        <v/>
      </c>
      <c r="K240" s="180"/>
      <c r="L240" s="181">
        <f t="shared" si="13"/>
        <v>0</v>
      </c>
      <c r="M240" s="229" t="str">
        <f t="shared" si="11"/>
        <v/>
      </c>
      <c r="N240" s="232"/>
    </row>
    <row r="241" spans="1:14" ht="15" thickBot="1">
      <c r="A241" s="170"/>
      <c r="B241" s="171"/>
      <c r="C241" s="172"/>
      <c r="D241" s="173"/>
      <c r="E241" s="174"/>
      <c r="F241" s="175"/>
      <c r="G241" s="176"/>
      <c r="H241" s="177"/>
      <c r="I241" s="178"/>
      <c r="J241" s="179" t="str">
        <f t="shared" si="12"/>
        <v/>
      </c>
      <c r="K241" s="180"/>
      <c r="L241" s="181">
        <f t="shared" si="13"/>
        <v>0</v>
      </c>
      <c r="M241" s="229" t="str">
        <f t="shared" si="11"/>
        <v/>
      </c>
      <c r="N241" s="232"/>
    </row>
    <row r="242" spans="1:14" ht="15" thickBot="1">
      <c r="A242" s="170"/>
      <c r="B242" s="171"/>
      <c r="C242" s="172"/>
      <c r="D242" s="173"/>
      <c r="E242" s="174"/>
      <c r="F242" s="175"/>
      <c r="G242" s="176"/>
      <c r="H242" s="177"/>
      <c r="I242" s="178"/>
      <c r="J242" s="179" t="str">
        <f t="shared" si="12"/>
        <v/>
      </c>
      <c r="K242" s="180"/>
      <c r="L242" s="181">
        <f t="shared" si="13"/>
        <v>0</v>
      </c>
      <c r="M242" s="229" t="str">
        <f t="shared" si="11"/>
        <v/>
      </c>
      <c r="N242" s="232"/>
    </row>
    <row r="243" spans="1:14" ht="15" thickBot="1">
      <c r="A243" s="170"/>
      <c r="B243" s="171"/>
      <c r="C243" s="172"/>
      <c r="D243" s="173"/>
      <c r="E243" s="174"/>
      <c r="F243" s="175"/>
      <c r="G243" s="176"/>
      <c r="H243" s="177"/>
      <c r="I243" s="178"/>
      <c r="J243" s="179" t="str">
        <f t="shared" si="12"/>
        <v/>
      </c>
      <c r="K243" s="180"/>
      <c r="L243" s="181">
        <f t="shared" si="13"/>
        <v>0</v>
      </c>
      <c r="M243" s="229" t="str">
        <f t="shared" si="11"/>
        <v/>
      </c>
      <c r="N243" s="232"/>
    </row>
    <row r="244" spans="1:14" ht="15" thickBot="1">
      <c r="A244" s="170"/>
      <c r="B244" s="171"/>
      <c r="C244" s="172"/>
      <c r="D244" s="173"/>
      <c r="E244" s="174"/>
      <c r="F244" s="175"/>
      <c r="G244" s="176"/>
      <c r="H244" s="177"/>
      <c r="I244" s="178"/>
      <c r="J244" s="179" t="str">
        <f t="shared" si="12"/>
        <v/>
      </c>
      <c r="K244" s="180"/>
      <c r="L244" s="181">
        <f t="shared" si="13"/>
        <v>0</v>
      </c>
      <c r="M244" s="229" t="str">
        <f t="shared" si="11"/>
        <v/>
      </c>
      <c r="N244" s="232"/>
    </row>
    <row r="245" spans="1:14" ht="15" thickBot="1">
      <c r="A245" s="170"/>
      <c r="B245" s="171"/>
      <c r="C245" s="172"/>
      <c r="D245" s="173"/>
      <c r="E245" s="174"/>
      <c r="F245" s="175"/>
      <c r="G245" s="176"/>
      <c r="H245" s="177"/>
      <c r="I245" s="178"/>
      <c r="J245" s="179" t="str">
        <f t="shared" si="12"/>
        <v/>
      </c>
      <c r="K245" s="180"/>
      <c r="L245" s="181">
        <f t="shared" si="13"/>
        <v>0</v>
      </c>
      <c r="M245" s="229" t="str">
        <f t="shared" si="11"/>
        <v/>
      </c>
      <c r="N245" s="232"/>
    </row>
    <row r="246" spans="1:14" ht="15" thickBot="1">
      <c r="A246" s="170"/>
      <c r="B246" s="171"/>
      <c r="C246" s="172"/>
      <c r="D246" s="173"/>
      <c r="E246" s="174"/>
      <c r="F246" s="175"/>
      <c r="G246" s="176"/>
      <c r="H246" s="177"/>
      <c r="I246" s="178"/>
      <c r="J246" s="179" t="str">
        <f t="shared" si="12"/>
        <v/>
      </c>
      <c r="K246" s="180"/>
      <c r="L246" s="181">
        <f t="shared" si="13"/>
        <v>0</v>
      </c>
      <c r="M246" s="229" t="str">
        <f t="shared" si="11"/>
        <v/>
      </c>
      <c r="N246" s="232"/>
    </row>
    <row r="247" spans="1:14" ht="15" thickBot="1">
      <c r="A247" s="170"/>
      <c r="B247" s="171"/>
      <c r="C247" s="172"/>
      <c r="D247" s="173"/>
      <c r="E247" s="174"/>
      <c r="F247" s="175"/>
      <c r="G247" s="176"/>
      <c r="H247" s="177"/>
      <c r="I247" s="178"/>
      <c r="J247" s="179" t="str">
        <f t="shared" si="12"/>
        <v/>
      </c>
      <c r="K247" s="180"/>
      <c r="L247" s="181">
        <f t="shared" si="13"/>
        <v>0</v>
      </c>
      <c r="M247" s="229" t="str">
        <f t="shared" si="11"/>
        <v/>
      </c>
      <c r="N247" s="232"/>
    </row>
    <row r="248" spans="1:14" ht="15" thickBot="1">
      <c r="A248" s="170"/>
      <c r="B248" s="171"/>
      <c r="C248" s="172"/>
      <c r="D248" s="173"/>
      <c r="E248" s="174"/>
      <c r="F248" s="175"/>
      <c r="G248" s="176"/>
      <c r="H248" s="177"/>
      <c r="I248" s="178"/>
      <c r="J248" s="179" t="str">
        <f t="shared" si="12"/>
        <v/>
      </c>
      <c r="K248" s="180"/>
      <c r="L248" s="181">
        <f t="shared" si="13"/>
        <v>0</v>
      </c>
      <c r="M248" s="229" t="str">
        <f t="shared" si="11"/>
        <v/>
      </c>
      <c r="N248" s="232"/>
    </row>
    <row r="249" spans="1:14" ht="15" thickBot="1">
      <c r="A249" s="170"/>
      <c r="B249" s="171"/>
      <c r="C249" s="172"/>
      <c r="D249" s="173"/>
      <c r="E249" s="174"/>
      <c r="F249" s="175"/>
      <c r="G249" s="176"/>
      <c r="H249" s="177"/>
      <c r="I249" s="178"/>
      <c r="J249" s="179" t="str">
        <f t="shared" si="12"/>
        <v/>
      </c>
      <c r="K249" s="180"/>
      <c r="L249" s="181">
        <f t="shared" si="13"/>
        <v>0</v>
      </c>
      <c r="M249" s="229" t="str">
        <f t="shared" si="11"/>
        <v/>
      </c>
      <c r="N249" s="232"/>
    </row>
    <row r="250" spans="1:14" ht="15" thickBot="1">
      <c r="A250" s="170"/>
      <c r="B250" s="171"/>
      <c r="C250" s="172"/>
      <c r="D250" s="173"/>
      <c r="E250" s="174"/>
      <c r="F250" s="175"/>
      <c r="G250" s="176"/>
      <c r="H250" s="177"/>
      <c r="I250" s="178"/>
      <c r="J250" s="179" t="str">
        <f t="shared" si="12"/>
        <v/>
      </c>
      <c r="K250" s="180"/>
      <c r="L250" s="181">
        <f t="shared" si="13"/>
        <v>0</v>
      </c>
      <c r="M250" s="229" t="str">
        <f t="shared" si="11"/>
        <v/>
      </c>
      <c r="N250" s="232"/>
    </row>
    <row r="251" spans="1:14" ht="15" thickBot="1">
      <c r="A251" s="170"/>
      <c r="B251" s="171"/>
      <c r="C251" s="172"/>
      <c r="D251" s="173"/>
      <c r="E251" s="174"/>
      <c r="F251" s="175"/>
      <c r="G251" s="176"/>
      <c r="H251" s="177"/>
      <c r="I251" s="178"/>
      <c r="J251" s="179" t="str">
        <f t="shared" si="12"/>
        <v/>
      </c>
      <c r="K251" s="180"/>
      <c r="L251" s="181">
        <f t="shared" si="13"/>
        <v>0</v>
      </c>
      <c r="M251" s="229" t="str">
        <f t="shared" si="11"/>
        <v/>
      </c>
      <c r="N251" s="232"/>
    </row>
    <row r="252" spans="1:14" ht="15" thickBot="1">
      <c r="A252" s="170"/>
      <c r="B252" s="171"/>
      <c r="C252" s="172"/>
      <c r="D252" s="173"/>
      <c r="E252" s="174"/>
      <c r="F252" s="175"/>
      <c r="G252" s="176"/>
      <c r="H252" s="177"/>
      <c r="I252" s="178"/>
      <c r="J252" s="179" t="str">
        <f t="shared" si="12"/>
        <v/>
      </c>
      <c r="K252" s="180"/>
      <c r="L252" s="181">
        <f t="shared" si="13"/>
        <v>0</v>
      </c>
      <c r="M252" s="229" t="str">
        <f t="shared" si="11"/>
        <v/>
      </c>
      <c r="N252" s="232"/>
    </row>
    <row r="253" spans="1:14" ht="15" thickBot="1">
      <c r="A253" s="170"/>
      <c r="B253" s="171"/>
      <c r="C253" s="172"/>
      <c r="D253" s="173"/>
      <c r="E253" s="174"/>
      <c r="F253" s="175"/>
      <c r="G253" s="176"/>
      <c r="H253" s="177"/>
      <c r="I253" s="178"/>
      <c r="J253" s="179" t="str">
        <f t="shared" si="12"/>
        <v/>
      </c>
      <c r="K253" s="180"/>
      <c r="L253" s="181">
        <f t="shared" si="13"/>
        <v>0</v>
      </c>
      <c r="M253" s="229" t="str">
        <f t="shared" si="11"/>
        <v/>
      </c>
      <c r="N253" s="232"/>
    </row>
    <row r="254" spans="1:14" ht="15" thickBot="1">
      <c r="A254" s="170"/>
      <c r="B254" s="171"/>
      <c r="C254" s="172"/>
      <c r="D254" s="173"/>
      <c r="E254" s="174"/>
      <c r="F254" s="175"/>
      <c r="G254" s="176"/>
      <c r="H254" s="177"/>
      <c r="I254" s="178"/>
      <c r="J254" s="179" t="str">
        <f t="shared" si="12"/>
        <v/>
      </c>
      <c r="K254" s="180"/>
      <c r="L254" s="181">
        <f t="shared" si="13"/>
        <v>0</v>
      </c>
      <c r="M254" s="229" t="str">
        <f t="shared" si="11"/>
        <v/>
      </c>
      <c r="N254" s="232"/>
    </row>
    <row r="255" spans="1:14" ht="15" thickBot="1">
      <c r="A255" s="170"/>
      <c r="B255" s="171"/>
      <c r="C255" s="172"/>
      <c r="D255" s="173"/>
      <c r="E255" s="174"/>
      <c r="F255" s="175"/>
      <c r="G255" s="176"/>
      <c r="H255" s="177"/>
      <c r="I255" s="178"/>
      <c r="J255" s="179" t="str">
        <f t="shared" si="12"/>
        <v/>
      </c>
      <c r="K255" s="180"/>
      <c r="L255" s="181">
        <f t="shared" si="13"/>
        <v>0</v>
      </c>
      <c r="M255" s="229" t="str">
        <f t="shared" si="11"/>
        <v/>
      </c>
      <c r="N255" s="232"/>
    </row>
    <row r="256" spans="1:14" ht="15" thickBot="1">
      <c r="A256" s="170"/>
      <c r="B256" s="171"/>
      <c r="C256" s="172"/>
      <c r="D256" s="173"/>
      <c r="E256" s="174"/>
      <c r="F256" s="175"/>
      <c r="G256" s="176"/>
      <c r="H256" s="177"/>
      <c r="I256" s="178"/>
      <c r="J256" s="179" t="str">
        <f t="shared" si="12"/>
        <v/>
      </c>
      <c r="K256" s="180"/>
      <c r="L256" s="181">
        <f t="shared" si="13"/>
        <v>0</v>
      </c>
      <c r="M256" s="229" t="str">
        <f t="shared" si="11"/>
        <v/>
      </c>
      <c r="N256" s="232"/>
    </row>
    <row r="257" spans="1:14" ht="15" thickBot="1">
      <c r="A257" s="170"/>
      <c r="B257" s="171"/>
      <c r="C257" s="172"/>
      <c r="D257" s="173"/>
      <c r="E257" s="174"/>
      <c r="F257" s="175"/>
      <c r="G257" s="176"/>
      <c r="H257" s="177"/>
      <c r="I257" s="178"/>
      <c r="J257" s="179" t="str">
        <f t="shared" si="12"/>
        <v/>
      </c>
      <c r="K257" s="180"/>
      <c r="L257" s="181">
        <f t="shared" si="13"/>
        <v>0</v>
      </c>
      <c r="M257" s="229" t="str">
        <f t="shared" si="11"/>
        <v/>
      </c>
      <c r="N257" s="232"/>
    </row>
    <row r="258" spans="1:14" ht="15" thickBot="1">
      <c r="A258" s="170"/>
      <c r="B258" s="171"/>
      <c r="C258" s="172"/>
      <c r="D258" s="173"/>
      <c r="E258" s="174"/>
      <c r="F258" s="175"/>
      <c r="G258" s="176"/>
      <c r="H258" s="177"/>
      <c r="I258" s="178"/>
      <c r="J258" s="179" t="str">
        <f t="shared" si="12"/>
        <v/>
      </c>
      <c r="K258" s="180"/>
      <c r="L258" s="181">
        <f t="shared" si="13"/>
        <v>0</v>
      </c>
      <c r="M258" s="229" t="str">
        <f t="shared" si="11"/>
        <v/>
      </c>
      <c r="N258" s="232"/>
    </row>
    <row r="259" spans="1:14" ht="15" thickBot="1">
      <c r="A259" s="170"/>
      <c r="B259" s="171"/>
      <c r="C259" s="172"/>
      <c r="D259" s="173"/>
      <c r="E259" s="174"/>
      <c r="F259" s="175"/>
      <c r="G259" s="176"/>
      <c r="H259" s="177"/>
      <c r="I259" s="178"/>
      <c r="J259" s="179" t="str">
        <f t="shared" si="12"/>
        <v/>
      </c>
      <c r="K259" s="180"/>
      <c r="L259" s="181">
        <f t="shared" si="13"/>
        <v>0</v>
      </c>
      <c r="M259" s="229" t="str">
        <f t="shared" si="11"/>
        <v/>
      </c>
      <c r="N259" s="232"/>
    </row>
    <row r="260" spans="1:14" ht="15" thickBot="1">
      <c r="A260" s="170"/>
      <c r="B260" s="171"/>
      <c r="C260" s="172"/>
      <c r="D260" s="173"/>
      <c r="E260" s="174"/>
      <c r="F260" s="175"/>
      <c r="G260" s="176"/>
      <c r="H260" s="177"/>
      <c r="I260" s="178"/>
      <c r="J260" s="179" t="str">
        <f t="shared" si="12"/>
        <v/>
      </c>
      <c r="K260" s="180"/>
      <c r="L260" s="181">
        <f t="shared" si="13"/>
        <v>0</v>
      </c>
      <c r="M260" s="229" t="str">
        <f t="shared" si="11"/>
        <v/>
      </c>
      <c r="N260" s="232"/>
    </row>
    <row r="261" spans="1:14" ht="15" thickBot="1">
      <c r="A261" s="170"/>
      <c r="B261" s="171"/>
      <c r="C261" s="172"/>
      <c r="D261" s="173"/>
      <c r="E261" s="174"/>
      <c r="F261" s="175"/>
      <c r="G261" s="176"/>
      <c r="H261" s="177"/>
      <c r="I261" s="178"/>
      <c r="J261" s="179" t="str">
        <f t="shared" si="12"/>
        <v/>
      </c>
      <c r="K261" s="180"/>
      <c r="L261" s="181">
        <f t="shared" si="13"/>
        <v>0</v>
      </c>
      <c r="M261" s="229" t="str">
        <f t="shared" si="11"/>
        <v/>
      </c>
      <c r="N261" s="232"/>
    </row>
    <row r="262" spans="1:14" ht="15" thickBot="1">
      <c r="A262" s="170"/>
      <c r="B262" s="171"/>
      <c r="C262" s="172"/>
      <c r="D262" s="173"/>
      <c r="E262" s="174"/>
      <c r="F262" s="175"/>
      <c r="G262" s="176"/>
      <c r="H262" s="177"/>
      <c r="I262" s="178"/>
      <c r="J262" s="179" t="str">
        <f t="shared" si="12"/>
        <v/>
      </c>
      <c r="K262" s="180"/>
      <c r="L262" s="181">
        <f t="shared" si="13"/>
        <v>0</v>
      </c>
      <c r="M262" s="229" t="str">
        <f t="shared" si="11"/>
        <v/>
      </c>
      <c r="N262" s="232"/>
    </row>
    <row r="263" spans="1:14" ht="15" thickBot="1">
      <c r="A263" s="170"/>
      <c r="B263" s="171"/>
      <c r="C263" s="172"/>
      <c r="D263" s="173"/>
      <c r="E263" s="174"/>
      <c r="F263" s="175"/>
      <c r="G263" s="176"/>
      <c r="H263" s="177"/>
      <c r="I263" s="178"/>
      <c r="J263" s="179" t="str">
        <f t="shared" si="12"/>
        <v/>
      </c>
      <c r="K263" s="180"/>
      <c r="L263" s="181">
        <f t="shared" si="13"/>
        <v>0</v>
      </c>
      <c r="M263" s="229" t="str">
        <f t="shared" si="11"/>
        <v/>
      </c>
      <c r="N263" s="232"/>
    </row>
    <row r="264" spans="1:14" ht="15" thickBot="1">
      <c r="A264" s="170"/>
      <c r="B264" s="171"/>
      <c r="C264" s="172"/>
      <c r="D264" s="173"/>
      <c r="E264" s="174"/>
      <c r="F264" s="175"/>
      <c r="G264" s="176"/>
      <c r="H264" s="177"/>
      <c r="I264" s="178"/>
      <c r="J264" s="179" t="str">
        <f t="shared" si="12"/>
        <v/>
      </c>
      <c r="K264" s="180"/>
      <c r="L264" s="181">
        <f t="shared" si="13"/>
        <v>0</v>
      </c>
      <c r="M264" s="229" t="str">
        <f t="shared" si="11"/>
        <v/>
      </c>
      <c r="N264" s="232"/>
    </row>
    <row r="265" spans="1:14" ht="15" thickBot="1">
      <c r="A265" s="170"/>
      <c r="B265" s="171"/>
      <c r="C265" s="172"/>
      <c r="D265" s="173"/>
      <c r="E265" s="174"/>
      <c r="F265" s="175"/>
      <c r="G265" s="176"/>
      <c r="H265" s="177"/>
      <c r="I265" s="178"/>
      <c r="J265" s="179" t="str">
        <f t="shared" si="12"/>
        <v/>
      </c>
      <c r="K265" s="180"/>
      <c r="L265" s="181">
        <f t="shared" si="13"/>
        <v>0</v>
      </c>
      <c r="M265" s="229" t="str">
        <f t="shared" si="11"/>
        <v/>
      </c>
      <c r="N265" s="232"/>
    </row>
    <row r="266" spans="1:14" ht="15" thickBot="1">
      <c r="A266" s="170"/>
      <c r="B266" s="171"/>
      <c r="C266" s="172"/>
      <c r="D266" s="173"/>
      <c r="E266" s="174"/>
      <c r="F266" s="175"/>
      <c r="G266" s="176"/>
      <c r="H266" s="177"/>
      <c r="I266" s="178"/>
      <c r="J266" s="179" t="str">
        <f t="shared" si="12"/>
        <v/>
      </c>
      <c r="K266" s="180"/>
      <c r="L266" s="181">
        <f t="shared" si="13"/>
        <v>0</v>
      </c>
      <c r="M266" s="229" t="str">
        <f t="shared" si="11"/>
        <v/>
      </c>
      <c r="N266" s="232"/>
    </row>
    <row r="267" spans="1:14" ht="15" thickBot="1">
      <c r="A267" s="170"/>
      <c r="B267" s="171"/>
      <c r="C267" s="172"/>
      <c r="D267" s="173"/>
      <c r="E267" s="174"/>
      <c r="F267" s="175"/>
      <c r="G267" s="176"/>
      <c r="H267" s="177"/>
      <c r="I267" s="178"/>
      <c r="J267" s="179" t="str">
        <f t="shared" si="12"/>
        <v/>
      </c>
      <c r="K267" s="180"/>
      <c r="L267" s="181">
        <f t="shared" si="13"/>
        <v>0</v>
      </c>
      <c r="M267" s="229" t="str">
        <f t="shared" si="11"/>
        <v/>
      </c>
      <c r="N267" s="232"/>
    </row>
    <row r="268" spans="1:14" ht="15" thickBot="1">
      <c r="A268" s="170"/>
      <c r="B268" s="171"/>
      <c r="C268" s="172"/>
      <c r="D268" s="173"/>
      <c r="E268" s="174"/>
      <c r="F268" s="175"/>
      <c r="G268" s="176"/>
      <c r="H268" s="177"/>
      <c r="I268" s="178"/>
      <c r="J268" s="179" t="str">
        <f t="shared" si="12"/>
        <v/>
      </c>
      <c r="K268" s="180"/>
      <c r="L268" s="181">
        <f t="shared" si="13"/>
        <v>0</v>
      </c>
      <c r="M268" s="229" t="str">
        <f t="shared" si="11"/>
        <v/>
      </c>
      <c r="N268" s="232"/>
    </row>
    <row r="269" spans="1:14" ht="15" thickBot="1">
      <c r="A269" s="170"/>
      <c r="B269" s="171"/>
      <c r="C269" s="172"/>
      <c r="D269" s="173"/>
      <c r="E269" s="174"/>
      <c r="F269" s="175"/>
      <c r="G269" s="176"/>
      <c r="H269" s="177"/>
      <c r="I269" s="178"/>
      <c r="J269" s="179" t="str">
        <f t="shared" si="12"/>
        <v/>
      </c>
      <c r="K269" s="180"/>
      <c r="L269" s="181">
        <f t="shared" si="13"/>
        <v>0</v>
      </c>
      <c r="M269" s="229" t="str">
        <f t="shared" si="11"/>
        <v/>
      </c>
      <c r="N269" s="232"/>
    </row>
    <row r="270" spans="1:14" ht="15" thickBot="1">
      <c r="A270" s="170"/>
      <c r="B270" s="171"/>
      <c r="C270" s="172"/>
      <c r="D270" s="173"/>
      <c r="E270" s="174"/>
      <c r="F270" s="175"/>
      <c r="G270" s="176"/>
      <c r="H270" s="177"/>
      <c r="I270" s="178"/>
      <c r="J270" s="179" t="str">
        <f t="shared" si="12"/>
        <v/>
      </c>
      <c r="K270" s="180"/>
      <c r="L270" s="181">
        <f t="shared" si="13"/>
        <v>0</v>
      </c>
      <c r="M270" s="229" t="str">
        <f t="shared" ref="M270:M333" si="14">IF(J270 &lt;&gt; "", J270 * L270, "")</f>
        <v/>
      </c>
      <c r="N270" s="232"/>
    </row>
    <row r="271" spans="1:14" ht="15" thickBot="1">
      <c r="A271" s="170"/>
      <c r="B271" s="171"/>
      <c r="C271" s="172"/>
      <c r="D271" s="173"/>
      <c r="E271" s="174"/>
      <c r="F271" s="175"/>
      <c r="G271" s="176"/>
      <c r="H271" s="177"/>
      <c r="I271" s="178"/>
      <c r="J271" s="179" t="str">
        <f t="shared" ref="J271:J1014" si="15">IF(H271 &gt; 0, I271 / H271, "")</f>
        <v/>
      </c>
      <c r="K271" s="180"/>
      <c r="L271" s="181">
        <f t="shared" ref="L271:L1014" si="16">MAX(0, H271 - K271)</f>
        <v>0</v>
      </c>
      <c r="M271" s="229" t="str">
        <f t="shared" si="14"/>
        <v/>
      </c>
      <c r="N271" s="232"/>
    </row>
    <row r="272" spans="1:14" ht="15" thickBot="1">
      <c r="A272" s="170"/>
      <c r="B272" s="171"/>
      <c r="C272" s="172"/>
      <c r="D272" s="173"/>
      <c r="E272" s="174"/>
      <c r="F272" s="175"/>
      <c r="G272" s="176"/>
      <c r="H272" s="177"/>
      <c r="I272" s="178"/>
      <c r="J272" s="179" t="str">
        <f t="shared" si="15"/>
        <v/>
      </c>
      <c r="K272" s="180"/>
      <c r="L272" s="181">
        <f t="shared" si="16"/>
        <v>0</v>
      </c>
      <c r="M272" s="229" t="str">
        <f t="shared" si="14"/>
        <v/>
      </c>
      <c r="N272" s="232"/>
    </row>
    <row r="273" spans="1:14" ht="15" thickBot="1">
      <c r="A273" s="170"/>
      <c r="B273" s="171"/>
      <c r="C273" s="172"/>
      <c r="D273" s="173"/>
      <c r="E273" s="174"/>
      <c r="F273" s="175"/>
      <c r="G273" s="176"/>
      <c r="H273" s="177"/>
      <c r="I273" s="178"/>
      <c r="J273" s="179" t="str">
        <f t="shared" si="15"/>
        <v/>
      </c>
      <c r="K273" s="180"/>
      <c r="L273" s="181">
        <f t="shared" si="16"/>
        <v>0</v>
      </c>
      <c r="M273" s="229" t="str">
        <f t="shared" si="14"/>
        <v/>
      </c>
      <c r="N273" s="232"/>
    </row>
    <row r="274" spans="1:14" ht="15" thickBot="1">
      <c r="A274" s="170"/>
      <c r="B274" s="171"/>
      <c r="C274" s="172"/>
      <c r="D274" s="173"/>
      <c r="E274" s="174"/>
      <c r="F274" s="175"/>
      <c r="G274" s="176"/>
      <c r="H274" s="177"/>
      <c r="I274" s="178"/>
      <c r="J274" s="179" t="str">
        <f t="shared" si="15"/>
        <v/>
      </c>
      <c r="K274" s="180"/>
      <c r="L274" s="181">
        <f t="shared" si="16"/>
        <v>0</v>
      </c>
      <c r="M274" s="229" t="str">
        <f t="shared" si="14"/>
        <v/>
      </c>
      <c r="N274" s="232"/>
    </row>
    <row r="275" spans="1:14" ht="15" thickBot="1">
      <c r="A275" s="170"/>
      <c r="B275" s="171"/>
      <c r="C275" s="172"/>
      <c r="D275" s="173"/>
      <c r="E275" s="174"/>
      <c r="F275" s="175"/>
      <c r="G275" s="176"/>
      <c r="H275" s="177"/>
      <c r="I275" s="178"/>
      <c r="J275" s="179" t="str">
        <f t="shared" si="15"/>
        <v/>
      </c>
      <c r="K275" s="180"/>
      <c r="L275" s="181">
        <f t="shared" si="16"/>
        <v>0</v>
      </c>
      <c r="M275" s="229" t="str">
        <f t="shared" si="14"/>
        <v/>
      </c>
      <c r="N275" s="232"/>
    </row>
    <row r="276" spans="1:14" ht="15" thickBot="1">
      <c r="A276" s="170"/>
      <c r="B276" s="171"/>
      <c r="C276" s="172"/>
      <c r="D276" s="173"/>
      <c r="E276" s="174"/>
      <c r="F276" s="175"/>
      <c r="G276" s="176"/>
      <c r="H276" s="177"/>
      <c r="I276" s="178"/>
      <c r="J276" s="179" t="str">
        <f t="shared" si="15"/>
        <v/>
      </c>
      <c r="K276" s="180"/>
      <c r="L276" s="181">
        <f t="shared" si="16"/>
        <v>0</v>
      </c>
      <c r="M276" s="229" t="str">
        <f t="shared" si="14"/>
        <v/>
      </c>
      <c r="N276" s="232"/>
    </row>
    <row r="277" spans="1:14" ht="15" thickBot="1">
      <c r="A277" s="170"/>
      <c r="B277" s="171"/>
      <c r="C277" s="172"/>
      <c r="D277" s="173"/>
      <c r="E277" s="174"/>
      <c r="F277" s="175"/>
      <c r="G277" s="176"/>
      <c r="H277" s="177"/>
      <c r="I277" s="178"/>
      <c r="J277" s="179" t="str">
        <f t="shared" si="15"/>
        <v/>
      </c>
      <c r="K277" s="180"/>
      <c r="L277" s="181">
        <f t="shared" si="16"/>
        <v>0</v>
      </c>
      <c r="M277" s="229" t="str">
        <f t="shared" si="14"/>
        <v/>
      </c>
      <c r="N277" s="232"/>
    </row>
    <row r="278" spans="1:14" ht="15" thickBot="1">
      <c r="A278" s="170"/>
      <c r="B278" s="171"/>
      <c r="C278" s="172"/>
      <c r="D278" s="173"/>
      <c r="E278" s="174"/>
      <c r="F278" s="175"/>
      <c r="G278" s="176"/>
      <c r="H278" s="177"/>
      <c r="I278" s="178"/>
      <c r="J278" s="179" t="str">
        <f t="shared" si="15"/>
        <v/>
      </c>
      <c r="K278" s="180"/>
      <c r="L278" s="181">
        <f t="shared" si="16"/>
        <v>0</v>
      </c>
      <c r="M278" s="229" t="str">
        <f t="shared" si="14"/>
        <v/>
      </c>
      <c r="N278" s="232"/>
    </row>
    <row r="279" spans="1:14" ht="15" thickBot="1">
      <c r="A279" s="170"/>
      <c r="B279" s="171"/>
      <c r="C279" s="172"/>
      <c r="D279" s="173"/>
      <c r="E279" s="174"/>
      <c r="F279" s="175"/>
      <c r="G279" s="176"/>
      <c r="H279" s="177"/>
      <c r="I279" s="178"/>
      <c r="J279" s="179" t="str">
        <f t="shared" si="15"/>
        <v/>
      </c>
      <c r="K279" s="180"/>
      <c r="L279" s="181">
        <f t="shared" si="16"/>
        <v>0</v>
      </c>
      <c r="M279" s="229" t="str">
        <f t="shared" si="14"/>
        <v/>
      </c>
      <c r="N279" s="232"/>
    </row>
    <row r="280" spans="1:14" ht="15" thickBot="1">
      <c r="A280" s="170"/>
      <c r="B280" s="171"/>
      <c r="C280" s="172"/>
      <c r="D280" s="173"/>
      <c r="E280" s="174"/>
      <c r="F280" s="175"/>
      <c r="G280" s="176"/>
      <c r="H280" s="177"/>
      <c r="I280" s="178"/>
      <c r="J280" s="179" t="str">
        <f t="shared" si="15"/>
        <v/>
      </c>
      <c r="K280" s="180"/>
      <c r="L280" s="181">
        <f t="shared" si="16"/>
        <v>0</v>
      </c>
      <c r="M280" s="229" t="str">
        <f t="shared" si="14"/>
        <v/>
      </c>
      <c r="N280" s="232"/>
    </row>
    <row r="281" spans="1:14" ht="15" thickBot="1">
      <c r="A281" s="170"/>
      <c r="B281" s="171"/>
      <c r="C281" s="172"/>
      <c r="D281" s="173"/>
      <c r="E281" s="174"/>
      <c r="F281" s="175"/>
      <c r="G281" s="176"/>
      <c r="H281" s="177"/>
      <c r="I281" s="178"/>
      <c r="J281" s="179" t="str">
        <f t="shared" si="15"/>
        <v/>
      </c>
      <c r="K281" s="180"/>
      <c r="L281" s="181">
        <f t="shared" si="16"/>
        <v>0</v>
      </c>
      <c r="M281" s="229" t="str">
        <f t="shared" si="14"/>
        <v/>
      </c>
      <c r="N281" s="232"/>
    </row>
    <row r="282" spans="1:14" ht="15" thickBot="1">
      <c r="A282" s="170"/>
      <c r="B282" s="171"/>
      <c r="C282" s="172"/>
      <c r="D282" s="173"/>
      <c r="E282" s="174"/>
      <c r="F282" s="175"/>
      <c r="G282" s="176"/>
      <c r="H282" s="177"/>
      <c r="I282" s="178"/>
      <c r="J282" s="179" t="str">
        <f t="shared" si="15"/>
        <v/>
      </c>
      <c r="K282" s="180"/>
      <c r="L282" s="181">
        <f t="shared" si="16"/>
        <v>0</v>
      </c>
      <c r="M282" s="229" t="str">
        <f t="shared" si="14"/>
        <v/>
      </c>
      <c r="N282" s="232"/>
    </row>
    <row r="283" spans="1:14" ht="15" thickBot="1">
      <c r="A283" s="170"/>
      <c r="B283" s="171"/>
      <c r="C283" s="172"/>
      <c r="D283" s="173"/>
      <c r="E283" s="174"/>
      <c r="F283" s="175"/>
      <c r="G283" s="176"/>
      <c r="H283" s="177"/>
      <c r="I283" s="178"/>
      <c r="J283" s="179" t="str">
        <f t="shared" si="15"/>
        <v/>
      </c>
      <c r="K283" s="180"/>
      <c r="L283" s="181">
        <f t="shared" si="16"/>
        <v>0</v>
      </c>
      <c r="M283" s="229" t="str">
        <f t="shared" si="14"/>
        <v/>
      </c>
      <c r="N283" s="232"/>
    </row>
    <row r="284" spans="1:14" ht="15" thickBot="1">
      <c r="A284" s="170"/>
      <c r="B284" s="171"/>
      <c r="C284" s="172"/>
      <c r="D284" s="173"/>
      <c r="E284" s="174"/>
      <c r="F284" s="175"/>
      <c r="G284" s="176"/>
      <c r="H284" s="177"/>
      <c r="I284" s="178"/>
      <c r="J284" s="179" t="str">
        <f t="shared" si="15"/>
        <v/>
      </c>
      <c r="K284" s="180"/>
      <c r="L284" s="181">
        <f t="shared" si="16"/>
        <v>0</v>
      </c>
      <c r="M284" s="229" t="str">
        <f t="shared" si="14"/>
        <v/>
      </c>
      <c r="N284" s="232"/>
    </row>
    <row r="285" spans="1:14" ht="15" thickBot="1">
      <c r="A285" s="170"/>
      <c r="B285" s="171"/>
      <c r="C285" s="172"/>
      <c r="D285" s="173"/>
      <c r="E285" s="174"/>
      <c r="F285" s="175"/>
      <c r="G285" s="176"/>
      <c r="H285" s="177"/>
      <c r="I285" s="178"/>
      <c r="J285" s="179" t="str">
        <f t="shared" si="15"/>
        <v/>
      </c>
      <c r="K285" s="180"/>
      <c r="L285" s="181">
        <f t="shared" si="16"/>
        <v>0</v>
      </c>
      <c r="M285" s="229" t="str">
        <f t="shared" si="14"/>
        <v/>
      </c>
      <c r="N285" s="232"/>
    </row>
    <row r="286" spans="1:14" ht="15" thickBot="1">
      <c r="A286" s="170"/>
      <c r="B286" s="171"/>
      <c r="C286" s="172"/>
      <c r="D286" s="173"/>
      <c r="E286" s="174"/>
      <c r="F286" s="175"/>
      <c r="G286" s="176"/>
      <c r="H286" s="177"/>
      <c r="I286" s="178"/>
      <c r="J286" s="179" t="str">
        <f t="shared" si="15"/>
        <v/>
      </c>
      <c r="K286" s="180"/>
      <c r="L286" s="181">
        <f t="shared" si="16"/>
        <v>0</v>
      </c>
      <c r="M286" s="229" t="str">
        <f t="shared" si="14"/>
        <v/>
      </c>
      <c r="N286" s="232"/>
    </row>
    <row r="287" spans="1:14" ht="15" thickBot="1">
      <c r="A287" s="170"/>
      <c r="B287" s="171"/>
      <c r="C287" s="172"/>
      <c r="D287" s="173"/>
      <c r="E287" s="174"/>
      <c r="F287" s="175"/>
      <c r="G287" s="176"/>
      <c r="H287" s="177"/>
      <c r="I287" s="178"/>
      <c r="J287" s="179" t="str">
        <f t="shared" si="15"/>
        <v/>
      </c>
      <c r="K287" s="180"/>
      <c r="L287" s="181">
        <f t="shared" si="16"/>
        <v>0</v>
      </c>
      <c r="M287" s="229" t="str">
        <f t="shared" si="14"/>
        <v/>
      </c>
      <c r="N287" s="232"/>
    </row>
    <row r="288" spans="1:14" ht="15" thickBot="1">
      <c r="A288" s="170"/>
      <c r="B288" s="171"/>
      <c r="C288" s="172"/>
      <c r="D288" s="173"/>
      <c r="E288" s="174"/>
      <c r="F288" s="175"/>
      <c r="G288" s="176"/>
      <c r="H288" s="177"/>
      <c r="I288" s="178"/>
      <c r="J288" s="179" t="str">
        <f t="shared" si="15"/>
        <v/>
      </c>
      <c r="K288" s="180"/>
      <c r="L288" s="181">
        <f t="shared" si="16"/>
        <v>0</v>
      </c>
      <c r="M288" s="229" t="str">
        <f t="shared" si="14"/>
        <v/>
      </c>
      <c r="N288" s="232"/>
    </row>
    <row r="289" spans="1:14" ht="15" thickBot="1">
      <c r="A289" s="170"/>
      <c r="B289" s="171"/>
      <c r="C289" s="172"/>
      <c r="D289" s="173"/>
      <c r="E289" s="174"/>
      <c r="F289" s="175"/>
      <c r="G289" s="176"/>
      <c r="H289" s="177"/>
      <c r="I289" s="178"/>
      <c r="J289" s="179" t="str">
        <f t="shared" si="15"/>
        <v/>
      </c>
      <c r="K289" s="180"/>
      <c r="L289" s="181">
        <f t="shared" si="16"/>
        <v>0</v>
      </c>
      <c r="M289" s="229" t="str">
        <f t="shared" si="14"/>
        <v/>
      </c>
      <c r="N289" s="232"/>
    </row>
    <row r="290" spans="1:14" ht="15" thickBot="1">
      <c r="A290" s="170"/>
      <c r="B290" s="171"/>
      <c r="C290" s="172"/>
      <c r="D290" s="173"/>
      <c r="E290" s="174"/>
      <c r="F290" s="175"/>
      <c r="G290" s="176"/>
      <c r="H290" s="177"/>
      <c r="I290" s="178"/>
      <c r="J290" s="179" t="str">
        <f t="shared" si="15"/>
        <v/>
      </c>
      <c r="K290" s="180"/>
      <c r="L290" s="181">
        <f t="shared" si="16"/>
        <v>0</v>
      </c>
      <c r="M290" s="229" t="str">
        <f t="shared" si="14"/>
        <v/>
      </c>
      <c r="N290" s="232"/>
    </row>
    <row r="291" spans="1:14" ht="15" thickBot="1">
      <c r="A291" s="170"/>
      <c r="B291" s="171"/>
      <c r="C291" s="172"/>
      <c r="D291" s="173"/>
      <c r="E291" s="174"/>
      <c r="F291" s="175"/>
      <c r="G291" s="176"/>
      <c r="H291" s="177"/>
      <c r="I291" s="178"/>
      <c r="J291" s="179" t="str">
        <f t="shared" si="15"/>
        <v/>
      </c>
      <c r="K291" s="180"/>
      <c r="L291" s="181">
        <f t="shared" si="16"/>
        <v>0</v>
      </c>
      <c r="M291" s="229" t="str">
        <f t="shared" si="14"/>
        <v/>
      </c>
      <c r="N291" s="232"/>
    </row>
    <row r="292" spans="1:14" ht="15" thickBot="1">
      <c r="A292" s="170"/>
      <c r="B292" s="171"/>
      <c r="C292" s="172"/>
      <c r="D292" s="173"/>
      <c r="E292" s="174"/>
      <c r="F292" s="175"/>
      <c r="G292" s="176"/>
      <c r="H292" s="177"/>
      <c r="I292" s="178"/>
      <c r="J292" s="179" t="str">
        <f t="shared" si="15"/>
        <v/>
      </c>
      <c r="K292" s="180"/>
      <c r="L292" s="181">
        <f t="shared" si="16"/>
        <v>0</v>
      </c>
      <c r="M292" s="229" t="str">
        <f t="shared" si="14"/>
        <v/>
      </c>
      <c r="N292" s="232"/>
    </row>
    <row r="293" spans="1:14" ht="15" thickBot="1">
      <c r="A293" s="170"/>
      <c r="B293" s="171"/>
      <c r="C293" s="172"/>
      <c r="D293" s="173"/>
      <c r="E293" s="174"/>
      <c r="F293" s="175"/>
      <c r="G293" s="176"/>
      <c r="H293" s="177"/>
      <c r="I293" s="178"/>
      <c r="J293" s="179" t="str">
        <f t="shared" si="15"/>
        <v/>
      </c>
      <c r="K293" s="180"/>
      <c r="L293" s="181">
        <f t="shared" si="16"/>
        <v>0</v>
      </c>
      <c r="M293" s="229" t="str">
        <f t="shared" si="14"/>
        <v/>
      </c>
      <c r="N293" s="232"/>
    </row>
    <row r="294" spans="1:14" ht="15" thickBot="1">
      <c r="A294" s="170"/>
      <c r="B294" s="171"/>
      <c r="C294" s="172"/>
      <c r="D294" s="173"/>
      <c r="E294" s="174"/>
      <c r="F294" s="175"/>
      <c r="G294" s="176"/>
      <c r="H294" s="177"/>
      <c r="I294" s="178"/>
      <c r="J294" s="179" t="str">
        <f t="shared" si="15"/>
        <v/>
      </c>
      <c r="K294" s="180"/>
      <c r="L294" s="181">
        <f t="shared" si="16"/>
        <v>0</v>
      </c>
      <c r="M294" s="229" t="str">
        <f t="shared" si="14"/>
        <v/>
      </c>
      <c r="N294" s="232"/>
    </row>
    <row r="295" spans="1:14" ht="15" thickBot="1">
      <c r="A295" s="170"/>
      <c r="B295" s="171"/>
      <c r="C295" s="172"/>
      <c r="D295" s="173"/>
      <c r="E295" s="174"/>
      <c r="F295" s="175"/>
      <c r="G295" s="176"/>
      <c r="H295" s="177"/>
      <c r="I295" s="178"/>
      <c r="J295" s="179" t="str">
        <f t="shared" si="15"/>
        <v/>
      </c>
      <c r="K295" s="180"/>
      <c r="L295" s="181">
        <f t="shared" si="16"/>
        <v>0</v>
      </c>
      <c r="M295" s="229" t="str">
        <f t="shared" si="14"/>
        <v/>
      </c>
      <c r="N295" s="232"/>
    </row>
    <row r="296" spans="1:14" ht="15" thickBot="1">
      <c r="A296" s="170"/>
      <c r="B296" s="171"/>
      <c r="C296" s="172"/>
      <c r="D296" s="173"/>
      <c r="E296" s="174"/>
      <c r="F296" s="175"/>
      <c r="G296" s="176"/>
      <c r="H296" s="177"/>
      <c r="I296" s="178"/>
      <c r="J296" s="179" t="str">
        <f t="shared" si="15"/>
        <v/>
      </c>
      <c r="K296" s="180"/>
      <c r="L296" s="181">
        <f t="shared" si="16"/>
        <v>0</v>
      </c>
      <c r="M296" s="229" t="str">
        <f t="shared" si="14"/>
        <v/>
      </c>
      <c r="N296" s="232"/>
    </row>
    <row r="297" spans="1:14" ht="15" thickBot="1">
      <c r="A297" s="170"/>
      <c r="B297" s="171"/>
      <c r="C297" s="172"/>
      <c r="D297" s="173"/>
      <c r="E297" s="174"/>
      <c r="F297" s="175"/>
      <c r="G297" s="176"/>
      <c r="H297" s="177"/>
      <c r="I297" s="178"/>
      <c r="J297" s="179" t="str">
        <f t="shared" si="15"/>
        <v/>
      </c>
      <c r="K297" s="180"/>
      <c r="L297" s="181">
        <f t="shared" si="16"/>
        <v>0</v>
      </c>
      <c r="M297" s="229" t="str">
        <f t="shared" si="14"/>
        <v/>
      </c>
      <c r="N297" s="232"/>
    </row>
    <row r="298" spans="1:14" ht="15" thickBot="1">
      <c r="A298" s="170"/>
      <c r="B298" s="171"/>
      <c r="C298" s="172"/>
      <c r="D298" s="173"/>
      <c r="E298" s="174"/>
      <c r="F298" s="175"/>
      <c r="G298" s="176"/>
      <c r="H298" s="177"/>
      <c r="I298" s="178"/>
      <c r="J298" s="179" t="str">
        <f t="shared" si="15"/>
        <v/>
      </c>
      <c r="K298" s="180"/>
      <c r="L298" s="181">
        <f t="shared" si="16"/>
        <v>0</v>
      </c>
      <c r="M298" s="229" t="str">
        <f t="shared" si="14"/>
        <v/>
      </c>
      <c r="N298" s="232"/>
    </row>
    <row r="299" spans="1:14" ht="15" thickBot="1">
      <c r="A299" s="170"/>
      <c r="B299" s="171"/>
      <c r="C299" s="172"/>
      <c r="D299" s="173"/>
      <c r="E299" s="174"/>
      <c r="F299" s="175"/>
      <c r="G299" s="176"/>
      <c r="H299" s="177"/>
      <c r="I299" s="178"/>
      <c r="J299" s="179" t="str">
        <f t="shared" si="15"/>
        <v/>
      </c>
      <c r="K299" s="180"/>
      <c r="L299" s="181">
        <f t="shared" si="16"/>
        <v>0</v>
      </c>
      <c r="M299" s="229" t="str">
        <f t="shared" si="14"/>
        <v/>
      </c>
      <c r="N299" s="232"/>
    </row>
    <row r="300" spans="1:14" ht="15" thickBot="1">
      <c r="A300" s="170"/>
      <c r="B300" s="171"/>
      <c r="C300" s="172"/>
      <c r="D300" s="173"/>
      <c r="E300" s="174"/>
      <c r="F300" s="175"/>
      <c r="G300" s="176"/>
      <c r="H300" s="177"/>
      <c r="I300" s="178"/>
      <c r="J300" s="179" t="str">
        <f t="shared" si="15"/>
        <v/>
      </c>
      <c r="K300" s="180"/>
      <c r="L300" s="181">
        <f t="shared" si="16"/>
        <v>0</v>
      </c>
      <c r="M300" s="229" t="str">
        <f t="shared" si="14"/>
        <v/>
      </c>
      <c r="N300" s="232"/>
    </row>
    <row r="301" spans="1:14" ht="15" thickBot="1">
      <c r="A301" s="170"/>
      <c r="B301" s="171"/>
      <c r="C301" s="172"/>
      <c r="D301" s="173"/>
      <c r="E301" s="174"/>
      <c r="F301" s="175"/>
      <c r="G301" s="176"/>
      <c r="H301" s="177"/>
      <c r="I301" s="178"/>
      <c r="J301" s="179" t="str">
        <f t="shared" si="15"/>
        <v/>
      </c>
      <c r="K301" s="180"/>
      <c r="L301" s="181">
        <f t="shared" si="16"/>
        <v>0</v>
      </c>
      <c r="M301" s="229" t="str">
        <f t="shared" si="14"/>
        <v/>
      </c>
      <c r="N301" s="232"/>
    </row>
    <row r="302" spans="1:14" ht="15" thickBot="1">
      <c r="A302" s="170"/>
      <c r="B302" s="171"/>
      <c r="C302" s="172"/>
      <c r="D302" s="173"/>
      <c r="E302" s="174"/>
      <c r="F302" s="175"/>
      <c r="G302" s="176"/>
      <c r="H302" s="177"/>
      <c r="I302" s="178"/>
      <c r="J302" s="179" t="str">
        <f t="shared" si="15"/>
        <v/>
      </c>
      <c r="K302" s="180"/>
      <c r="L302" s="181">
        <f t="shared" si="16"/>
        <v>0</v>
      </c>
      <c r="M302" s="229" t="str">
        <f t="shared" si="14"/>
        <v/>
      </c>
      <c r="N302" s="232"/>
    </row>
    <row r="303" spans="1:14" ht="15" thickBot="1">
      <c r="A303" s="170"/>
      <c r="B303" s="171"/>
      <c r="C303" s="172"/>
      <c r="D303" s="173"/>
      <c r="E303" s="174"/>
      <c r="F303" s="175"/>
      <c r="G303" s="176"/>
      <c r="H303" s="177"/>
      <c r="I303" s="178"/>
      <c r="J303" s="179" t="str">
        <f t="shared" si="15"/>
        <v/>
      </c>
      <c r="K303" s="180"/>
      <c r="L303" s="181">
        <f t="shared" si="16"/>
        <v>0</v>
      </c>
      <c r="M303" s="229" t="str">
        <f t="shared" si="14"/>
        <v/>
      </c>
      <c r="N303" s="232"/>
    </row>
    <row r="304" spans="1:14" ht="15" thickBot="1">
      <c r="A304" s="170"/>
      <c r="B304" s="171"/>
      <c r="C304" s="172"/>
      <c r="D304" s="173"/>
      <c r="E304" s="174"/>
      <c r="F304" s="175"/>
      <c r="G304" s="176"/>
      <c r="H304" s="177"/>
      <c r="I304" s="178"/>
      <c r="J304" s="179" t="str">
        <f t="shared" si="15"/>
        <v/>
      </c>
      <c r="K304" s="180"/>
      <c r="L304" s="181">
        <f t="shared" si="16"/>
        <v>0</v>
      </c>
      <c r="M304" s="229" t="str">
        <f t="shared" si="14"/>
        <v/>
      </c>
      <c r="N304" s="232"/>
    </row>
    <row r="305" spans="1:14" ht="15" thickBot="1">
      <c r="A305" s="170"/>
      <c r="B305" s="171"/>
      <c r="C305" s="172"/>
      <c r="D305" s="173"/>
      <c r="E305" s="174"/>
      <c r="F305" s="175"/>
      <c r="G305" s="176"/>
      <c r="H305" s="177"/>
      <c r="I305" s="178"/>
      <c r="J305" s="179" t="str">
        <f t="shared" si="15"/>
        <v/>
      </c>
      <c r="K305" s="180"/>
      <c r="L305" s="181">
        <f t="shared" si="16"/>
        <v>0</v>
      </c>
      <c r="M305" s="229" t="str">
        <f t="shared" si="14"/>
        <v/>
      </c>
      <c r="N305" s="232"/>
    </row>
    <row r="306" spans="1:14" ht="15" thickBot="1">
      <c r="A306" s="170"/>
      <c r="B306" s="171"/>
      <c r="C306" s="172"/>
      <c r="D306" s="173"/>
      <c r="E306" s="174"/>
      <c r="F306" s="175"/>
      <c r="G306" s="176"/>
      <c r="H306" s="177"/>
      <c r="I306" s="178"/>
      <c r="J306" s="179" t="str">
        <f t="shared" si="15"/>
        <v/>
      </c>
      <c r="K306" s="180"/>
      <c r="L306" s="181">
        <f t="shared" si="16"/>
        <v>0</v>
      </c>
      <c r="M306" s="229" t="str">
        <f t="shared" si="14"/>
        <v/>
      </c>
      <c r="N306" s="232"/>
    </row>
    <row r="307" spans="1:14" ht="15" thickBot="1">
      <c r="A307" s="170"/>
      <c r="B307" s="171"/>
      <c r="C307" s="172"/>
      <c r="D307" s="173"/>
      <c r="E307" s="174"/>
      <c r="F307" s="175"/>
      <c r="G307" s="176"/>
      <c r="H307" s="177"/>
      <c r="I307" s="178"/>
      <c r="J307" s="179" t="str">
        <f t="shared" si="15"/>
        <v/>
      </c>
      <c r="K307" s="180"/>
      <c r="L307" s="181">
        <f t="shared" si="16"/>
        <v>0</v>
      </c>
      <c r="M307" s="229" t="str">
        <f t="shared" si="14"/>
        <v/>
      </c>
      <c r="N307" s="232"/>
    </row>
    <row r="308" spans="1:14" ht="15" thickBot="1">
      <c r="A308" s="170"/>
      <c r="B308" s="171"/>
      <c r="C308" s="172"/>
      <c r="D308" s="173"/>
      <c r="E308" s="174"/>
      <c r="F308" s="175"/>
      <c r="G308" s="176"/>
      <c r="H308" s="177"/>
      <c r="I308" s="178"/>
      <c r="J308" s="179" t="str">
        <f t="shared" si="15"/>
        <v/>
      </c>
      <c r="K308" s="180"/>
      <c r="L308" s="181">
        <f t="shared" si="16"/>
        <v>0</v>
      </c>
      <c r="M308" s="229" t="str">
        <f t="shared" si="14"/>
        <v/>
      </c>
      <c r="N308" s="232"/>
    </row>
    <row r="309" spans="1:14" ht="15" thickBot="1">
      <c r="A309" s="170"/>
      <c r="B309" s="171"/>
      <c r="C309" s="172"/>
      <c r="D309" s="173"/>
      <c r="E309" s="174"/>
      <c r="F309" s="175"/>
      <c r="G309" s="176"/>
      <c r="H309" s="177"/>
      <c r="I309" s="178"/>
      <c r="J309" s="179" t="str">
        <f t="shared" si="15"/>
        <v/>
      </c>
      <c r="K309" s="180"/>
      <c r="L309" s="181">
        <f t="shared" si="16"/>
        <v>0</v>
      </c>
      <c r="M309" s="229" t="str">
        <f t="shared" si="14"/>
        <v/>
      </c>
      <c r="N309" s="232"/>
    </row>
    <row r="310" spans="1:14" ht="15" thickBot="1">
      <c r="A310" s="170"/>
      <c r="B310" s="171"/>
      <c r="C310" s="172"/>
      <c r="D310" s="173"/>
      <c r="E310" s="174"/>
      <c r="F310" s="175"/>
      <c r="G310" s="176"/>
      <c r="H310" s="177"/>
      <c r="I310" s="178"/>
      <c r="J310" s="179" t="str">
        <f t="shared" si="15"/>
        <v/>
      </c>
      <c r="K310" s="180"/>
      <c r="L310" s="181">
        <f t="shared" si="16"/>
        <v>0</v>
      </c>
      <c r="M310" s="229" t="str">
        <f t="shared" si="14"/>
        <v/>
      </c>
      <c r="N310" s="232"/>
    </row>
    <row r="311" spans="1:14" ht="15" thickBot="1">
      <c r="A311" s="170"/>
      <c r="B311" s="171"/>
      <c r="C311" s="172"/>
      <c r="D311" s="173"/>
      <c r="E311" s="174"/>
      <c r="F311" s="175"/>
      <c r="G311" s="176"/>
      <c r="H311" s="177"/>
      <c r="I311" s="178"/>
      <c r="J311" s="179" t="str">
        <f t="shared" si="15"/>
        <v/>
      </c>
      <c r="K311" s="180"/>
      <c r="L311" s="181">
        <f t="shared" si="16"/>
        <v>0</v>
      </c>
      <c r="M311" s="229" t="str">
        <f t="shared" si="14"/>
        <v/>
      </c>
      <c r="N311" s="232"/>
    </row>
    <row r="312" spans="1:14" ht="15" thickBot="1">
      <c r="A312" s="170"/>
      <c r="B312" s="171"/>
      <c r="C312" s="172"/>
      <c r="D312" s="173"/>
      <c r="E312" s="174"/>
      <c r="F312" s="175"/>
      <c r="G312" s="176"/>
      <c r="H312" s="177"/>
      <c r="I312" s="178"/>
      <c r="J312" s="179" t="str">
        <f t="shared" si="15"/>
        <v/>
      </c>
      <c r="K312" s="180"/>
      <c r="L312" s="181">
        <f t="shared" si="16"/>
        <v>0</v>
      </c>
      <c r="M312" s="229" t="str">
        <f t="shared" si="14"/>
        <v/>
      </c>
      <c r="N312" s="232"/>
    </row>
    <row r="313" spans="1:14" ht="15" thickBot="1">
      <c r="A313" s="170"/>
      <c r="B313" s="171"/>
      <c r="C313" s="172"/>
      <c r="D313" s="173"/>
      <c r="E313" s="174"/>
      <c r="F313" s="175"/>
      <c r="G313" s="176"/>
      <c r="H313" s="177"/>
      <c r="I313" s="178"/>
      <c r="J313" s="179" t="str">
        <f t="shared" ref="J313:J376" si="17">IF(H313 &gt; 0, I313 / H313, "")</f>
        <v/>
      </c>
      <c r="K313" s="180"/>
      <c r="L313" s="181">
        <f t="shared" ref="L313:L376" si="18">MAX(0, H313 - K313)</f>
        <v>0</v>
      </c>
      <c r="M313" s="229" t="str">
        <f t="shared" si="14"/>
        <v/>
      </c>
      <c r="N313" s="232"/>
    </row>
    <row r="314" spans="1:14" ht="15" thickBot="1">
      <c r="A314" s="170"/>
      <c r="B314" s="171"/>
      <c r="C314" s="172"/>
      <c r="D314" s="173"/>
      <c r="E314" s="174"/>
      <c r="F314" s="175"/>
      <c r="G314" s="176"/>
      <c r="H314" s="177"/>
      <c r="I314" s="178"/>
      <c r="J314" s="179" t="str">
        <f t="shared" si="17"/>
        <v/>
      </c>
      <c r="K314" s="180"/>
      <c r="L314" s="181">
        <f t="shared" si="18"/>
        <v>0</v>
      </c>
      <c r="M314" s="229" t="str">
        <f t="shared" si="14"/>
        <v/>
      </c>
      <c r="N314" s="232"/>
    </row>
    <row r="315" spans="1:14" ht="15" thickBot="1">
      <c r="A315" s="170"/>
      <c r="B315" s="171"/>
      <c r="C315" s="172"/>
      <c r="D315" s="173"/>
      <c r="E315" s="174"/>
      <c r="F315" s="175"/>
      <c r="G315" s="176"/>
      <c r="H315" s="177"/>
      <c r="I315" s="178"/>
      <c r="J315" s="179" t="str">
        <f t="shared" si="17"/>
        <v/>
      </c>
      <c r="K315" s="180"/>
      <c r="L315" s="181">
        <f t="shared" si="18"/>
        <v>0</v>
      </c>
      <c r="M315" s="229" t="str">
        <f t="shared" si="14"/>
        <v/>
      </c>
      <c r="N315" s="232"/>
    </row>
    <row r="316" spans="1:14" ht="15" thickBot="1">
      <c r="A316" s="170"/>
      <c r="B316" s="171"/>
      <c r="C316" s="172"/>
      <c r="D316" s="173"/>
      <c r="E316" s="174"/>
      <c r="F316" s="175"/>
      <c r="G316" s="176"/>
      <c r="H316" s="177"/>
      <c r="I316" s="178"/>
      <c r="J316" s="179" t="str">
        <f t="shared" si="17"/>
        <v/>
      </c>
      <c r="K316" s="180"/>
      <c r="L316" s="181">
        <f t="shared" si="18"/>
        <v>0</v>
      </c>
      <c r="M316" s="229" t="str">
        <f t="shared" si="14"/>
        <v/>
      </c>
      <c r="N316" s="232"/>
    </row>
    <row r="317" spans="1:14" ht="15" thickBot="1">
      <c r="A317" s="170"/>
      <c r="B317" s="171"/>
      <c r="C317" s="172"/>
      <c r="D317" s="173"/>
      <c r="E317" s="174"/>
      <c r="F317" s="175"/>
      <c r="G317" s="176"/>
      <c r="H317" s="177"/>
      <c r="I317" s="178"/>
      <c r="J317" s="179" t="str">
        <f t="shared" si="17"/>
        <v/>
      </c>
      <c r="K317" s="180"/>
      <c r="L317" s="181">
        <f t="shared" si="18"/>
        <v>0</v>
      </c>
      <c r="M317" s="229" t="str">
        <f t="shared" si="14"/>
        <v/>
      </c>
      <c r="N317" s="232"/>
    </row>
    <row r="318" spans="1:14" ht="15" thickBot="1">
      <c r="A318" s="170"/>
      <c r="B318" s="171"/>
      <c r="C318" s="172"/>
      <c r="D318" s="173"/>
      <c r="E318" s="174"/>
      <c r="F318" s="175"/>
      <c r="G318" s="176"/>
      <c r="H318" s="177"/>
      <c r="I318" s="178"/>
      <c r="J318" s="179" t="str">
        <f t="shared" si="17"/>
        <v/>
      </c>
      <c r="K318" s="180"/>
      <c r="L318" s="181">
        <f t="shared" si="18"/>
        <v>0</v>
      </c>
      <c r="M318" s="229" t="str">
        <f t="shared" si="14"/>
        <v/>
      </c>
      <c r="N318" s="232"/>
    </row>
    <row r="319" spans="1:14" ht="15" thickBot="1">
      <c r="A319" s="170"/>
      <c r="B319" s="171"/>
      <c r="C319" s="172"/>
      <c r="D319" s="173"/>
      <c r="E319" s="174"/>
      <c r="F319" s="175"/>
      <c r="G319" s="176"/>
      <c r="H319" s="177"/>
      <c r="I319" s="178"/>
      <c r="J319" s="179" t="str">
        <f t="shared" si="17"/>
        <v/>
      </c>
      <c r="K319" s="180"/>
      <c r="L319" s="181">
        <f t="shared" si="18"/>
        <v>0</v>
      </c>
      <c r="M319" s="229" t="str">
        <f t="shared" si="14"/>
        <v/>
      </c>
      <c r="N319" s="232"/>
    </row>
    <row r="320" spans="1:14" ht="15" thickBot="1">
      <c r="A320" s="170"/>
      <c r="B320" s="171"/>
      <c r="C320" s="172"/>
      <c r="D320" s="173"/>
      <c r="E320" s="174"/>
      <c r="F320" s="175"/>
      <c r="G320" s="176"/>
      <c r="H320" s="177"/>
      <c r="I320" s="178"/>
      <c r="J320" s="179" t="str">
        <f t="shared" si="17"/>
        <v/>
      </c>
      <c r="K320" s="180"/>
      <c r="L320" s="181">
        <f t="shared" si="18"/>
        <v>0</v>
      </c>
      <c r="M320" s="229" t="str">
        <f t="shared" si="14"/>
        <v/>
      </c>
      <c r="N320" s="232"/>
    </row>
    <row r="321" spans="1:14" ht="15" thickBot="1">
      <c r="A321" s="170"/>
      <c r="B321" s="171"/>
      <c r="C321" s="172"/>
      <c r="D321" s="173"/>
      <c r="E321" s="174"/>
      <c r="F321" s="175"/>
      <c r="G321" s="176"/>
      <c r="H321" s="177"/>
      <c r="I321" s="178"/>
      <c r="J321" s="179" t="str">
        <f t="shared" si="17"/>
        <v/>
      </c>
      <c r="K321" s="180"/>
      <c r="L321" s="181">
        <f t="shared" si="18"/>
        <v>0</v>
      </c>
      <c r="M321" s="229" t="str">
        <f t="shared" si="14"/>
        <v/>
      </c>
      <c r="N321" s="232"/>
    </row>
    <row r="322" spans="1:14" ht="15" thickBot="1">
      <c r="A322" s="170"/>
      <c r="B322" s="171"/>
      <c r="C322" s="172"/>
      <c r="D322" s="173"/>
      <c r="E322" s="174"/>
      <c r="F322" s="175"/>
      <c r="G322" s="176"/>
      <c r="H322" s="177"/>
      <c r="I322" s="178"/>
      <c r="J322" s="179" t="str">
        <f t="shared" si="17"/>
        <v/>
      </c>
      <c r="K322" s="180"/>
      <c r="L322" s="181">
        <f t="shared" si="18"/>
        <v>0</v>
      </c>
      <c r="M322" s="229" t="str">
        <f t="shared" si="14"/>
        <v/>
      </c>
      <c r="N322" s="232"/>
    </row>
    <row r="323" spans="1:14" ht="15" thickBot="1">
      <c r="A323" s="170"/>
      <c r="B323" s="171"/>
      <c r="C323" s="172"/>
      <c r="D323" s="173"/>
      <c r="E323" s="174"/>
      <c r="F323" s="175"/>
      <c r="G323" s="176"/>
      <c r="H323" s="177"/>
      <c r="I323" s="178"/>
      <c r="J323" s="179" t="str">
        <f t="shared" si="17"/>
        <v/>
      </c>
      <c r="K323" s="180"/>
      <c r="L323" s="181">
        <f t="shared" si="18"/>
        <v>0</v>
      </c>
      <c r="M323" s="229" t="str">
        <f t="shared" si="14"/>
        <v/>
      </c>
      <c r="N323" s="232"/>
    </row>
    <row r="324" spans="1:14" ht="15" thickBot="1">
      <c r="A324" s="170"/>
      <c r="B324" s="171"/>
      <c r="C324" s="172"/>
      <c r="D324" s="173"/>
      <c r="E324" s="174"/>
      <c r="F324" s="175"/>
      <c r="G324" s="176"/>
      <c r="H324" s="177"/>
      <c r="I324" s="178"/>
      <c r="J324" s="179" t="str">
        <f t="shared" si="17"/>
        <v/>
      </c>
      <c r="K324" s="180"/>
      <c r="L324" s="181">
        <f t="shared" si="18"/>
        <v>0</v>
      </c>
      <c r="M324" s="229" t="str">
        <f t="shared" si="14"/>
        <v/>
      </c>
      <c r="N324" s="232"/>
    </row>
    <row r="325" spans="1:14" ht="15" thickBot="1">
      <c r="A325" s="170"/>
      <c r="B325" s="171"/>
      <c r="C325" s="172"/>
      <c r="D325" s="173"/>
      <c r="E325" s="174"/>
      <c r="F325" s="175"/>
      <c r="G325" s="176"/>
      <c r="H325" s="177"/>
      <c r="I325" s="178"/>
      <c r="J325" s="179" t="str">
        <f t="shared" si="17"/>
        <v/>
      </c>
      <c r="K325" s="180"/>
      <c r="L325" s="181">
        <f t="shared" si="18"/>
        <v>0</v>
      </c>
      <c r="M325" s="229" t="str">
        <f t="shared" si="14"/>
        <v/>
      </c>
      <c r="N325" s="232"/>
    </row>
    <row r="326" spans="1:14" ht="15" thickBot="1">
      <c r="A326" s="170"/>
      <c r="B326" s="171"/>
      <c r="C326" s="172"/>
      <c r="D326" s="173"/>
      <c r="E326" s="174"/>
      <c r="F326" s="175"/>
      <c r="G326" s="176"/>
      <c r="H326" s="177"/>
      <c r="I326" s="178"/>
      <c r="J326" s="179" t="str">
        <f t="shared" si="17"/>
        <v/>
      </c>
      <c r="K326" s="180"/>
      <c r="L326" s="181">
        <f t="shared" si="18"/>
        <v>0</v>
      </c>
      <c r="M326" s="229" t="str">
        <f t="shared" si="14"/>
        <v/>
      </c>
      <c r="N326" s="232"/>
    </row>
    <row r="327" spans="1:14" ht="15" thickBot="1">
      <c r="A327" s="170"/>
      <c r="B327" s="171"/>
      <c r="C327" s="172"/>
      <c r="D327" s="173"/>
      <c r="E327" s="174"/>
      <c r="F327" s="175"/>
      <c r="G327" s="176"/>
      <c r="H327" s="177"/>
      <c r="I327" s="178"/>
      <c r="J327" s="179" t="str">
        <f t="shared" si="17"/>
        <v/>
      </c>
      <c r="K327" s="180"/>
      <c r="L327" s="181">
        <f t="shared" si="18"/>
        <v>0</v>
      </c>
      <c r="M327" s="229" t="str">
        <f t="shared" si="14"/>
        <v/>
      </c>
      <c r="N327" s="232"/>
    </row>
    <row r="328" spans="1:14" ht="15" thickBot="1">
      <c r="A328" s="170"/>
      <c r="B328" s="171"/>
      <c r="C328" s="172"/>
      <c r="D328" s="173"/>
      <c r="E328" s="174"/>
      <c r="F328" s="175"/>
      <c r="G328" s="176"/>
      <c r="H328" s="177"/>
      <c r="I328" s="178"/>
      <c r="J328" s="179" t="str">
        <f t="shared" si="17"/>
        <v/>
      </c>
      <c r="K328" s="180"/>
      <c r="L328" s="181">
        <f t="shared" si="18"/>
        <v>0</v>
      </c>
      <c r="M328" s="229" t="str">
        <f t="shared" si="14"/>
        <v/>
      </c>
      <c r="N328" s="232"/>
    </row>
    <row r="329" spans="1:14" ht="15" thickBot="1">
      <c r="A329" s="170"/>
      <c r="B329" s="171"/>
      <c r="C329" s="172"/>
      <c r="D329" s="173"/>
      <c r="E329" s="174"/>
      <c r="F329" s="175"/>
      <c r="G329" s="176"/>
      <c r="H329" s="177"/>
      <c r="I329" s="178"/>
      <c r="J329" s="179" t="str">
        <f t="shared" si="17"/>
        <v/>
      </c>
      <c r="K329" s="180"/>
      <c r="L329" s="181">
        <f t="shared" si="18"/>
        <v>0</v>
      </c>
      <c r="M329" s="229" t="str">
        <f t="shared" si="14"/>
        <v/>
      </c>
      <c r="N329" s="232"/>
    </row>
    <row r="330" spans="1:14" ht="15" thickBot="1">
      <c r="A330" s="170"/>
      <c r="B330" s="171"/>
      <c r="C330" s="172"/>
      <c r="D330" s="173"/>
      <c r="E330" s="174"/>
      <c r="F330" s="175"/>
      <c r="G330" s="176"/>
      <c r="H330" s="177"/>
      <c r="I330" s="178"/>
      <c r="J330" s="179" t="str">
        <f t="shared" si="17"/>
        <v/>
      </c>
      <c r="K330" s="180"/>
      <c r="L330" s="181">
        <f t="shared" si="18"/>
        <v>0</v>
      </c>
      <c r="M330" s="229" t="str">
        <f t="shared" si="14"/>
        <v/>
      </c>
      <c r="N330" s="232"/>
    </row>
    <row r="331" spans="1:14" ht="15" thickBot="1">
      <c r="A331" s="170"/>
      <c r="B331" s="171"/>
      <c r="C331" s="172"/>
      <c r="D331" s="173"/>
      <c r="E331" s="174"/>
      <c r="F331" s="175"/>
      <c r="G331" s="176"/>
      <c r="H331" s="177"/>
      <c r="I331" s="178"/>
      <c r="J331" s="179" t="str">
        <f t="shared" si="17"/>
        <v/>
      </c>
      <c r="K331" s="180"/>
      <c r="L331" s="181">
        <f t="shared" si="18"/>
        <v>0</v>
      </c>
      <c r="M331" s="229" t="str">
        <f t="shared" si="14"/>
        <v/>
      </c>
      <c r="N331" s="232"/>
    </row>
    <row r="332" spans="1:14" ht="15" thickBot="1">
      <c r="A332" s="170"/>
      <c r="B332" s="171"/>
      <c r="C332" s="172"/>
      <c r="D332" s="173"/>
      <c r="E332" s="174"/>
      <c r="F332" s="175"/>
      <c r="G332" s="176"/>
      <c r="H332" s="177"/>
      <c r="I332" s="178"/>
      <c r="J332" s="179" t="str">
        <f t="shared" si="17"/>
        <v/>
      </c>
      <c r="K332" s="180"/>
      <c r="L332" s="181">
        <f t="shared" si="18"/>
        <v>0</v>
      </c>
      <c r="M332" s="229" t="str">
        <f t="shared" si="14"/>
        <v/>
      </c>
      <c r="N332" s="232"/>
    </row>
    <row r="333" spans="1:14" ht="15" thickBot="1">
      <c r="A333" s="170"/>
      <c r="B333" s="171"/>
      <c r="C333" s="172"/>
      <c r="D333" s="173"/>
      <c r="E333" s="174"/>
      <c r="F333" s="175"/>
      <c r="G333" s="176"/>
      <c r="H333" s="177"/>
      <c r="I333" s="178"/>
      <c r="J333" s="179" t="str">
        <f t="shared" si="17"/>
        <v/>
      </c>
      <c r="K333" s="180"/>
      <c r="L333" s="181">
        <f t="shared" si="18"/>
        <v>0</v>
      </c>
      <c r="M333" s="229" t="str">
        <f t="shared" si="14"/>
        <v/>
      </c>
      <c r="N333" s="232"/>
    </row>
    <row r="334" spans="1:14" ht="15" thickBot="1">
      <c r="A334" s="170"/>
      <c r="B334" s="171"/>
      <c r="C334" s="172"/>
      <c r="D334" s="173"/>
      <c r="E334" s="174"/>
      <c r="F334" s="175"/>
      <c r="G334" s="176"/>
      <c r="H334" s="177"/>
      <c r="I334" s="178"/>
      <c r="J334" s="179" t="str">
        <f t="shared" si="17"/>
        <v/>
      </c>
      <c r="K334" s="180"/>
      <c r="L334" s="181">
        <f t="shared" si="18"/>
        <v>0</v>
      </c>
      <c r="M334" s="229" t="str">
        <f t="shared" ref="M334:M397" si="19">IF(J334 &lt;&gt; "", J334 * L334, "")</f>
        <v/>
      </c>
      <c r="N334" s="232"/>
    </row>
    <row r="335" spans="1:14" ht="15" thickBot="1">
      <c r="A335" s="170"/>
      <c r="B335" s="171"/>
      <c r="C335" s="172"/>
      <c r="D335" s="173"/>
      <c r="E335" s="174"/>
      <c r="F335" s="175"/>
      <c r="G335" s="176"/>
      <c r="H335" s="177"/>
      <c r="I335" s="178"/>
      <c r="J335" s="179" t="str">
        <f t="shared" si="17"/>
        <v/>
      </c>
      <c r="K335" s="180"/>
      <c r="L335" s="181">
        <f t="shared" si="18"/>
        <v>0</v>
      </c>
      <c r="M335" s="229" t="str">
        <f t="shared" si="19"/>
        <v/>
      </c>
      <c r="N335" s="232"/>
    </row>
    <row r="336" spans="1:14" ht="15" thickBot="1">
      <c r="A336" s="170"/>
      <c r="B336" s="171"/>
      <c r="C336" s="172"/>
      <c r="D336" s="173"/>
      <c r="E336" s="174"/>
      <c r="F336" s="175"/>
      <c r="G336" s="176"/>
      <c r="H336" s="177"/>
      <c r="I336" s="178"/>
      <c r="J336" s="179" t="str">
        <f t="shared" si="17"/>
        <v/>
      </c>
      <c r="K336" s="180"/>
      <c r="L336" s="181">
        <f t="shared" si="18"/>
        <v>0</v>
      </c>
      <c r="M336" s="229" t="str">
        <f t="shared" si="19"/>
        <v/>
      </c>
      <c r="N336" s="232"/>
    </row>
    <row r="337" spans="1:14" ht="15" thickBot="1">
      <c r="A337" s="170"/>
      <c r="B337" s="171"/>
      <c r="C337" s="172"/>
      <c r="D337" s="173"/>
      <c r="E337" s="174"/>
      <c r="F337" s="175"/>
      <c r="G337" s="176"/>
      <c r="H337" s="177"/>
      <c r="I337" s="178"/>
      <c r="J337" s="179" t="str">
        <f t="shared" si="17"/>
        <v/>
      </c>
      <c r="K337" s="180"/>
      <c r="L337" s="181">
        <f t="shared" si="18"/>
        <v>0</v>
      </c>
      <c r="M337" s="229" t="str">
        <f t="shared" si="19"/>
        <v/>
      </c>
      <c r="N337" s="232"/>
    </row>
    <row r="338" spans="1:14" ht="15" thickBot="1">
      <c r="A338" s="170"/>
      <c r="B338" s="171"/>
      <c r="C338" s="172"/>
      <c r="D338" s="173"/>
      <c r="E338" s="174"/>
      <c r="F338" s="175"/>
      <c r="G338" s="176"/>
      <c r="H338" s="177"/>
      <c r="I338" s="178"/>
      <c r="J338" s="179" t="str">
        <f t="shared" si="17"/>
        <v/>
      </c>
      <c r="K338" s="180"/>
      <c r="L338" s="181">
        <f t="shared" si="18"/>
        <v>0</v>
      </c>
      <c r="M338" s="229" t="str">
        <f t="shared" si="19"/>
        <v/>
      </c>
      <c r="N338" s="232"/>
    </row>
    <row r="339" spans="1:14" ht="15" thickBot="1">
      <c r="A339" s="170"/>
      <c r="B339" s="171"/>
      <c r="C339" s="172"/>
      <c r="D339" s="173"/>
      <c r="E339" s="174"/>
      <c r="F339" s="175"/>
      <c r="G339" s="176"/>
      <c r="H339" s="177"/>
      <c r="I339" s="178"/>
      <c r="J339" s="179" t="str">
        <f t="shared" si="17"/>
        <v/>
      </c>
      <c r="K339" s="180"/>
      <c r="L339" s="181">
        <f t="shared" si="18"/>
        <v>0</v>
      </c>
      <c r="M339" s="229" t="str">
        <f t="shared" si="19"/>
        <v/>
      </c>
      <c r="N339" s="232"/>
    </row>
    <row r="340" spans="1:14" ht="15" thickBot="1">
      <c r="A340" s="170"/>
      <c r="B340" s="171"/>
      <c r="C340" s="172"/>
      <c r="D340" s="173"/>
      <c r="E340" s="174"/>
      <c r="F340" s="175"/>
      <c r="G340" s="176"/>
      <c r="H340" s="177"/>
      <c r="I340" s="178"/>
      <c r="J340" s="179" t="str">
        <f t="shared" si="17"/>
        <v/>
      </c>
      <c r="K340" s="180"/>
      <c r="L340" s="181">
        <f t="shared" si="18"/>
        <v>0</v>
      </c>
      <c r="M340" s="229" t="str">
        <f t="shared" si="19"/>
        <v/>
      </c>
      <c r="N340" s="232"/>
    </row>
    <row r="341" spans="1:14" ht="15" thickBot="1">
      <c r="A341" s="170"/>
      <c r="B341" s="171"/>
      <c r="C341" s="172"/>
      <c r="D341" s="173"/>
      <c r="E341" s="174"/>
      <c r="F341" s="175"/>
      <c r="G341" s="176"/>
      <c r="H341" s="177"/>
      <c r="I341" s="178"/>
      <c r="J341" s="179" t="str">
        <f t="shared" si="17"/>
        <v/>
      </c>
      <c r="K341" s="180"/>
      <c r="L341" s="181">
        <f t="shared" si="18"/>
        <v>0</v>
      </c>
      <c r="M341" s="229" t="str">
        <f t="shared" si="19"/>
        <v/>
      </c>
      <c r="N341" s="232"/>
    </row>
    <row r="342" spans="1:14" ht="15" thickBot="1">
      <c r="A342" s="170"/>
      <c r="B342" s="171"/>
      <c r="C342" s="172"/>
      <c r="D342" s="173"/>
      <c r="E342" s="174"/>
      <c r="F342" s="175"/>
      <c r="G342" s="176"/>
      <c r="H342" s="177"/>
      <c r="I342" s="178"/>
      <c r="J342" s="179" t="str">
        <f t="shared" si="17"/>
        <v/>
      </c>
      <c r="K342" s="180"/>
      <c r="L342" s="181">
        <f t="shared" si="18"/>
        <v>0</v>
      </c>
      <c r="M342" s="229" t="str">
        <f t="shared" si="19"/>
        <v/>
      </c>
      <c r="N342" s="232"/>
    </row>
    <row r="343" spans="1:14" ht="15" thickBot="1">
      <c r="A343" s="170"/>
      <c r="B343" s="171"/>
      <c r="C343" s="172"/>
      <c r="D343" s="173"/>
      <c r="E343" s="174"/>
      <c r="F343" s="175"/>
      <c r="G343" s="176"/>
      <c r="H343" s="177"/>
      <c r="I343" s="178"/>
      <c r="J343" s="179" t="str">
        <f t="shared" si="17"/>
        <v/>
      </c>
      <c r="K343" s="180"/>
      <c r="L343" s="181">
        <f t="shared" si="18"/>
        <v>0</v>
      </c>
      <c r="M343" s="229" t="str">
        <f t="shared" si="19"/>
        <v/>
      </c>
      <c r="N343" s="232"/>
    </row>
    <row r="344" spans="1:14" ht="15" thickBot="1">
      <c r="A344" s="170"/>
      <c r="B344" s="171"/>
      <c r="C344" s="172"/>
      <c r="D344" s="173"/>
      <c r="E344" s="174"/>
      <c r="F344" s="175"/>
      <c r="G344" s="176"/>
      <c r="H344" s="177"/>
      <c r="I344" s="178"/>
      <c r="J344" s="179" t="str">
        <f t="shared" si="17"/>
        <v/>
      </c>
      <c r="K344" s="180"/>
      <c r="L344" s="181">
        <f t="shared" si="18"/>
        <v>0</v>
      </c>
      <c r="M344" s="229" t="str">
        <f t="shared" si="19"/>
        <v/>
      </c>
      <c r="N344" s="232"/>
    </row>
    <row r="345" spans="1:14" ht="15" thickBot="1">
      <c r="A345" s="170"/>
      <c r="B345" s="171"/>
      <c r="C345" s="172"/>
      <c r="D345" s="173"/>
      <c r="E345" s="174"/>
      <c r="F345" s="175"/>
      <c r="G345" s="176"/>
      <c r="H345" s="177"/>
      <c r="I345" s="178"/>
      <c r="J345" s="179" t="str">
        <f t="shared" si="17"/>
        <v/>
      </c>
      <c r="K345" s="180"/>
      <c r="L345" s="181">
        <f t="shared" si="18"/>
        <v>0</v>
      </c>
      <c r="M345" s="229" t="str">
        <f t="shared" si="19"/>
        <v/>
      </c>
      <c r="N345" s="232"/>
    </row>
    <row r="346" spans="1:14" ht="15" thickBot="1">
      <c r="A346" s="170"/>
      <c r="B346" s="171"/>
      <c r="C346" s="172"/>
      <c r="D346" s="173"/>
      <c r="E346" s="174"/>
      <c r="F346" s="175"/>
      <c r="G346" s="176"/>
      <c r="H346" s="177"/>
      <c r="I346" s="178"/>
      <c r="J346" s="179" t="str">
        <f t="shared" si="17"/>
        <v/>
      </c>
      <c r="K346" s="180"/>
      <c r="L346" s="181">
        <f t="shared" si="18"/>
        <v>0</v>
      </c>
      <c r="M346" s="229" t="str">
        <f t="shared" si="19"/>
        <v/>
      </c>
      <c r="N346" s="232"/>
    </row>
    <row r="347" spans="1:14" ht="15" thickBot="1">
      <c r="A347" s="170"/>
      <c r="B347" s="171"/>
      <c r="C347" s="172"/>
      <c r="D347" s="173"/>
      <c r="E347" s="174"/>
      <c r="F347" s="175"/>
      <c r="G347" s="176"/>
      <c r="H347" s="177"/>
      <c r="I347" s="178"/>
      <c r="J347" s="179" t="str">
        <f t="shared" si="17"/>
        <v/>
      </c>
      <c r="K347" s="180"/>
      <c r="L347" s="181">
        <f t="shared" si="18"/>
        <v>0</v>
      </c>
      <c r="M347" s="229" t="str">
        <f t="shared" si="19"/>
        <v/>
      </c>
      <c r="N347" s="232"/>
    </row>
    <row r="348" spans="1:14" ht="15" thickBot="1">
      <c r="A348" s="170"/>
      <c r="B348" s="171"/>
      <c r="C348" s="172"/>
      <c r="D348" s="173"/>
      <c r="E348" s="174"/>
      <c r="F348" s="175"/>
      <c r="G348" s="176"/>
      <c r="H348" s="177"/>
      <c r="I348" s="178"/>
      <c r="J348" s="179" t="str">
        <f t="shared" si="17"/>
        <v/>
      </c>
      <c r="K348" s="180"/>
      <c r="L348" s="181">
        <f t="shared" si="18"/>
        <v>0</v>
      </c>
      <c r="M348" s="229" t="str">
        <f t="shared" si="19"/>
        <v/>
      </c>
      <c r="N348" s="232"/>
    </row>
    <row r="349" spans="1:14" ht="15" thickBot="1">
      <c r="A349" s="170"/>
      <c r="B349" s="171"/>
      <c r="C349" s="172"/>
      <c r="D349" s="173"/>
      <c r="E349" s="174"/>
      <c r="F349" s="175"/>
      <c r="G349" s="176"/>
      <c r="H349" s="177"/>
      <c r="I349" s="178"/>
      <c r="J349" s="179" t="str">
        <f t="shared" si="17"/>
        <v/>
      </c>
      <c r="K349" s="180"/>
      <c r="L349" s="181">
        <f t="shared" si="18"/>
        <v>0</v>
      </c>
      <c r="M349" s="229" t="str">
        <f t="shared" si="19"/>
        <v/>
      </c>
      <c r="N349" s="232"/>
    </row>
    <row r="350" spans="1:14" ht="15" thickBot="1">
      <c r="A350" s="170"/>
      <c r="B350" s="171"/>
      <c r="C350" s="172"/>
      <c r="D350" s="173"/>
      <c r="E350" s="174"/>
      <c r="F350" s="175"/>
      <c r="G350" s="176"/>
      <c r="H350" s="177"/>
      <c r="I350" s="178"/>
      <c r="J350" s="179" t="str">
        <f t="shared" si="17"/>
        <v/>
      </c>
      <c r="K350" s="180"/>
      <c r="L350" s="181">
        <f t="shared" si="18"/>
        <v>0</v>
      </c>
      <c r="M350" s="229" t="str">
        <f t="shared" si="19"/>
        <v/>
      </c>
      <c r="N350" s="232"/>
    </row>
    <row r="351" spans="1:14" ht="15" thickBot="1">
      <c r="A351" s="170"/>
      <c r="B351" s="171"/>
      <c r="C351" s="172"/>
      <c r="D351" s="173"/>
      <c r="E351" s="174"/>
      <c r="F351" s="175"/>
      <c r="G351" s="176"/>
      <c r="H351" s="177"/>
      <c r="I351" s="178"/>
      <c r="J351" s="179" t="str">
        <f t="shared" si="17"/>
        <v/>
      </c>
      <c r="K351" s="180"/>
      <c r="L351" s="181">
        <f t="shared" si="18"/>
        <v>0</v>
      </c>
      <c r="M351" s="229" t="str">
        <f t="shared" si="19"/>
        <v/>
      </c>
      <c r="N351" s="232"/>
    </row>
    <row r="352" spans="1:14" ht="15" thickBot="1">
      <c r="A352" s="170"/>
      <c r="B352" s="171"/>
      <c r="C352" s="172"/>
      <c r="D352" s="173"/>
      <c r="E352" s="174"/>
      <c r="F352" s="175"/>
      <c r="G352" s="176"/>
      <c r="H352" s="177"/>
      <c r="I352" s="178"/>
      <c r="J352" s="179" t="str">
        <f t="shared" si="17"/>
        <v/>
      </c>
      <c r="K352" s="180"/>
      <c r="L352" s="181">
        <f t="shared" si="18"/>
        <v>0</v>
      </c>
      <c r="M352" s="229" t="str">
        <f t="shared" si="19"/>
        <v/>
      </c>
      <c r="N352" s="232"/>
    </row>
    <row r="353" spans="1:14" ht="15" thickBot="1">
      <c r="A353" s="170"/>
      <c r="B353" s="171"/>
      <c r="C353" s="172"/>
      <c r="D353" s="173"/>
      <c r="E353" s="174"/>
      <c r="F353" s="175"/>
      <c r="G353" s="176"/>
      <c r="H353" s="177"/>
      <c r="I353" s="178"/>
      <c r="J353" s="179" t="str">
        <f t="shared" si="17"/>
        <v/>
      </c>
      <c r="K353" s="180"/>
      <c r="L353" s="181">
        <f t="shared" si="18"/>
        <v>0</v>
      </c>
      <c r="M353" s="229" t="str">
        <f t="shared" si="19"/>
        <v/>
      </c>
      <c r="N353" s="232"/>
    </row>
    <row r="354" spans="1:14" ht="15" thickBot="1">
      <c r="A354" s="170"/>
      <c r="B354" s="171"/>
      <c r="C354" s="172"/>
      <c r="D354" s="173"/>
      <c r="E354" s="174"/>
      <c r="F354" s="175"/>
      <c r="G354" s="176"/>
      <c r="H354" s="177"/>
      <c r="I354" s="178"/>
      <c r="J354" s="179" t="str">
        <f t="shared" si="17"/>
        <v/>
      </c>
      <c r="K354" s="180"/>
      <c r="L354" s="181">
        <f t="shared" si="18"/>
        <v>0</v>
      </c>
      <c r="M354" s="229" t="str">
        <f t="shared" si="19"/>
        <v/>
      </c>
      <c r="N354" s="232"/>
    </row>
    <row r="355" spans="1:14" ht="15" thickBot="1">
      <c r="A355" s="170"/>
      <c r="B355" s="171"/>
      <c r="C355" s="172"/>
      <c r="D355" s="173"/>
      <c r="E355" s="174"/>
      <c r="F355" s="175"/>
      <c r="G355" s="176"/>
      <c r="H355" s="177"/>
      <c r="I355" s="178"/>
      <c r="J355" s="179" t="str">
        <f t="shared" si="17"/>
        <v/>
      </c>
      <c r="K355" s="180"/>
      <c r="L355" s="181">
        <f t="shared" si="18"/>
        <v>0</v>
      </c>
      <c r="M355" s="229" t="str">
        <f t="shared" si="19"/>
        <v/>
      </c>
      <c r="N355" s="232"/>
    </row>
    <row r="356" spans="1:14" ht="15" thickBot="1">
      <c r="A356" s="170"/>
      <c r="B356" s="171"/>
      <c r="C356" s="172"/>
      <c r="D356" s="173"/>
      <c r="E356" s="174"/>
      <c r="F356" s="175"/>
      <c r="G356" s="176"/>
      <c r="H356" s="177"/>
      <c r="I356" s="178"/>
      <c r="J356" s="179" t="str">
        <f t="shared" si="17"/>
        <v/>
      </c>
      <c r="K356" s="180"/>
      <c r="L356" s="181">
        <f t="shared" si="18"/>
        <v>0</v>
      </c>
      <c r="M356" s="229" t="str">
        <f t="shared" si="19"/>
        <v/>
      </c>
      <c r="N356" s="232"/>
    </row>
    <row r="357" spans="1:14" ht="15" thickBot="1">
      <c r="A357" s="170"/>
      <c r="B357" s="171"/>
      <c r="C357" s="172"/>
      <c r="D357" s="173"/>
      <c r="E357" s="174"/>
      <c r="F357" s="175"/>
      <c r="G357" s="176"/>
      <c r="H357" s="177"/>
      <c r="I357" s="178"/>
      <c r="J357" s="179" t="str">
        <f t="shared" si="17"/>
        <v/>
      </c>
      <c r="K357" s="180"/>
      <c r="L357" s="181">
        <f t="shared" si="18"/>
        <v>0</v>
      </c>
      <c r="M357" s="229" t="str">
        <f t="shared" si="19"/>
        <v/>
      </c>
      <c r="N357" s="232"/>
    </row>
    <row r="358" spans="1:14" ht="15" thickBot="1">
      <c r="A358" s="170"/>
      <c r="B358" s="171"/>
      <c r="C358" s="172"/>
      <c r="D358" s="173"/>
      <c r="E358" s="174"/>
      <c r="F358" s="175"/>
      <c r="G358" s="176"/>
      <c r="H358" s="177"/>
      <c r="I358" s="178"/>
      <c r="J358" s="179" t="str">
        <f t="shared" si="17"/>
        <v/>
      </c>
      <c r="K358" s="180"/>
      <c r="L358" s="181">
        <f t="shared" si="18"/>
        <v>0</v>
      </c>
      <c r="M358" s="229" t="str">
        <f t="shared" si="19"/>
        <v/>
      </c>
      <c r="N358" s="232"/>
    </row>
    <row r="359" spans="1:14" ht="15" thickBot="1">
      <c r="A359" s="170"/>
      <c r="B359" s="171"/>
      <c r="C359" s="172"/>
      <c r="D359" s="173"/>
      <c r="E359" s="174"/>
      <c r="F359" s="175"/>
      <c r="G359" s="176"/>
      <c r="H359" s="177"/>
      <c r="I359" s="178"/>
      <c r="J359" s="179" t="str">
        <f t="shared" si="17"/>
        <v/>
      </c>
      <c r="K359" s="180"/>
      <c r="L359" s="181">
        <f t="shared" si="18"/>
        <v>0</v>
      </c>
      <c r="M359" s="229" t="str">
        <f t="shared" si="19"/>
        <v/>
      </c>
      <c r="N359" s="232"/>
    </row>
    <row r="360" spans="1:14" ht="15" thickBot="1">
      <c r="A360" s="170"/>
      <c r="B360" s="171"/>
      <c r="C360" s="172"/>
      <c r="D360" s="173"/>
      <c r="E360" s="174"/>
      <c r="F360" s="175"/>
      <c r="G360" s="176"/>
      <c r="H360" s="177"/>
      <c r="I360" s="178"/>
      <c r="J360" s="179" t="str">
        <f t="shared" si="17"/>
        <v/>
      </c>
      <c r="K360" s="180"/>
      <c r="L360" s="181">
        <f t="shared" si="18"/>
        <v>0</v>
      </c>
      <c r="M360" s="229" t="str">
        <f t="shared" si="19"/>
        <v/>
      </c>
      <c r="N360" s="232"/>
    </row>
    <row r="361" spans="1:14" ht="15" thickBot="1">
      <c r="A361" s="170"/>
      <c r="B361" s="171"/>
      <c r="C361" s="172"/>
      <c r="D361" s="173"/>
      <c r="E361" s="174"/>
      <c r="F361" s="175"/>
      <c r="G361" s="176"/>
      <c r="H361" s="177"/>
      <c r="I361" s="178"/>
      <c r="J361" s="179" t="str">
        <f t="shared" si="17"/>
        <v/>
      </c>
      <c r="K361" s="180"/>
      <c r="L361" s="181">
        <f t="shared" si="18"/>
        <v>0</v>
      </c>
      <c r="M361" s="229" t="str">
        <f t="shared" si="19"/>
        <v/>
      </c>
      <c r="N361" s="232"/>
    </row>
    <row r="362" spans="1:14" ht="15" thickBot="1">
      <c r="A362" s="170"/>
      <c r="B362" s="171"/>
      <c r="C362" s="172"/>
      <c r="D362" s="173"/>
      <c r="E362" s="174"/>
      <c r="F362" s="175"/>
      <c r="G362" s="176"/>
      <c r="H362" s="177"/>
      <c r="I362" s="178"/>
      <c r="J362" s="179" t="str">
        <f t="shared" si="17"/>
        <v/>
      </c>
      <c r="K362" s="180"/>
      <c r="L362" s="181">
        <f t="shared" si="18"/>
        <v>0</v>
      </c>
      <c r="M362" s="229" t="str">
        <f t="shared" si="19"/>
        <v/>
      </c>
      <c r="N362" s="232"/>
    </row>
    <row r="363" spans="1:14" ht="15" thickBot="1">
      <c r="A363" s="170"/>
      <c r="B363" s="171"/>
      <c r="C363" s="172"/>
      <c r="D363" s="173"/>
      <c r="E363" s="174"/>
      <c r="F363" s="175"/>
      <c r="G363" s="176"/>
      <c r="H363" s="177"/>
      <c r="I363" s="178"/>
      <c r="J363" s="179" t="str">
        <f t="shared" si="17"/>
        <v/>
      </c>
      <c r="K363" s="180"/>
      <c r="L363" s="181">
        <f t="shared" si="18"/>
        <v>0</v>
      </c>
      <c r="M363" s="229" t="str">
        <f t="shared" si="19"/>
        <v/>
      </c>
      <c r="N363" s="232"/>
    </row>
    <row r="364" spans="1:14" ht="15" thickBot="1">
      <c r="A364" s="170"/>
      <c r="B364" s="171"/>
      <c r="C364" s="172"/>
      <c r="D364" s="173"/>
      <c r="E364" s="174"/>
      <c r="F364" s="175"/>
      <c r="G364" s="176"/>
      <c r="H364" s="177"/>
      <c r="I364" s="178"/>
      <c r="J364" s="179" t="str">
        <f t="shared" si="17"/>
        <v/>
      </c>
      <c r="K364" s="180"/>
      <c r="L364" s="181">
        <f t="shared" si="18"/>
        <v>0</v>
      </c>
      <c r="M364" s="229" t="str">
        <f t="shared" si="19"/>
        <v/>
      </c>
      <c r="N364" s="232"/>
    </row>
    <row r="365" spans="1:14" ht="15" thickBot="1">
      <c r="A365" s="170"/>
      <c r="B365" s="171"/>
      <c r="C365" s="172"/>
      <c r="D365" s="173"/>
      <c r="E365" s="174"/>
      <c r="F365" s="175"/>
      <c r="G365" s="176"/>
      <c r="H365" s="177"/>
      <c r="I365" s="178"/>
      <c r="J365" s="179" t="str">
        <f t="shared" si="17"/>
        <v/>
      </c>
      <c r="K365" s="180"/>
      <c r="L365" s="181">
        <f t="shared" si="18"/>
        <v>0</v>
      </c>
      <c r="M365" s="229" t="str">
        <f t="shared" si="19"/>
        <v/>
      </c>
      <c r="N365" s="232"/>
    </row>
    <row r="366" spans="1:14" ht="15" thickBot="1">
      <c r="A366" s="170"/>
      <c r="B366" s="171"/>
      <c r="C366" s="172"/>
      <c r="D366" s="173"/>
      <c r="E366" s="174"/>
      <c r="F366" s="175"/>
      <c r="G366" s="176"/>
      <c r="H366" s="177"/>
      <c r="I366" s="178"/>
      <c r="J366" s="179" t="str">
        <f t="shared" si="17"/>
        <v/>
      </c>
      <c r="K366" s="180"/>
      <c r="L366" s="181">
        <f t="shared" si="18"/>
        <v>0</v>
      </c>
      <c r="M366" s="229" t="str">
        <f t="shared" si="19"/>
        <v/>
      </c>
      <c r="N366" s="232"/>
    </row>
    <row r="367" spans="1:14" ht="15" thickBot="1">
      <c r="A367" s="170"/>
      <c r="B367" s="171"/>
      <c r="C367" s="172"/>
      <c r="D367" s="173"/>
      <c r="E367" s="174"/>
      <c r="F367" s="175"/>
      <c r="G367" s="176"/>
      <c r="H367" s="177"/>
      <c r="I367" s="178"/>
      <c r="J367" s="179" t="str">
        <f t="shared" si="17"/>
        <v/>
      </c>
      <c r="K367" s="180"/>
      <c r="L367" s="181">
        <f t="shared" si="18"/>
        <v>0</v>
      </c>
      <c r="M367" s="229" t="str">
        <f t="shared" si="19"/>
        <v/>
      </c>
      <c r="N367" s="232"/>
    </row>
    <row r="368" spans="1:14" ht="15" thickBot="1">
      <c r="A368" s="170"/>
      <c r="B368" s="171"/>
      <c r="C368" s="172"/>
      <c r="D368" s="173"/>
      <c r="E368" s="174"/>
      <c r="F368" s="175"/>
      <c r="G368" s="176"/>
      <c r="H368" s="177"/>
      <c r="I368" s="178"/>
      <c r="J368" s="179" t="str">
        <f t="shared" si="17"/>
        <v/>
      </c>
      <c r="K368" s="180"/>
      <c r="L368" s="181">
        <f t="shared" si="18"/>
        <v>0</v>
      </c>
      <c r="M368" s="229" t="str">
        <f t="shared" si="19"/>
        <v/>
      </c>
      <c r="N368" s="232"/>
    </row>
    <row r="369" spans="1:14" ht="15" thickBot="1">
      <c r="A369" s="170"/>
      <c r="B369" s="171"/>
      <c r="C369" s="172"/>
      <c r="D369" s="173"/>
      <c r="E369" s="174"/>
      <c r="F369" s="175"/>
      <c r="G369" s="176"/>
      <c r="H369" s="177"/>
      <c r="I369" s="178"/>
      <c r="J369" s="179" t="str">
        <f t="shared" si="17"/>
        <v/>
      </c>
      <c r="K369" s="180"/>
      <c r="L369" s="181">
        <f t="shared" si="18"/>
        <v>0</v>
      </c>
      <c r="M369" s="229" t="str">
        <f t="shared" si="19"/>
        <v/>
      </c>
      <c r="N369" s="232"/>
    </row>
    <row r="370" spans="1:14" ht="15" thickBot="1">
      <c r="A370" s="170"/>
      <c r="B370" s="171"/>
      <c r="C370" s="172"/>
      <c r="D370" s="173"/>
      <c r="E370" s="174"/>
      <c r="F370" s="175"/>
      <c r="G370" s="176"/>
      <c r="H370" s="177"/>
      <c r="I370" s="178"/>
      <c r="J370" s="179" t="str">
        <f t="shared" si="17"/>
        <v/>
      </c>
      <c r="K370" s="180"/>
      <c r="L370" s="181">
        <f t="shared" si="18"/>
        <v>0</v>
      </c>
      <c r="M370" s="229" t="str">
        <f t="shared" si="19"/>
        <v/>
      </c>
      <c r="N370" s="232"/>
    </row>
    <row r="371" spans="1:14" ht="15" thickBot="1">
      <c r="A371" s="170"/>
      <c r="B371" s="171"/>
      <c r="C371" s="172"/>
      <c r="D371" s="173"/>
      <c r="E371" s="174"/>
      <c r="F371" s="175"/>
      <c r="G371" s="176"/>
      <c r="H371" s="177"/>
      <c r="I371" s="178"/>
      <c r="J371" s="179" t="str">
        <f t="shared" si="17"/>
        <v/>
      </c>
      <c r="K371" s="180"/>
      <c r="L371" s="181">
        <f t="shared" si="18"/>
        <v>0</v>
      </c>
      <c r="M371" s="229" t="str">
        <f t="shared" si="19"/>
        <v/>
      </c>
      <c r="N371" s="232"/>
    </row>
    <row r="372" spans="1:14" ht="15" thickBot="1">
      <c r="A372" s="170"/>
      <c r="B372" s="171"/>
      <c r="C372" s="172"/>
      <c r="D372" s="173"/>
      <c r="E372" s="174"/>
      <c r="F372" s="175"/>
      <c r="G372" s="176"/>
      <c r="H372" s="177"/>
      <c r="I372" s="178"/>
      <c r="J372" s="179" t="str">
        <f t="shared" si="17"/>
        <v/>
      </c>
      <c r="K372" s="180"/>
      <c r="L372" s="181">
        <f t="shared" si="18"/>
        <v>0</v>
      </c>
      <c r="M372" s="229" t="str">
        <f t="shared" si="19"/>
        <v/>
      </c>
      <c r="N372" s="232"/>
    </row>
    <row r="373" spans="1:14" ht="15" thickBot="1">
      <c r="A373" s="170"/>
      <c r="B373" s="171"/>
      <c r="C373" s="172"/>
      <c r="D373" s="173"/>
      <c r="E373" s="174"/>
      <c r="F373" s="175"/>
      <c r="G373" s="176"/>
      <c r="H373" s="177"/>
      <c r="I373" s="178"/>
      <c r="J373" s="179" t="str">
        <f t="shared" si="17"/>
        <v/>
      </c>
      <c r="K373" s="180"/>
      <c r="L373" s="181">
        <f t="shared" si="18"/>
        <v>0</v>
      </c>
      <c r="M373" s="229" t="str">
        <f t="shared" si="19"/>
        <v/>
      </c>
      <c r="N373" s="232"/>
    </row>
    <row r="374" spans="1:14" ht="15" thickBot="1">
      <c r="A374" s="170"/>
      <c r="B374" s="171"/>
      <c r="C374" s="172"/>
      <c r="D374" s="173"/>
      <c r="E374" s="174"/>
      <c r="F374" s="175"/>
      <c r="G374" s="176"/>
      <c r="H374" s="177"/>
      <c r="I374" s="178"/>
      <c r="J374" s="179" t="str">
        <f t="shared" si="17"/>
        <v/>
      </c>
      <c r="K374" s="180"/>
      <c r="L374" s="181">
        <f t="shared" si="18"/>
        <v>0</v>
      </c>
      <c r="M374" s="229" t="str">
        <f t="shared" si="19"/>
        <v/>
      </c>
      <c r="N374" s="232"/>
    </row>
    <row r="375" spans="1:14" ht="15" thickBot="1">
      <c r="A375" s="170"/>
      <c r="B375" s="171"/>
      <c r="C375" s="172"/>
      <c r="D375" s="173"/>
      <c r="E375" s="174"/>
      <c r="F375" s="175"/>
      <c r="G375" s="176"/>
      <c r="H375" s="177"/>
      <c r="I375" s="178"/>
      <c r="J375" s="179" t="str">
        <f t="shared" si="17"/>
        <v/>
      </c>
      <c r="K375" s="180"/>
      <c r="L375" s="181">
        <f t="shared" si="18"/>
        <v>0</v>
      </c>
      <c r="M375" s="229" t="str">
        <f t="shared" si="19"/>
        <v/>
      </c>
      <c r="N375" s="232"/>
    </row>
    <row r="376" spans="1:14" ht="15" thickBot="1">
      <c r="A376" s="170"/>
      <c r="B376" s="171"/>
      <c r="C376" s="172"/>
      <c r="D376" s="173"/>
      <c r="E376" s="174"/>
      <c r="F376" s="175"/>
      <c r="G376" s="176"/>
      <c r="H376" s="177"/>
      <c r="I376" s="178"/>
      <c r="J376" s="179" t="str">
        <f t="shared" si="17"/>
        <v/>
      </c>
      <c r="K376" s="180"/>
      <c r="L376" s="181">
        <f t="shared" si="18"/>
        <v>0</v>
      </c>
      <c r="M376" s="229" t="str">
        <f t="shared" si="19"/>
        <v/>
      </c>
      <c r="N376" s="232"/>
    </row>
    <row r="377" spans="1:14" ht="15" thickBot="1">
      <c r="A377" s="170"/>
      <c r="B377" s="171"/>
      <c r="C377" s="172"/>
      <c r="D377" s="173"/>
      <c r="E377" s="174"/>
      <c r="F377" s="175"/>
      <c r="G377" s="176"/>
      <c r="H377" s="177"/>
      <c r="I377" s="178"/>
      <c r="J377" s="179" t="str">
        <f t="shared" ref="J377:J440" si="20">IF(H377 &gt; 0, I377 / H377, "")</f>
        <v/>
      </c>
      <c r="K377" s="180"/>
      <c r="L377" s="181">
        <f t="shared" ref="L377:L440" si="21">MAX(0, H377 - K377)</f>
        <v>0</v>
      </c>
      <c r="M377" s="229" t="str">
        <f t="shared" si="19"/>
        <v/>
      </c>
      <c r="N377" s="232"/>
    </row>
    <row r="378" spans="1:14" ht="15" thickBot="1">
      <c r="A378" s="170"/>
      <c r="B378" s="171"/>
      <c r="C378" s="172"/>
      <c r="D378" s="173"/>
      <c r="E378" s="174"/>
      <c r="F378" s="175"/>
      <c r="G378" s="176"/>
      <c r="H378" s="177"/>
      <c r="I378" s="178"/>
      <c r="J378" s="179" t="str">
        <f t="shared" si="20"/>
        <v/>
      </c>
      <c r="K378" s="180"/>
      <c r="L378" s="181">
        <f t="shared" si="21"/>
        <v>0</v>
      </c>
      <c r="M378" s="229" t="str">
        <f t="shared" si="19"/>
        <v/>
      </c>
      <c r="N378" s="232"/>
    </row>
    <row r="379" spans="1:14" ht="15" thickBot="1">
      <c r="A379" s="170"/>
      <c r="B379" s="171"/>
      <c r="C379" s="172"/>
      <c r="D379" s="173"/>
      <c r="E379" s="174"/>
      <c r="F379" s="175"/>
      <c r="G379" s="176"/>
      <c r="H379" s="177"/>
      <c r="I379" s="178"/>
      <c r="J379" s="179" t="str">
        <f t="shared" si="20"/>
        <v/>
      </c>
      <c r="K379" s="180"/>
      <c r="L379" s="181">
        <f t="shared" si="21"/>
        <v>0</v>
      </c>
      <c r="M379" s="229" t="str">
        <f t="shared" si="19"/>
        <v/>
      </c>
      <c r="N379" s="232"/>
    </row>
    <row r="380" spans="1:14" ht="15" thickBot="1">
      <c r="A380" s="170"/>
      <c r="B380" s="171"/>
      <c r="C380" s="172"/>
      <c r="D380" s="173"/>
      <c r="E380" s="174"/>
      <c r="F380" s="175"/>
      <c r="G380" s="176"/>
      <c r="H380" s="177"/>
      <c r="I380" s="178"/>
      <c r="J380" s="179" t="str">
        <f t="shared" si="20"/>
        <v/>
      </c>
      <c r="K380" s="180"/>
      <c r="L380" s="181">
        <f t="shared" si="21"/>
        <v>0</v>
      </c>
      <c r="M380" s="229" t="str">
        <f t="shared" si="19"/>
        <v/>
      </c>
      <c r="N380" s="232"/>
    </row>
    <row r="381" spans="1:14" ht="15" thickBot="1">
      <c r="A381" s="170"/>
      <c r="B381" s="171"/>
      <c r="C381" s="172"/>
      <c r="D381" s="173"/>
      <c r="E381" s="174"/>
      <c r="F381" s="175"/>
      <c r="G381" s="176"/>
      <c r="H381" s="177"/>
      <c r="I381" s="178"/>
      <c r="J381" s="179" t="str">
        <f t="shared" si="20"/>
        <v/>
      </c>
      <c r="K381" s="180"/>
      <c r="L381" s="181">
        <f t="shared" si="21"/>
        <v>0</v>
      </c>
      <c r="M381" s="229" t="str">
        <f t="shared" si="19"/>
        <v/>
      </c>
      <c r="N381" s="232"/>
    </row>
    <row r="382" spans="1:14" ht="15" thickBot="1">
      <c r="A382" s="170"/>
      <c r="B382" s="171"/>
      <c r="C382" s="172"/>
      <c r="D382" s="173"/>
      <c r="E382" s="174"/>
      <c r="F382" s="175"/>
      <c r="G382" s="176"/>
      <c r="H382" s="177"/>
      <c r="I382" s="178"/>
      <c r="J382" s="179" t="str">
        <f t="shared" si="20"/>
        <v/>
      </c>
      <c r="K382" s="180"/>
      <c r="L382" s="181">
        <f t="shared" si="21"/>
        <v>0</v>
      </c>
      <c r="M382" s="229" t="str">
        <f t="shared" si="19"/>
        <v/>
      </c>
      <c r="N382" s="232"/>
    </row>
    <row r="383" spans="1:14" ht="15" thickBot="1">
      <c r="A383" s="170"/>
      <c r="B383" s="171"/>
      <c r="C383" s="172"/>
      <c r="D383" s="173"/>
      <c r="E383" s="174"/>
      <c r="F383" s="175"/>
      <c r="G383" s="176"/>
      <c r="H383" s="177"/>
      <c r="I383" s="178"/>
      <c r="J383" s="179" t="str">
        <f t="shared" si="20"/>
        <v/>
      </c>
      <c r="K383" s="180"/>
      <c r="L383" s="181">
        <f t="shared" si="21"/>
        <v>0</v>
      </c>
      <c r="M383" s="229" t="str">
        <f t="shared" si="19"/>
        <v/>
      </c>
      <c r="N383" s="232"/>
    </row>
    <row r="384" spans="1:14" ht="15" thickBot="1">
      <c r="A384" s="170"/>
      <c r="B384" s="171"/>
      <c r="C384" s="172"/>
      <c r="D384" s="173"/>
      <c r="E384" s="174"/>
      <c r="F384" s="175"/>
      <c r="G384" s="176"/>
      <c r="H384" s="177"/>
      <c r="I384" s="178"/>
      <c r="J384" s="179" t="str">
        <f t="shared" si="20"/>
        <v/>
      </c>
      <c r="K384" s="180"/>
      <c r="L384" s="181">
        <f t="shared" si="21"/>
        <v>0</v>
      </c>
      <c r="M384" s="229" t="str">
        <f t="shared" si="19"/>
        <v/>
      </c>
      <c r="N384" s="232"/>
    </row>
    <row r="385" spans="1:14" ht="15" thickBot="1">
      <c r="A385" s="170"/>
      <c r="B385" s="171"/>
      <c r="C385" s="172"/>
      <c r="D385" s="173"/>
      <c r="E385" s="174"/>
      <c r="F385" s="175"/>
      <c r="G385" s="176"/>
      <c r="H385" s="177"/>
      <c r="I385" s="178"/>
      <c r="J385" s="179" t="str">
        <f t="shared" si="20"/>
        <v/>
      </c>
      <c r="K385" s="180"/>
      <c r="L385" s="181">
        <f t="shared" si="21"/>
        <v>0</v>
      </c>
      <c r="M385" s="229" t="str">
        <f t="shared" si="19"/>
        <v/>
      </c>
      <c r="N385" s="232"/>
    </row>
    <row r="386" spans="1:14" ht="15" thickBot="1">
      <c r="A386" s="170"/>
      <c r="B386" s="171"/>
      <c r="C386" s="172"/>
      <c r="D386" s="173"/>
      <c r="E386" s="174"/>
      <c r="F386" s="175"/>
      <c r="G386" s="176"/>
      <c r="H386" s="177"/>
      <c r="I386" s="178"/>
      <c r="J386" s="179" t="str">
        <f t="shared" si="20"/>
        <v/>
      </c>
      <c r="K386" s="180"/>
      <c r="L386" s="181">
        <f t="shared" si="21"/>
        <v>0</v>
      </c>
      <c r="M386" s="229" t="str">
        <f t="shared" si="19"/>
        <v/>
      </c>
      <c r="N386" s="232"/>
    </row>
    <row r="387" spans="1:14" ht="15" thickBot="1">
      <c r="A387" s="170"/>
      <c r="B387" s="171"/>
      <c r="C387" s="172"/>
      <c r="D387" s="173"/>
      <c r="E387" s="174"/>
      <c r="F387" s="175"/>
      <c r="G387" s="176"/>
      <c r="H387" s="177"/>
      <c r="I387" s="178"/>
      <c r="J387" s="179" t="str">
        <f t="shared" si="20"/>
        <v/>
      </c>
      <c r="K387" s="180"/>
      <c r="L387" s="181">
        <f t="shared" si="21"/>
        <v>0</v>
      </c>
      <c r="M387" s="229" t="str">
        <f t="shared" si="19"/>
        <v/>
      </c>
      <c r="N387" s="232"/>
    </row>
    <row r="388" spans="1:14" ht="15" thickBot="1">
      <c r="A388" s="170"/>
      <c r="B388" s="171"/>
      <c r="C388" s="172"/>
      <c r="D388" s="173"/>
      <c r="E388" s="174"/>
      <c r="F388" s="175"/>
      <c r="G388" s="176"/>
      <c r="H388" s="177"/>
      <c r="I388" s="178"/>
      <c r="J388" s="179" t="str">
        <f t="shared" si="20"/>
        <v/>
      </c>
      <c r="K388" s="180"/>
      <c r="L388" s="181">
        <f t="shared" si="21"/>
        <v>0</v>
      </c>
      <c r="M388" s="229" t="str">
        <f t="shared" si="19"/>
        <v/>
      </c>
      <c r="N388" s="232"/>
    </row>
    <row r="389" spans="1:14" ht="15" thickBot="1">
      <c r="A389" s="170"/>
      <c r="B389" s="171"/>
      <c r="C389" s="172"/>
      <c r="D389" s="173"/>
      <c r="E389" s="174"/>
      <c r="F389" s="175"/>
      <c r="G389" s="176"/>
      <c r="H389" s="177"/>
      <c r="I389" s="178"/>
      <c r="J389" s="179" t="str">
        <f t="shared" si="20"/>
        <v/>
      </c>
      <c r="K389" s="180"/>
      <c r="L389" s="181">
        <f t="shared" si="21"/>
        <v>0</v>
      </c>
      <c r="M389" s="229" t="str">
        <f t="shared" si="19"/>
        <v/>
      </c>
      <c r="N389" s="232"/>
    </row>
    <row r="390" spans="1:14" ht="15" thickBot="1">
      <c r="A390" s="170"/>
      <c r="B390" s="171"/>
      <c r="C390" s="172"/>
      <c r="D390" s="173"/>
      <c r="E390" s="174"/>
      <c r="F390" s="175"/>
      <c r="G390" s="176"/>
      <c r="H390" s="177"/>
      <c r="I390" s="178"/>
      <c r="J390" s="179" t="str">
        <f t="shared" si="20"/>
        <v/>
      </c>
      <c r="K390" s="180"/>
      <c r="L390" s="181">
        <f t="shared" si="21"/>
        <v>0</v>
      </c>
      <c r="M390" s="229" t="str">
        <f t="shared" si="19"/>
        <v/>
      </c>
      <c r="N390" s="232"/>
    </row>
    <row r="391" spans="1:14" ht="15" thickBot="1">
      <c r="A391" s="170"/>
      <c r="B391" s="171"/>
      <c r="C391" s="172"/>
      <c r="D391" s="173"/>
      <c r="E391" s="174"/>
      <c r="F391" s="175"/>
      <c r="G391" s="176"/>
      <c r="H391" s="177"/>
      <c r="I391" s="178"/>
      <c r="J391" s="179" t="str">
        <f t="shared" si="20"/>
        <v/>
      </c>
      <c r="K391" s="180"/>
      <c r="L391" s="181">
        <f t="shared" si="21"/>
        <v>0</v>
      </c>
      <c r="M391" s="229" t="str">
        <f t="shared" si="19"/>
        <v/>
      </c>
      <c r="N391" s="232"/>
    </row>
    <row r="392" spans="1:14" ht="15" thickBot="1">
      <c r="A392" s="170"/>
      <c r="B392" s="171"/>
      <c r="C392" s="172"/>
      <c r="D392" s="173"/>
      <c r="E392" s="174"/>
      <c r="F392" s="175"/>
      <c r="G392" s="176"/>
      <c r="H392" s="177"/>
      <c r="I392" s="178"/>
      <c r="J392" s="179" t="str">
        <f t="shared" si="20"/>
        <v/>
      </c>
      <c r="K392" s="180"/>
      <c r="L392" s="181">
        <f t="shared" si="21"/>
        <v>0</v>
      </c>
      <c r="M392" s="229" t="str">
        <f t="shared" si="19"/>
        <v/>
      </c>
      <c r="N392" s="232"/>
    </row>
    <row r="393" spans="1:14" ht="15" thickBot="1">
      <c r="A393" s="170"/>
      <c r="B393" s="171"/>
      <c r="C393" s="172"/>
      <c r="D393" s="173"/>
      <c r="E393" s="174"/>
      <c r="F393" s="175"/>
      <c r="G393" s="176"/>
      <c r="H393" s="177"/>
      <c r="I393" s="178"/>
      <c r="J393" s="179" t="str">
        <f t="shared" si="20"/>
        <v/>
      </c>
      <c r="K393" s="180"/>
      <c r="L393" s="181">
        <f t="shared" si="21"/>
        <v>0</v>
      </c>
      <c r="M393" s="229" t="str">
        <f t="shared" si="19"/>
        <v/>
      </c>
      <c r="N393" s="232"/>
    </row>
    <row r="394" spans="1:14" ht="15" thickBot="1">
      <c r="A394" s="170"/>
      <c r="B394" s="171"/>
      <c r="C394" s="172"/>
      <c r="D394" s="173"/>
      <c r="E394" s="174"/>
      <c r="F394" s="175"/>
      <c r="G394" s="176"/>
      <c r="H394" s="177"/>
      <c r="I394" s="178"/>
      <c r="J394" s="179" t="str">
        <f t="shared" si="20"/>
        <v/>
      </c>
      <c r="K394" s="180"/>
      <c r="L394" s="181">
        <f t="shared" si="21"/>
        <v>0</v>
      </c>
      <c r="M394" s="229" t="str">
        <f t="shared" si="19"/>
        <v/>
      </c>
      <c r="N394" s="232"/>
    </row>
    <row r="395" spans="1:14" ht="15" thickBot="1">
      <c r="A395" s="170"/>
      <c r="B395" s="171"/>
      <c r="C395" s="172"/>
      <c r="D395" s="173"/>
      <c r="E395" s="174"/>
      <c r="F395" s="175"/>
      <c r="G395" s="176"/>
      <c r="H395" s="177"/>
      <c r="I395" s="178"/>
      <c r="J395" s="179" t="str">
        <f t="shared" si="20"/>
        <v/>
      </c>
      <c r="K395" s="180"/>
      <c r="L395" s="181">
        <f t="shared" si="21"/>
        <v>0</v>
      </c>
      <c r="M395" s="229" t="str">
        <f t="shared" si="19"/>
        <v/>
      </c>
      <c r="N395" s="232"/>
    </row>
    <row r="396" spans="1:14" ht="15" thickBot="1">
      <c r="A396" s="170"/>
      <c r="B396" s="171"/>
      <c r="C396" s="172"/>
      <c r="D396" s="173"/>
      <c r="E396" s="174"/>
      <c r="F396" s="175"/>
      <c r="G396" s="176"/>
      <c r="H396" s="177"/>
      <c r="I396" s="178"/>
      <c r="J396" s="179" t="str">
        <f t="shared" si="20"/>
        <v/>
      </c>
      <c r="K396" s="180"/>
      <c r="L396" s="181">
        <f t="shared" si="21"/>
        <v>0</v>
      </c>
      <c r="M396" s="229" t="str">
        <f t="shared" si="19"/>
        <v/>
      </c>
      <c r="N396" s="232"/>
    </row>
    <row r="397" spans="1:14" ht="15" thickBot="1">
      <c r="A397" s="170"/>
      <c r="B397" s="171"/>
      <c r="C397" s="172"/>
      <c r="D397" s="173"/>
      <c r="E397" s="174"/>
      <c r="F397" s="175"/>
      <c r="G397" s="176"/>
      <c r="H397" s="177"/>
      <c r="I397" s="178"/>
      <c r="J397" s="179" t="str">
        <f t="shared" si="20"/>
        <v/>
      </c>
      <c r="K397" s="180"/>
      <c r="L397" s="181">
        <f t="shared" si="21"/>
        <v>0</v>
      </c>
      <c r="M397" s="229" t="str">
        <f t="shared" si="19"/>
        <v/>
      </c>
      <c r="N397" s="232"/>
    </row>
    <row r="398" spans="1:14" ht="15" thickBot="1">
      <c r="A398" s="170"/>
      <c r="B398" s="171"/>
      <c r="C398" s="172"/>
      <c r="D398" s="173"/>
      <c r="E398" s="174"/>
      <c r="F398" s="175"/>
      <c r="G398" s="176"/>
      <c r="H398" s="177"/>
      <c r="I398" s="178"/>
      <c r="J398" s="179" t="str">
        <f t="shared" si="20"/>
        <v/>
      </c>
      <c r="K398" s="180"/>
      <c r="L398" s="181">
        <f t="shared" si="21"/>
        <v>0</v>
      </c>
      <c r="M398" s="229" t="str">
        <f t="shared" ref="M398:M461" si="22">IF(J398 &lt;&gt; "", J398 * L398, "")</f>
        <v/>
      </c>
      <c r="N398" s="232"/>
    </row>
    <row r="399" spans="1:14" ht="15" thickBot="1">
      <c r="A399" s="170"/>
      <c r="B399" s="171"/>
      <c r="C399" s="172"/>
      <c r="D399" s="173"/>
      <c r="E399" s="174"/>
      <c r="F399" s="175"/>
      <c r="G399" s="176"/>
      <c r="H399" s="177"/>
      <c r="I399" s="178"/>
      <c r="J399" s="179" t="str">
        <f t="shared" si="20"/>
        <v/>
      </c>
      <c r="K399" s="180"/>
      <c r="L399" s="181">
        <f t="shared" si="21"/>
        <v>0</v>
      </c>
      <c r="M399" s="229" t="str">
        <f t="shared" si="22"/>
        <v/>
      </c>
      <c r="N399" s="232"/>
    </row>
    <row r="400" spans="1:14" ht="15" thickBot="1">
      <c r="A400" s="170"/>
      <c r="B400" s="171"/>
      <c r="C400" s="172"/>
      <c r="D400" s="173"/>
      <c r="E400" s="174"/>
      <c r="F400" s="175"/>
      <c r="G400" s="176"/>
      <c r="H400" s="177"/>
      <c r="I400" s="178"/>
      <c r="J400" s="179" t="str">
        <f t="shared" si="20"/>
        <v/>
      </c>
      <c r="K400" s="180"/>
      <c r="L400" s="181">
        <f t="shared" si="21"/>
        <v>0</v>
      </c>
      <c r="M400" s="229" t="str">
        <f t="shared" si="22"/>
        <v/>
      </c>
      <c r="N400" s="232"/>
    </row>
    <row r="401" spans="1:14" ht="15" thickBot="1">
      <c r="A401" s="170"/>
      <c r="B401" s="171"/>
      <c r="C401" s="172"/>
      <c r="D401" s="173"/>
      <c r="E401" s="174"/>
      <c r="F401" s="175"/>
      <c r="G401" s="176"/>
      <c r="H401" s="177"/>
      <c r="I401" s="178"/>
      <c r="J401" s="179" t="str">
        <f t="shared" si="20"/>
        <v/>
      </c>
      <c r="K401" s="180"/>
      <c r="L401" s="181">
        <f t="shared" si="21"/>
        <v>0</v>
      </c>
      <c r="M401" s="229" t="str">
        <f t="shared" si="22"/>
        <v/>
      </c>
      <c r="N401" s="232"/>
    </row>
    <row r="402" spans="1:14" ht="15" thickBot="1">
      <c r="A402" s="170"/>
      <c r="B402" s="171"/>
      <c r="C402" s="172"/>
      <c r="D402" s="173"/>
      <c r="E402" s="174"/>
      <c r="F402" s="175"/>
      <c r="G402" s="176"/>
      <c r="H402" s="177"/>
      <c r="I402" s="178"/>
      <c r="J402" s="179" t="str">
        <f t="shared" si="20"/>
        <v/>
      </c>
      <c r="K402" s="180"/>
      <c r="L402" s="181">
        <f t="shared" si="21"/>
        <v>0</v>
      </c>
      <c r="M402" s="229" t="str">
        <f t="shared" si="22"/>
        <v/>
      </c>
      <c r="N402" s="232"/>
    </row>
    <row r="403" spans="1:14" ht="15" thickBot="1">
      <c r="A403" s="170"/>
      <c r="B403" s="171"/>
      <c r="C403" s="172"/>
      <c r="D403" s="173"/>
      <c r="E403" s="174"/>
      <c r="F403" s="175"/>
      <c r="G403" s="176"/>
      <c r="H403" s="177"/>
      <c r="I403" s="178"/>
      <c r="J403" s="179" t="str">
        <f t="shared" si="20"/>
        <v/>
      </c>
      <c r="K403" s="180"/>
      <c r="L403" s="181">
        <f t="shared" si="21"/>
        <v>0</v>
      </c>
      <c r="M403" s="229" t="str">
        <f t="shared" si="22"/>
        <v/>
      </c>
      <c r="N403" s="232"/>
    </row>
    <row r="404" spans="1:14" ht="15" thickBot="1">
      <c r="A404" s="170"/>
      <c r="B404" s="171"/>
      <c r="C404" s="172"/>
      <c r="D404" s="173"/>
      <c r="E404" s="174"/>
      <c r="F404" s="175"/>
      <c r="G404" s="176"/>
      <c r="H404" s="177"/>
      <c r="I404" s="178"/>
      <c r="J404" s="179" t="str">
        <f t="shared" si="20"/>
        <v/>
      </c>
      <c r="K404" s="180"/>
      <c r="L404" s="181">
        <f t="shared" si="21"/>
        <v>0</v>
      </c>
      <c r="M404" s="229" t="str">
        <f t="shared" si="22"/>
        <v/>
      </c>
      <c r="N404" s="232"/>
    </row>
    <row r="405" spans="1:14" ht="15" thickBot="1">
      <c r="A405" s="170"/>
      <c r="B405" s="171"/>
      <c r="C405" s="172"/>
      <c r="D405" s="173"/>
      <c r="E405" s="174"/>
      <c r="F405" s="175"/>
      <c r="G405" s="176"/>
      <c r="H405" s="177"/>
      <c r="I405" s="178"/>
      <c r="J405" s="179" t="str">
        <f t="shared" si="20"/>
        <v/>
      </c>
      <c r="K405" s="180"/>
      <c r="L405" s="181">
        <f t="shared" si="21"/>
        <v>0</v>
      </c>
      <c r="M405" s="229" t="str">
        <f t="shared" si="22"/>
        <v/>
      </c>
      <c r="N405" s="232"/>
    </row>
    <row r="406" spans="1:14" ht="15" thickBot="1">
      <c r="A406" s="170"/>
      <c r="B406" s="171"/>
      <c r="C406" s="172"/>
      <c r="D406" s="173"/>
      <c r="E406" s="174"/>
      <c r="F406" s="175"/>
      <c r="G406" s="176"/>
      <c r="H406" s="177"/>
      <c r="I406" s="178"/>
      <c r="J406" s="179" t="str">
        <f t="shared" si="20"/>
        <v/>
      </c>
      <c r="K406" s="180"/>
      <c r="L406" s="181">
        <f t="shared" si="21"/>
        <v>0</v>
      </c>
      <c r="M406" s="229" t="str">
        <f t="shared" si="22"/>
        <v/>
      </c>
      <c r="N406" s="232"/>
    </row>
    <row r="407" spans="1:14" ht="15" thickBot="1">
      <c r="A407" s="170"/>
      <c r="B407" s="171"/>
      <c r="C407" s="172"/>
      <c r="D407" s="173"/>
      <c r="E407" s="174"/>
      <c r="F407" s="175"/>
      <c r="G407" s="176"/>
      <c r="H407" s="177"/>
      <c r="I407" s="178"/>
      <c r="J407" s="179" t="str">
        <f t="shared" si="20"/>
        <v/>
      </c>
      <c r="K407" s="180"/>
      <c r="L407" s="181">
        <f t="shared" si="21"/>
        <v>0</v>
      </c>
      <c r="M407" s="229" t="str">
        <f t="shared" si="22"/>
        <v/>
      </c>
      <c r="N407" s="232"/>
    </row>
    <row r="408" spans="1:14" ht="15" thickBot="1">
      <c r="A408" s="170"/>
      <c r="B408" s="171"/>
      <c r="C408" s="172"/>
      <c r="D408" s="173"/>
      <c r="E408" s="174"/>
      <c r="F408" s="175"/>
      <c r="G408" s="176"/>
      <c r="H408" s="177"/>
      <c r="I408" s="178"/>
      <c r="J408" s="179" t="str">
        <f t="shared" si="20"/>
        <v/>
      </c>
      <c r="K408" s="180"/>
      <c r="L408" s="181">
        <f t="shared" si="21"/>
        <v>0</v>
      </c>
      <c r="M408" s="229" t="str">
        <f t="shared" si="22"/>
        <v/>
      </c>
      <c r="N408" s="232"/>
    </row>
    <row r="409" spans="1:14" ht="15" thickBot="1">
      <c r="A409" s="170"/>
      <c r="B409" s="171"/>
      <c r="C409" s="172"/>
      <c r="D409" s="173"/>
      <c r="E409" s="174"/>
      <c r="F409" s="175"/>
      <c r="G409" s="176"/>
      <c r="H409" s="177"/>
      <c r="I409" s="178"/>
      <c r="J409" s="179" t="str">
        <f t="shared" si="20"/>
        <v/>
      </c>
      <c r="K409" s="180"/>
      <c r="L409" s="181">
        <f t="shared" si="21"/>
        <v>0</v>
      </c>
      <c r="M409" s="229" t="str">
        <f t="shared" si="22"/>
        <v/>
      </c>
      <c r="N409" s="232"/>
    </row>
    <row r="410" spans="1:14" ht="15" thickBot="1">
      <c r="A410" s="170"/>
      <c r="B410" s="171"/>
      <c r="C410" s="172"/>
      <c r="D410" s="173"/>
      <c r="E410" s="174"/>
      <c r="F410" s="175"/>
      <c r="G410" s="176"/>
      <c r="H410" s="177"/>
      <c r="I410" s="178"/>
      <c r="J410" s="179" t="str">
        <f t="shared" si="20"/>
        <v/>
      </c>
      <c r="K410" s="180"/>
      <c r="L410" s="181">
        <f t="shared" si="21"/>
        <v>0</v>
      </c>
      <c r="M410" s="229" t="str">
        <f t="shared" si="22"/>
        <v/>
      </c>
      <c r="N410" s="232"/>
    </row>
    <row r="411" spans="1:14" ht="15" thickBot="1">
      <c r="A411" s="170"/>
      <c r="B411" s="171"/>
      <c r="C411" s="172"/>
      <c r="D411" s="173"/>
      <c r="E411" s="174"/>
      <c r="F411" s="175"/>
      <c r="G411" s="176"/>
      <c r="H411" s="177"/>
      <c r="I411" s="178"/>
      <c r="J411" s="179" t="str">
        <f t="shared" si="20"/>
        <v/>
      </c>
      <c r="K411" s="180"/>
      <c r="L411" s="181">
        <f t="shared" si="21"/>
        <v>0</v>
      </c>
      <c r="M411" s="229" t="str">
        <f t="shared" si="22"/>
        <v/>
      </c>
      <c r="N411" s="232"/>
    </row>
    <row r="412" spans="1:14" ht="15" thickBot="1">
      <c r="A412" s="170"/>
      <c r="B412" s="171"/>
      <c r="C412" s="172"/>
      <c r="D412" s="173"/>
      <c r="E412" s="174"/>
      <c r="F412" s="175"/>
      <c r="G412" s="176"/>
      <c r="H412" s="177"/>
      <c r="I412" s="178"/>
      <c r="J412" s="179" t="str">
        <f t="shared" si="20"/>
        <v/>
      </c>
      <c r="K412" s="180"/>
      <c r="L412" s="181">
        <f t="shared" si="21"/>
        <v>0</v>
      </c>
      <c r="M412" s="229" t="str">
        <f t="shared" si="22"/>
        <v/>
      </c>
      <c r="N412" s="232"/>
    </row>
    <row r="413" spans="1:14" ht="15" thickBot="1">
      <c r="A413" s="170"/>
      <c r="B413" s="171"/>
      <c r="C413" s="172"/>
      <c r="D413" s="173"/>
      <c r="E413" s="174"/>
      <c r="F413" s="175"/>
      <c r="G413" s="176"/>
      <c r="H413" s="177"/>
      <c r="I413" s="178"/>
      <c r="J413" s="179" t="str">
        <f t="shared" si="20"/>
        <v/>
      </c>
      <c r="K413" s="180"/>
      <c r="L413" s="181">
        <f t="shared" si="21"/>
        <v>0</v>
      </c>
      <c r="M413" s="229" t="str">
        <f t="shared" si="22"/>
        <v/>
      </c>
      <c r="N413" s="232"/>
    </row>
    <row r="414" spans="1:14" ht="15" thickBot="1">
      <c r="A414" s="170"/>
      <c r="B414" s="171"/>
      <c r="C414" s="172"/>
      <c r="D414" s="173"/>
      <c r="E414" s="174"/>
      <c r="F414" s="175"/>
      <c r="G414" s="176"/>
      <c r="H414" s="177"/>
      <c r="I414" s="178"/>
      <c r="J414" s="179" t="str">
        <f t="shared" si="20"/>
        <v/>
      </c>
      <c r="K414" s="180"/>
      <c r="L414" s="181">
        <f t="shared" si="21"/>
        <v>0</v>
      </c>
      <c r="M414" s="229" t="str">
        <f t="shared" si="22"/>
        <v/>
      </c>
      <c r="N414" s="232"/>
    </row>
    <row r="415" spans="1:14" ht="15" thickBot="1">
      <c r="A415" s="170"/>
      <c r="B415" s="171"/>
      <c r="C415" s="172"/>
      <c r="D415" s="173"/>
      <c r="E415" s="174"/>
      <c r="F415" s="175"/>
      <c r="G415" s="176"/>
      <c r="H415" s="177"/>
      <c r="I415" s="178"/>
      <c r="J415" s="179" t="str">
        <f t="shared" si="20"/>
        <v/>
      </c>
      <c r="K415" s="180"/>
      <c r="L415" s="181">
        <f t="shared" si="21"/>
        <v>0</v>
      </c>
      <c r="M415" s="229" t="str">
        <f t="shared" si="22"/>
        <v/>
      </c>
      <c r="N415" s="232"/>
    </row>
    <row r="416" spans="1:14" ht="15" thickBot="1">
      <c r="A416" s="170"/>
      <c r="B416" s="171"/>
      <c r="C416" s="172"/>
      <c r="D416" s="173"/>
      <c r="E416" s="174"/>
      <c r="F416" s="175"/>
      <c r="G416" s="176"/>
      <c r="H416" s="177"/>
      <c r="I416" s="178"/>
      <c r="J416" s="179" t="str">
        <f t="shared" si="20"/>
        <v/>
      </c>
      <c r="K416" s="180"/>
      <c r="L416" s="181">
        <f t="shared" si="21"/>
        <v>0</v>
      </c>
      <c r="M416" s="229" t="str">
        <f t="shared" si="22"/>
        <v/>
      </c>
      <c r="N416" s="232"/>
    </row>
    <row r="417" spans="1:14" ht="15" thickBot="1">
      <c r="A417" s="170"/>
      <c r="B417" s="171"/>
      <c r="C417" s="172"/>
      <c r="D417" s="173"/>
      <c r="E417" s="174"/>
      <c r="F417" s="175"/>
      <c r="G417" s="176"/>
      <c r="H417" s="177"/>
      <c r="I417" s="178"/>
      <c r="J417" s="179" t="str">
        <f t="shared" si="20"/>
        <v/>
      </c>
      <c r="K417" s="180"/>
      <c r="L417" s="181">
        <f t="shared" si="21"/>
        <v>0</v>
      </c>
      <c r="M417" s="229" t="str">
        <f t="shared" si="22"/>
        <v/>
      </c>
      <c r="N417" s="232"/>
    </row>
    <row r="418" spans="1:14" ht="15" thickBot="1">
      <c r="A418" s="170"/>
      <c r="B418" s="171"/>
      <c r="C418" s="172"/>
      <c r="D418" s="173"/>
      <c r="E418" s="174"/>
      <c r="F418" s="175"/>
      <c r="G418" s="176"/>
      <c r="H418" s="177"/>
      <c r="I418" s="178"/>
      <c r="J418" s="179" t="str">
        <f t="shared" si="20"/>
        <v/>
      </c>
      <c r="K418" s="180"/>
      <c r="L418" s="181">
        <f t="shared" si="21"/>
        <v>0</v>
      </c>
      <c r="M418" s="229" t="str">
        <f t="shared" si="22"/>
        <v/>
      </c>
      <c r="N418" s="232"/>
    </row>
    <row r="419" spans="1:14" ht="15" thickBot="1">
      <c r="A419" s="170"/>
      <c r="B419" s="171"/>
      <c r="C419" s="172"/>
      <c r="D419" s="173"/>
      <c r="E419" s="174"/>
      <c r="F419" s="175"/>
      <c r="G419" s="176"/>
      <c r="H419" s="177"/>
      <c r="I419" s="178"/>
      <c r="J419" s="179" t="str">
        <f t="shared" si="20"/>
        <v/>
      </c>
      <c r="K419" s="180"/>
      <c r="L419" s="181">
        <f t="shared" si="21"/>
        <v>0</v>
      </c>
      <c r="M419" s="229" t="str">
        <f t="shared" si="22"/>
        <v/>
      </c>
      <c r="N419" s="232"/>
    </row>
    <row r="420" spans="1:14" ht="15" thickBot="1">
      <c r="A420" s="170"/>
      <c r="B420" s="171"/>
      <c r="C420" s="172"/>
      <c r="D420" s="173"/>
      <c r="E420" s="174"/>
      <c r="F420" s="175"/>
      <c r="G420" s="176"/>
      <c r="H420" s="177"/>
      <c r="I420" s="178"/>
      <c r="J420" s="179" t="str">
        <f t="shared" si="20"/>
        <v/>
      </c>
      <c r="K420" s="180"/>
      <c r="L420" s="181">
        <f t="shared" si="21"/>
        <v>0</v>
      </c>
      <c r="M420" s="229" t="str">
        <f t="shared" si="22"/>
        <v/>
      </c>
      <c r="N420" s="232"/>
    </row>
    <row r="421" spans="1:14" ht="15" thickBot="1">
      <c r="A421" s="170"/>
      <c r="B421" s="171"/>
      <c r="C421" s="172"/>
      <c r="D421" s="173"/>
      <c r="E421" s="174"/>
      <c r="F421" s="175"/>
      <c r="G421" s="176"/>
      <c r="H421" s="177"/>
      <c r="I421" s="178"/>
      <c r="J421" s="179" t="str">
        <f t="shared" si="20"/>
        <v/>
      </c>
      <c r="K421" s="180"/>
      <c r="L421" s="181">
        <f t="shared" si="21"/>
        <v>0</v>
      </c>
      <c r="M421" s="229" t="str">
        <f t="shared" si="22"/>
        <v/>
      </c>
      <c r="N421" s="232"/>
    </row>
    <row r="422" spans="1:14" ht="15" thickBot="1">
      <c r="A422" s="170"/>
      <c r="B422" s="171"/>
      <c r="C422" s="172"/>
      <c r="D422" s="173"/>
      <c r="E422" s="174"/>
      <c r="F422" s="175"/>
      <c r="G422" s="176"/>
      <c r="H422" s="177"/>
      <c r="I422" s="178"/>
      <c r="J422" s="179" t="str">
        <f t="shared" si="20"/>
        <v/>
      </c>
      <c r="K422" s="180"/>
      <c r="L422" s="181">
        <f t="shared" si="21"/>
        <v>0</v>
      </c>
      <c r="M422" s="229" t="str">
        <f t="shared" si="22"/>
        <v/>
      </c>
      <c r="N422" s="232"/>
    </row>
    <row r="423" spans="1:14" ht="15" thickBot="1">
      <c r="A423" s="170"/>
      <c r="B423" s="171"/>
      <c r="C423" s="172"/>
      <c r="D423" s="173"/>
      <c r="E423" s="174"/>
      <c r="F423" s="175"/>
      <c r="G423" s="176"/>
      <c r="H423" s="177"/>
      <c r="I423" s="178"/>
      <c r="J423" s="179" t="str">
        <f t="shared" si="20"/>
        <v/>
      </c>
      <c r="K423" s="180"/>
      <c r="L423" s="181">
        <f t="shared" si="21"/>
        <v>0</v>
      </c>
      <c r="M423" s="229" t="str">
        <f t="shared" si="22"/>
        <v/>
      </c>
      <c r="N423" s="232"/>
    </row>
    <row r="424" spans="1:14" ht="15" thickBot="1">
      <c r="A424" s="170"/>
      <c r="B424" s="171"/>
      <c r="C424" s="172"/>
      <c r="D424" s="173"/>
      <c r="E424" s="174"/>
      <c r="F424" s="175"/>
      <c r="G424" s="176"/>
      <c r="H424" s="177"/>
      <c r="I424" s="178"/>
      <c r="J424" s="179" t="str">
        <f t="shared" si="20"/>
        <v/>
      </c>
      <c r="K424" s="180"/>
      <c r="L424" s="181">
        <f t="shared" si="21"/>
        <v>0</v>
      </c>
      <c r="M424" s="229" t="str">
        <f t="shared" si="22"/>
        <v/>
      </c>
      <c r="N424" s="232"/>
    </row>
    <row r="425" spans="1:14" ht="15" thickBot="1">
      <c r="A425" s="170"/>
      <c r="B425" s="171"/>
      <c r="C425" s="172"/>
      <c r="D425" s="173"/>
      <c r="E425" s="174"/>
      <c r="F425" s="175"/>
      <c r="G425" s="176"/>
      <c r="H425" s="177"/>
      <c r="I425" s="178"/>
      <c r="J425" s="179" t="str">
        <f t="shared" si="20"/>
        <v/>
      </c>
      <c r="K425" s="180"/>
      <c r="L425" s="181">
        <f t="shared" si="21"/>
        <v>0</v>
      </c>
      <c r="M425" s="229" t="str">
        <f t="shared" si="22"/>
        <v/>
      </c>
      <c r="N425" s="232"/>
    </row>
    <row r="426" spans="1:14" ht="15" thickBot="1">
      <c r="A426" s="170"/>
      <c r="B426" s="171"/>
      <c r="C426" s="172"/>
      <c r="D426" s="173"/>
      <c r="E426" s="174"/>
      <c r="F426" s="175"/>
      <c r="G426" s="176"/>
      <c r="H426" s="177"/>
      <c r="I426" s="178"/>
      <c r="J426" s="179" t="str">
        <f t="shared" si="20"/>
        <v/>
      </c>
      <c r="K426" s="180"/>
      <c r="L426" s="181">
        <f t="shared" si="21"/>
        <v>0</v>
      </c>
      <c r="M426" s="229" t="str">
        <f t="shared" si="22"/>
        <v/>
      </c>
      <c r="N426" s="232"/>
    </row>
    <row r="427" spans="1:14" ht="15" thickBot="1">
      <c r="A427" s="170"/>
      <c r="B427" s="171"/>
      <c r="C427" s="172"/>
      <c r="D427" s="173"/>
      <c r="E427" s="174"/>
      <c r="F427" s="175"/>
      <c r="G427" s="176"/>
      <c r="H427" s="177"/>
      <c r="I427" s="178"/>
      <c r="J427" s="179" t="str">
        <f t="shared" si="20"/>
        <v/>
      </c>
      <c r="K427" s="180"/>
      <c r="L427" s="181">
        <f t="shared" si="21"/>
        <v>0</v>
      </c>
      <c r="M427" s="229" t="str">
        <f t="shared" si="22"/>
        <v/>
      </c>
      <c r="N427" s="232"/>
    </row>
    <row r="428" spans="1:14" ht="15" thickBot="1">
      <c r="A428" s="170"/>
      <c r="B428" s="171"/>
      <c r="C428" s="172"/>
      <c r="D428" s="173"/>
      <c r="E428" s="174"/>
      <c r="F428" s="175"/>
      <c r="G428" s="176"/>
      <c r="H428" s="177"/>
      <c r="I428" s="178"/>
      <c r="J428" s="179" t="str">
        <f t="shared" si="20"/>
        <v/>
      </c>
      <c r="K428" s="180"/>
      <c r="L428" s="181">
        <f t="shared" si="21"/>
        <v>0</v>
      </c>
      <c r="M428" s="229" t="str">
        <f t="shared" si="22"/>
        <v/>
      </c>
      <c r="N428" s="232"/>
    </row>
    <row r="429" spans="1:14" ht="15" thickBot="1">
      <c r="A429" s="170"/>
      <c r="B429" s="171"/>
      <c r="C429" s="172"/>
      <c r="D429" s="173"/>
      <c r="E429" s="174"/>
      <c r="F429" s="175"/>
      <c r="G429" s="176"/>
      <c r="H429" s="177"/>
      <c r="I429" s="178"/>
      <c r="J429" s="179" t="str">
        <f t="shared" si="20"/>
        <v/>
      </c>
      <c r="K429" s="180"/>
      <c r="L429" s="181">
        <f t="shared" si="21"/>
        <v>0</v>
      </c>
      <c r="M429" s="229" t="str">
        <f t="shared" si="22"/>
        <v/>
      </c>
      <c r="N429" s="232"/>
    </row>
    <row r="430" spans="1:14" ht="15" thickBot="1">
      <c r="A430" s="170"/>
      <c r="B430" s="171"/>
      <c r="C430" s="172"/>
      <c r="D430" s="173"/>
      <c r="E430" s="174"/>
      <c r="F430" s="175"/>
      <c r="G430" s="176"/>
      <c r="H430" s="177"/>
      <c r="I430" s="178"/>
      <c r="J430" s="179" t="str">
        <f t="shared" si="20"/>
        <v/>
      </c>
      <c r="K430" s="180"/>
      <c r="L430" s="181">
        <f t="shared" si="21"/>
        <v>0</v>
      </c>
      <c r="M430" s="229" t="str">
        <f t="shared" si="22"/>
        <v/>
      </c>
      <c r="N430" s="232"/>
    </row>
    <row r="431" spans="1:14" ht="15" thickBot="1">
      <c r="A431" s="170"/>
      <c r="B431" s="171"/>
      <c r="C431" s="172"/>
      <c r="D431" s="173"/>
      <c r="E431" s="174"/>
      <c r="F431" s="175"/>
      <c r="G431" s="176"/>
      <c r="H431" s="177"/>
      <c r="I431" s="178"/>
      <c r="J431" s="179" t="str">
        <f t="shared" si="20"/>
        <v/>
      </c>
      <c r="K431" s="180"/>
      <c r="L431" s="181">
        <f t="shared" si="21"/>
        <v>0</v>
      </c>
      <c r="M431" s="229" t="str">
        <f t="shared" si="22"/>
        <v/>
      </c>
      <c r="N431" s="232"/>
    </row>
    <row r="432" spans="1:14" ht="15" thickBot="1">
      <c r="A432" s="170"/>
      <c r="B432" s="171"/>
      <c r="C432" s="172"/>
      <c r="D432" s="173"/>
      <c r="E432" s="174"/>
      <c r="F432" s="175"/>
      <c r="G432" s="176"/>
      <c r="H432" s="177"/>
      <c r="I432" s="178"/>
      <c r="J432" s="179" t="str">
        <f t="shared" si="20"/>
        <v/>
      </c>
      <c r="K432" s="180"/>
      <c r="L432" s="181">
        <f t="shared" si="21"/>
        <v>0</v>
      </c>
      <c r="M432" s="229" t="str">
        <f t="shared" si="22"/>
        <v/>
      </c>
      <c r="N432" s="232"/>
    </row>
    <row r="433" spans="1:14" ht="15" thickBot="1">
      <c r="A433" s="170"/>
      <c r="B433" s="171"/>
      <c r="C433" s="172"/>
      <c r="D433" s="173"/>
      <c r="E433" s="174"/>
      <c r="F433" s="175"/>
      <c r="G433" s="176"/>
      <c r="H433" s="177"/>
      <c r="I433" s="178"/>
      <c r="J433" s="179" t="str">
        <f t="shared" si="20"/>
        <v/>
      </c>
      <c r="K433" s="180"/>
      <c r="L433" s="181">
        <f t="shared" si="21"/>
        <v>0</v>
      </c>
      <c r="M433" s="229" t="str">
        <f t="shared" si="22"/>
        <v/>
      </c>
      <c r="N433" s="232"/>
    </row>
    <row r="434" spans="1:14" ht="15" thickBot="1">
      <c r="A434" s="170"/>
      <c r="B434" s="171"/>
      <c r="C434" s="172"/>
      <c r="D434" s="173"/>
      <c r="E434" s="174"/>
      <c r="F434" s="175"/>
      <c r="G434" s="176"/>
      <c r="H434" s="177"/>
      <c r="I434" s="178"/>
      <c r="J434" s="179" t="str">
        <f t="shared" si="20"/>
        <v/>
      </c>
      <c r="K434" s="180"/>
      <c r="L434" s="181">
        <f t="shared" si="21"/>
        <v>0</v>
      </c>
      <c r="M434" s="229" t="str">
        <f t="shared" si="22"/>
        <v/>
      </c>
      <c r="N434" s="232"/>
    </row>
    <row r="435" spans="1:14" ht="15" thickBot="1">
      <c r="A435" s="170"/>
      <c r="B435" s="171"/>
      <c r="C435" s="172"/>
      <c r="D435" s="173"/>
      <c r="E435" s="174"/>
      <c r="F435" s="175"/>
      <c r="G435" s="176"/>
      <c r="H435" s="177"/>
      <c r="I435" s="178"/>
      <c r="J435" s="179" t="str">
        <f t="shared" si="20"/>
        <v/>
      </c>
      <c r="K435" s="180"/>
      <c r="L435" s="181">
        <f t="shared" si="21"/>
        <v>0</v>
      </c>
      <c r="M435" s="229" t="str">
        <f t="shared" si="22"/>
        <v/>
      </c>
      <c r="N435" s="232"/>
    </row>
    <row r="436" spans="1:14" ht="15" thickBot="1">
      <c r="A436" s="170"/>
      <c r="B436" s="171"/>
      <c r="C436" s="172"/>
      <c r="D436" s="173"/>
      <c r="E436" s="174"/>
      <c r="F436" s="175"/>
      <c r="G436" s="176"/>
      <c r="H436" s="177"/>
      <c r="I436" s="178"/>
      <c r="J436" s="179" t="str">
        <f t="shared" si="20"/>
        <v/>
      </c>
      <c r="K436" s="180"/>
      <c r="L436" s="181">
        <f t="shared" si="21"/>
        <v>0</v>
      </c>
      <c r="M436" s="229" t="str">
        <f t="shared" si="22"/>
        <v/>
      </c>
      <c r="N436" s="232"/>
    </row>
    <row r="437" spans="1:14" ht="15" thickBot="1">
      <c r="A437" s="170"/>
      <c r="B437" s="171"/>
      <c r="C437" s="172"/>
      <c r="D437" s="173"/>
      <c r="E437" s="174"/>
      <c r="F437" s="175"/>
      <c r="G437" s="176"/>
      <c r="H437" s="177"/>
      <c r="I437" s="178"/>
      <c r="J437" s="179" t="str">
        <f t="shared" si="20"/>
        <v/>
      </c>
      <c r="K437" s="180"/>
      <c r="L437" s="181">
        <f t="shared" si="21"/>
        <v>0</v>
      </c>
      <c r="M437" s="229" t="str">
        <f t="shared" si="22"/>
        <v/>
      </c>
      <c r="N437" s="232"/>
    </row>
    <row r="438" spans="1:14" ht="15" thickBot="1">
      <c r="A438" s="170"/>
      <c r="B438" s="171"/>
      <c r="C438" s="172"/>
      <c r="D438" s="173"/>
      <c r="E438" s="174"/>
      <c r="F438" s="175"/>
      <c r="G438" s="176"/>
      <c r="H438" s="177"/>
      <c r="I438" s="178"/>
      <c r="J438" s="179" t="str">
        <f t="shared" si="20"/>
        <v/>
      </c>
      <c r="K438" s="180"/>
      <c r="L438" s="181">
        <f t="shared" si="21"/>
        <v>0</v>
      </c>
      <c r="M438" s="229" t="str">
        <f t="shared" si="22"/>
        <v/>
      </c>
      <c r="N438" s="232"/>
    </row>
    <row r="439" spans="1:14" ht="15" thickBot="1">
      <c r="A439" s="170"/>
      <c r="B439" s="171"/>
      <c r="C439" s="172"/>
      <c r="D439" s="173"/>
      <c r="E439" s="174"/>
      <c r="F439" s="175"/>
      <c r="G439" s="176"/>
      <c r="H439" s="177"/>
      <c r="I439" s="178"/>
      <c r="J439" s="179" t="str">
        <f t="shared" si="20"/>
        <v/>
      </c>
      <c r="K439" s="180"/>
      <c r="L439" s="181">
        <f t="shared" si="21"/>
        <v>0</v>
      </c>
      <c r="M439" s="229" t="str">
        <f t="shared" si="22"/>
        <v/>
      </c>
      <c r="N439" s="232"/>
    </row>
    <row r="440" spans="1:14" ht="15" thickBot="1">
      <c r="A440" s="170"/>
      <c r="B440" s="171"/>
      <c r="C440" s="172"/>
      <c r="D440" s="173"/>
      <c r="E440" s="174"/>
      <c r="F440" s="175"/>
      <c r="G440" s="176"/>
      <c r="H440" s="177"/>
      <c r="I440" s="178"/>
      <c r="J440" s="179" t="str">
        <f t="shared" si="20"/>
        <v/>
      </c>
      <c r="K440" s="180"/>
      <c r="L440" s="181">
        <f t="shared" si="21"/>
        <v>0</v>
      </c>
      <c r="M440" s="229" t="str">
        <f t="shared" si="22"/>
        <v/>
      </c>
      <c r="N440" s="232"/>
    </row>
    <row r="441" spans="1:14" ht="15" thickBot="1">
      <c r="A441" s="170"/>
      <c r="B441" s="171"/>
      <c r="C441" s="172"/>
      <c r="D441" s="173"/>
      <c r="E441" s="174"/>
      <c r="F441" s="175"/>
      <c r="G441" s="176"/>
      <c r="H441" s="177"/>
      <c r="I441" s="178"/>
      <c r="J441" s="179" t="str">
        <f t="shared" ref="J441:J504" si="23">IF(H441 &gt; 0, I441 / H441, "")</f>
        <v/>
      </c>
      <c r="K441" s="180"/>
      <c r="L441" s="181">
        <f t="shared" ref="L441:L504" si="24">MAX(0, H441 - K441)</f>
        <v>0</v>
      </c>
      <c r="M441" s="229" t="str">
        <f t="shared" si="22"/>
        <v/>
      </c>
      <c r="N441" s="232"/>
    </row>
    <row r="442" spans="1:14" ht="15" thickBot="1">
      <c r="A442" s="170"/>
      <c r="B442" s="171"/>
      <c r="C442" s="172"/>
      <c r="D442" s="173"/>
      <c r="E442" s="174"/>
      <c r="F442" s="175"/>
      <c r="G442" s="176"/>
      <c r="H442" s="177"/>
      <c r="I442" s="178"/>
      <c r="J442" s="179" t="str">
        <f t="shared" si="23"/>
        <v/>
      </c>
      <c r="K442" s="180"/>
      <c r="L442" s="181">
        <f t="shared" si="24"/>
        <v>0</v>
      </c>
      <c r="M442" s="229" t="str">
        <f t="shared" si="22"/>
        <v/>
      </c>
      <c r="N442" s="232"/>
    </row>
    <row r="443" spans="1:14" ht="15" thickBot="1">
      <c r="A443" s="170"/>
      <c r="B443" s="171"/>
      <c r="C443" s="172"/>
      <c r="D443" s="173"/>
      <c r="E443" s="174"/>
      <c r="F443" s="175"/>
      <c r="G443" s="176"/>
      <c r="H443" s="177"/>
      <c r="I443" s="178"/>
      <c r="J443" s="179" t="str">
        <f t="shared" si="23"/>
        <v/>
      </c>
      <c r="K443" s="180"/>
      <c r="L443" s="181">
        <f t="shared" si="24"/>
        <v>0</v>
      </c>
      <c r="M443" s="229" t="str">
        <f t="shared" si="22"/>
        <v/>
      </c>
      <c r="N443" s="232"/>
    </row>
    <row r="444" spans="1:14" ht="15" thickBot="1">
      <c r="A444" s="170"/>
      <c r="B444" s="171"/>
      <c r="C444" s="172"/>
      <c r="D444" s="173"/>
      <c r="E444" s="174"/>
      <c r="F444" s="175"/>
      <c r="G444" s="176"/>
      <c r="H444" s="177"/>
      <c r="I444" s="178"/>
      <c r="J444" s="179" t="str">
        <f t="shared" si="23"/>
        <v/>
      </c>
      <c r="K444" s="180"/>
      <c r="L444" s="181">
        <f t="shared" si="24"/>
        <v>0</v>
      </c>
      <c r="M444" s="229" t="str">
        <f t="shared" si="22"/>
        <v/>
      </c>
      <c r="N444" s="232"/>
    </row>
    <row r="445" spans="1:14" ht="15" thickBot="1">
      <c r="A445" s="170"/>
      <c r="B445" s="171"/>
      <c r="C445" s="172"/>
      <c r="D445" s="173"/>
      <c r="E445" s="174"/>
      <c r="F445" s="175"/>
      <c r="G445" s="176"/>
      <c r="H445" s="177"/>
      <c r="I445" s="178"/>
      <c r="J445" s="179" t="str">
        <f t="shared" si="23"/>
        <v/>
      </c>
      <c r="K445" s="180"/>
      <c r="L445" s="181">
        <f t="shared" si="24"/>
        <v>0</v>
      </c>
      <c r="M445" s="229" t="str">
        <f t="shared" si="22"/>
        <v/>
      </c>
      <c r="N445" s="232"/>
    </row>
    <row r="446" spans="1:14" ht="15" thickBot="1">
      <c r="A446" s="170"/>
      <c r="B446" s="171"/>
      <c r="C446" s="172"/>
      <c r="D446" s="173"/>
      <c r="E446" s="174"/>
      <c r="F446" s="175"/>
      <c r="G446" s="176"/>
      <c r="H446" s="177"/>
      <c r="I446" s="178"/>
      <c r="J446" s="179" t="str">
        <f t="shared" si="23"/>
        <v/>
      </c>
      <c r="K446" s="180"/>
      <c r="L446" s="181">
        <f t="shared" si="24"/>
        <v>0</v>
      </c>
      <c r="M446" s="229" t="str">
        <f t="shared" si="22"/>
        <v/>
      </c>
      <c r="N446" s="232"/>
    </row>
    <row r="447" spans="1:14" ht="15" thickBot="1">
      <c r="A447" s="170"/>
      <c r="B447" s="171"/>
      <c r="C447" s="172"/>
      <c r="D447" s="173"/>
      <c r="E447" s="174"/>
      <c r="F447" s="175"/>
      <c r="G447" s="176"/>
      <c r="H447" s="177"/>
      <c r="I447" s="178"/>
      <c r="J447" s="179" t="str">
        <f t="shared" si="23"/>
        <v/>
      </c>
      <c r="K447" s="180"/>
      <c r="L447" s="181">
        <f t="shared" si="24"/>
        <v>0</v>
      </c>
      <c r="M447" s="229" t="str">
        <f t="shared" si="22"/>
        <v/>
      </c>
      <c r="N447" s="232"/>
    </row>
    <row r="448" spans="1:14" ht="15" thickBot="1">
      <c r="A448" s="170"/>
      <c r="B448" s="171"/>
      <c r="C448" s="172"/>
      <c r="D448" s="173"/>
      <c r="E448" s="174"/>
      <c r="F448" s="175"/>
      <c r="G448" s="176"/>
      <c r="H448" s="177"/>
      <c r="I448" s="178"/>
      <c r="J448" s="179" t="str">
        <f t="shared" si="23"/>
        <v/>
      </c>
      <c r="K448" s="180"/>
      <c r="L448" s="181">
        <f t="shared" si="24"/>
        <v>0</v>
      </c>
      <c r="M448" s="229" t="str">
        <f t="shared" si="22"/>
        <v/>
      </c>
      <c r="N448" s="232"/>
    </row>
    <row r="449" spans="1:14" ht="15" thickBot="1">
      <c r="A449" s="170"/>
      <c r="B449" s="171"/>
      <c r="C449" s="172"/>
      <c r="D449" s="173"/>
      <c r="E449" s="174"/>
      <c r="F449" s="175"/>
      <c r="G449" s="176"/>
      <c r="H449" s="177"/>
      <c r="I449" s="178"/>
      <c r="J449" s="179" t="str">
        <f t="shared" si="23"/>
        <v/>
      </c>
      <c r="K449" s="180"/>
      <c r="L449" s="181">
        <f t="shared" si="24"/>
        <v>0</v>
      </c>
      <c r="M449" s="229" t="str">
        <f t="shared" si="22"/>
        <v/>
      </c>
      <c r="N449" s="232"/>
    </row>
    <row r="450" spans="1:14" ht="15" thickBot="1">
      <c r="A450" s="170"/>
      <c r="B450" s="171"/>
      <c r="C450" s="172"/>
      <c r="D450" s="173"/>
      <c r="E450" s="174"/>
      <c r="F450" s="175"/>
      <c r="G450" s="176"/>
      <c r="H450" s="177"/>
      <c r="I450" s="178"/>
      <c r="J450" s="179" t="str">
        <f t="shared" si="23"/>
        <v/>
      </c>
      <c r="K450" s="180"/>
      <c r="L450" s="181">
        <f t="shared" si="24"/>
        <v>0</v>
      </c>
      <c r="M450" s="229" t="str">
        <f t="shared" si="22"/>
        <v/>
      </c>
      <c r="N450" s="232"/>
    </row>
    <row r="451" spans="1:14" ht="15" thickBot="1">
      <c r="A451" s="170"/>
      <c r="B451" s="171"/>
      <c r="C451" s="172"/>
      <c r="D451" s="173"/>
      <c r="E451" s="174"/>
      <c r="F451" s="175"/>
      <c r="G451" s="176"/>
      <c r="H451" s="177"/>
      <c r="I451" s="178"/>
      <c r="J451" s="179" t="str">
        <f t="shared" si="23"/>
        <v/>
      </c>
      <c r="K451" s="180"/>
      <c r="L451" s="181">
        <f t="shared" si="24"/>
        <v>0</v>
      </c>
      <c r="M451" s="229" t="str">
        <f t="shared" si="22"/>
        <v/>
      </c>
      <c r="N451" s="232"/>
    </row>
    <row r="452" spans="1:14" ht="15" thickBot="1">
      <c r="A452" s="170"/>
      <c r="B452" s="171"/>
      <c r="C452" s="172"/>
      <c r="D452" s="173"/>
      <c r="E452" s="174"/>
      <c r="F452" s="175"/>
      <c r="G452" s="176"/>
      <c r="H452" s="177"/>
      <c r="I452" s="178"/>
      <c r="J452" s="179" t="str">
        <f t="shared" si="23"/>
        <v/>
      </c>
      <c r="K452" s="180"/>
      <c r="L452" s="181">
        <f t="shared" si="24"/>
        <v>0</v>
      </c>
      <c r="M452" s="229" t="str">
        <f t="shared" si="22"/>
        <v/>
      </c>
      <c r="N452" s="232"/>
    </row>
    <row r="453" spans="1:14" ht="15" thickBot="1">
      <c r="A453" s="170"/>
      <c r="B453" s="171"/>
      <c r="C453" s="172"/>
      <c r="D453" s="173"/>
      <c r="E453" s="174"/>
      <c r="F453" s="175"/>
      <c r="G453" s="176"/>
      <c r="H453" s="177"/>
      <c r="I453" s="178"/>
      <c r="J453" s="179" t="str">
        <f t="shared" si="23"/>
        <v/>
      </c>
      <c r="K453" s="180"/>
      <c r="L453" s="181">
        <f t="shared" si="24"/>
        <v>0</v>
      </c>
      <c r="M453" s="229" t="str">
        <f t="shared" si="22"/>
        <v/>
      </c>
      <c r="N453" s="232"/>
    </row>
    <row r="454" spans="1:14" ht="15" thickBot="1">
      <c r="A454" s="170"/>
      <c r="B454" s="171"/>
      <c r="C454" s="172"/>
      <c r="D454" s="173"/>
      <c r="E454" s="174"/>
      <c r="F454" s="175"/>
      <c r="G454" s="176"/>
      <c r="H454" s="177"/>
      <c r="I454" s="178"/>
      <c r="J454" s="179" t="str">
        <f t="shared" si="23"/>
        <v/>
      </c>
      <c r="K454" s="180"/>
      <c r="L454" s="181">
        <f t="shared" si="24"/>
        <v>0</v>
      </c>
      <c r="M454" s="229" t="str">
        <f t="shared" si="22"/>
        <v/>
      </c>
      <c r="N454" s="232"/>
    </row>
    <row r="455" spans="1:14" ht="15" thickBot="1">
      <c r="A455" s="170"/>
      <c r="B455" s="171"/>
      <c r="C455" s="172"/>
      <c r="D455" s="173"/>
      <c r="E455" s="174"/>
      <c r="F455" s="175"/>
      <c r="G455" s="176"/>
      <c r="H455" s="177"/>
      <c r="I455" s="178"/>
      <c r="J455" s="179" t="str">
        <f t="shared" si="23"/>
        <v/>
      </c>
      <c r="K455" s="180"/>
      <c r="L455" s="181">
        <f t="shared" si="24"/>
        <v>0</v>
      </c>
      <c r="M455" s="229" t="str">
        <f t="shared" si="22"/>
        <v/>
      </c>
      <c r="N455" s="232"/>
    </row>
    <row r="456" spans="1:14" ht="15" thickBot="1">
      <c r="A456" s="170"/>
      <c r="B456" s="171"/>
      <c r="C456" s="172"/>
      <c r="D456" s="173"/>
      <c r="E456" s="174"/>
      <c r="F456" s="175"/>
      <c r="G456" s="176"/>
      <c r="H456" s="177"/>
      <c r="I456" s="178"/>
      <c r="J456" s="179" t="str">
        <f t="shared" si="23"/>
        <v/>
      </c>
      <c r="K456" s="180"/>
      <c r="L456" s="181">
        <f t="shared" si="24"/>
        <v>0</v>
      </c>
      <c r="M456" s="229" t="str">
        <f t="shared" si="22"/>
        <v/>
      </c>
      <c r="N456" s="232"/>
    </row>
    <row r="457" spans="1:14" ht="15" thickBot="1">
      <c r="A457" s="170"/>
      <c r="B457" s="171"/>
      <c r="C457" s="172"/>
      <c r="D457" s="173"/>
      <c r="E457" s="174"/>
      <c r="F457" s="175"/>
      <c r="G457" s="176"/>
      <c r="H457" s="177"/>
      <c r="I457" s="178"/>
      <c r="J457" s="179" t="str">
        <f t="shared" si="23"/>
        <v/>
      </c>
      <c r="K457" s="180"/>
      <c r="L457" s="181">
        <f t="shared" si="24"/>
        <v>0</v>
      </c>
      <c r="M457" s="229" t="str">
        <f t="shared" si="22"/>
        <v/>
      </c>
      <c r="N457" s="232"/>
    </row>
    <row r="458" spans="1:14" ht="15" thickBot="1">
      <c r="A458" s="170"/>
      <c r="B458" s="171"/>
      <c r="C458" s="172"/>
      <c r="D458" s="173"/>
      <c r="E458" s="174"/>
      <c r="F458" s="175"/>
      <c r="G458" s="176"/>
      <c r="H458" s="177"/>
      <c r="I458" s="178"/>
      <c r="J458" s="179" t="str">
        <f t="shared" si="23"/>
        <v/>
      </c>
      <c r="K458" s="180"/>
      <c r="L458" s="181">
        <f t="shared" si="24"/>
        <v>0</v>
      </c>
      <c r="M458" s="229" t="str">
        <f t="shared" si="22"/>
        <v/>
      </c>
      <c r="N458" s="232"/>
    </row>
    <row r="459" spans="1:14" ht="15" thickBot="1">
      <c r="A459" s="170"/>
      <c r="B459" s="171"/>
      <c r="C459" s="172"/>
      <c r="D459" s="173"/>
      <c r="E459" s="174"/>
      <c r="F459" s="175"/>
      <c r="G459" s="176"/>
      <c r="H459" s="177"/>
      <c r="I459" s="178"/>
      <c r="J459" s="179" t="str">
        <f t="shared" si="23"/>
        <v/>
      </c>
      <c r="K459" s="180"/>
      <c r="L459" s="181">
        <f t="shared" si="24"/>
        <v>0</v>
      </c>
      <c r="M459" s="229" t="str">
        <f t="shared" si="22"/>
        <v/>
      </c>
      <c r="N459" s="232"/>
    </row>
    <row r="460" spans="1:14" ht="15" thickBot="1">
      <c r="A460" s="170"/>
      <c r="B460" s="171"/>
      <c r="C460" s="172"/>
      <c r="D460" s="173"/>
      <c r="E460" s="174"/>
      <c r="F460" s="175"/>
      <c r="G460" s="176"/>
      <c r="H460" s="177"/>
      <c r="I460" s="178"/>
      <c r="J460" s="179" t="str">
        <f t="shared" si="23"/>
        <v/>
      </c>
      <c r="K460" s="180"/>
      <c r="L460" s="181">
        <f t="shared" si="24"/>
        <v>0</v>
      </c>
      <c r="M460" s="229" t="str">
        <f t="shared" si="22"/>
        <v/>
      </c>
      <c r="N460" s="232"/>
    </row>
    <row r="461" spans="1:14" ht="15" thickBot="1">
      <c r="A461" s="170"/>
      <c r="B461" s="171"/>
      <c r="C461" s="172"/>
      <c r="D461" s="173"/>
      <c r="E461" s="174"/>
      <c r="F461" s="175"/>
      <c r="G461" s="176"/>
      <c r="H461" s="177"/>
      <c r="I461" s="178"/>
      <c r="J461" s="179" t="str">
        <f t="shared" si="23"/>
        <v/>
      </c>
      <c r="K461" s="180"/>
      <c r="L461" s="181">
        <f t="shared" si="24"/>
        <v>0</v>
      </c>
      <c r="M461" s="229" t="str">
        <f t="shared" si="22"/>
        <v/>
      </c>
      <c r="N461" s="232"/>
    </row>
    <row r="462" spans="1:14" ht="15" thickBot="1">
      <c r="A462" s="170"/>
      <c r="B462" s="171"/>
      <c r="C462" s="172"/>
      <c r="D462" s="173"/>
      <c r="E462" s="174"/>
      <c r="F462" s="175"/>
      <c r="G462" s="176"/>
      <c r="H462" s="177"/>
      <c r="I462" s="178"/>
      <c r="J462" s="179" t="str">
        <f t="shared" si="23"/>
        <v/>
      </c>
      <c r="K462" s="180"/>
      <c r="L462" s="181">
        <f t="shared" si="24"/>
        <v>0</v>
      </c>
      <c r="M462" s="229" t="str">
        <f t="shared" ref="M462:M525" si="25">IF(J462 &lt;&gt; "", J462 * L462, "")</f>
        <v/>
      </c>
      <c r="N462" s="232"/>
    </row>
    <row r="463" spans="1:14" ht="15" thickBot="1">
      <c r="A463" s="170"/>
      <c r="B463" s="171"/>
      <c r="C463" s="172"/>
      <c r="D463" s="173"/>
      <c r="E463" s="174"/>
      <c r="F463" s="175"/>
      <c r="G463" s="176"/>
      <c r="H463" s="177"/>
      <c r="I463" s="178"/>
      <c r="J463" s="179" t="str">
        <f t="shared" si="23"/>
        <v/>
      </c>
      <c r="K463" s="180"/>
      <c r="L463" s="181">
        <f t="shared" si="24"/>
        <v>0</v>
      </c>
      <c r="M463" s="229" t="str">
        <f t="shared" si="25"/>
        <v/>
      </c>
      <c r="N463" s="232"/>
    </row>
    <row r="464" spans="1:14" ht="15" thickBot="1">
      <c r="A464" s="170"/>
      <c r="B464" s="171"/>
      <c r="C464" s="172"/>
      <c r="D464" s="173"/>
      <c r="E464" s="174"/>
      <c r="F464" s="175"/>
      <c r="G464" s="176"/>
      <c r="H464" s="177"/>
      <c r="I464" s="178"/>
      <c r="J464" s="179" t="str">
        <f t="shared" si="23"/>
        <v/>
      </c>
      <c r="K464" s="180"/>
      <c r="L464" s="181">
        <f t="shared" si="24"/>
        <v>0</v>
      </c>
      <c r="M464" s="229" t="str">
        <f t="shared" si="25"/>
        <v/>
      </c>
      <c r="N464" s="232"/>
    </row>
    <row r="465" spans="1:14" ht="15" thickBot="1">
      <c r="A465" s="170"/>
      <c r="B465" s="171"/>
      <c r="C465" s="172"/>
      <c r="D465" s="173"/>
      <c r="E465" s="174"/>
      <c r="F465" s="175"/>
      <c r="G465" s="176"/>
      <c r="H465" s="177"/>
      <c r="I465" s="178"/>
      <c r="J465" s="179" t="str">
        <f t="shared" si="23"/>
        <v/>
      </c>
      <c r="K465" s="180"/>
      <c r="L465" s="181">
        <f t="shared" si="24"/>
        <v>0</v>
      </c>
      <c r="M465" s="229" t="str">
        <f t="shared" si="25"/>
        <v/>
      </c>
      <c r="N465" s="232"/>
    </row>
    <row r="466" spans="1:14" ht="15" thickBot="1">
      <c r="A466" s="170"/>
      <c r="B466" s="171"/>
      <c r="C466" s="172"/>
      <c r="D466" s="173"/>
      <c r="E466" s="174"/>
      <c r="F466" s="175"/>
      <c r="G466" s="176"/>
      <c r="H466" s="177"/>
      <c r="I466" s="178"/>
      <c r="J466" s="179" t="str">
        <f t="shared" si="23"/>
        <v/>
      </c>
      <c r="K466" s="180"/>
      <c r="L466" s="181">
        <f t="shared" si="24"/>
        <v>0</v>
      </c>
      <c r="M466" s="229" t="str">
        <f t="shared" si="25"/>
        <v/>
      </c>
      <c r="N466" s="232"/>
    </row>
    <row r="467" spans="1:14" ht="15" thickBot="1">
      <c r="A467" s="170"/>
      <c r="B467" s="171"/>
      <c r="C467" s="172"/>
      <c r="D467" s="173"/>
      <c r="E467" s="174"/>
      <c r="F467" s="175"/>
      <c r="G467" s="176"/>
      <c r="H467" s="177"/>
      <c r="I467" s="178"/>
      <c r="J467" s="179" t="str">
        <f t="shared" si="23"/>
        <v/>
      </c>
      <c r="K467" s="180"/>
      <c r="L467" s="181">
        <f t="shared" si="24"/>
        <v>0</v>
      </c>
      <c r="M467" s="229" t="str">
        <f t="shared" si="25"/>
        <v/>
      </c>
      <c r="N467" s="232"/>
    </row>
    <row r="468" spans="1:14" ht="15" thickBot="1">
      <c r="A468" s="170"/>
      <c r="B468" s="171"/>
      <c r="C468" s="172"/>
      <c r="D468" s="173"/>
      <c r="E468" s="174"/>
      <c r="F468" s="175"/>
      <c r="G468" s="176"/>
      <c r="H468" s="177"/>
      <c r="I468" s="178"/>
      <c r="J468" s="179" t="str">
        <f t="shared" si="23"/>
        <v/>
      </c>
      <c r="K468" s="180"/>
      <c r="L468" s="181">
        <f t="shared" si="24"/>
        <v>0</v>
      </c>
      <c r="M468" s="229" t="str">
        <f t="shared" si="25"/>
        <v/>
      </c>
      <c r="N468" s="232"/>
    </row>
    <row r="469" spans="1:14" ht="15" thickBot="1">
      <c r="A469" s="170"/>
      <c r="B469" s="171"/>
      <c r="C469" s="172"/>
      <c r="D469" s="173"/>
      <c r="E469" s="174"/>
      <c r="F469" s="175"/>
      <c r="G469" s="176"/>
      <c r="H469" s="177"/>
      <c r="I469" s="178"/>
      <c r="J469" s="179" t="str">
        <f t="shared" si="23"/>
        <v/>
      </c>
      <c r="K469" s="180"/>
      <c r="L469" s="181">
        <f t="shared" si="24"/>
        <v>0</v>
      </c>
      <c r="M469" s="229" t="str">
        <f t="shared" si="25"/>
        <v/>
      </c>
      <c r="N469" s="232"/>
    </row>
    <row r="470" spans="1:14" ht="15" thickBot="1">
      <c r="A470" s="170"/>
      <c r="B470" s="171"/>
      <c r="C470" s="172"/>
      <c r="D470" s="173"/>
      <c r="E470" s="174"/>
      <c r="F470" s="175"/>
      <c r="G470" s="176"/>
      <c r="H470" s="177"/>
      <c r="I470" s="178"/>
      <c r="J470" s="179" t="str">
        <f t="shared" si="23"/>
        <v/>
      </c>
      <c r="K470" s="180"/>
      <c r="L470" s="181">
        <f t="shared" si="24"/>
        <v>0</v>
      </c>
      <c r="M470" s="229" t="str">
        <f t="shared" si="25"/>
        <v/>
      </c>
      <c r="N470" s="232"/>
    </row>
    <row r="471" spans="1:14" ht="15" thickBot="1">
      <c r="A471" s="170"/>
      <c r="B471" s="171"/>
      <c r="C471" s="172"/>
      <c r="D471" s="173"/>
      <c r="E471" s="174"/>
      <c r="F471" s="175"/>
      <c r="G471" s="176"/>
      <c r="H471" s="177"/>
      <c r="I471" s="178"/>
      <c r="J471" s="179" t="str">
        <f t="shared" si="23"/>
        <v/>
      </c>
      <c r="K471" s="180"/>
      <c r="L471" s="181">
        <f t="shared" si="24"/>
        <v>0</v>
      </c>
      <c r="M471" s="229" t="str">
        <f t="shared" si="25"/>
        <v/>
      </c>
      <c r="N471" s="232"/>
    </row>
    <row r="472" spans="1:14" ht="15" thickBot="1">
      <c r="A472" s="170"/>
      <c r="B472" s="171"/>
      <c r="C472" s="172"/>
      <c r="D472" s="173"/>
      <c r="E472" s="174"/>
      <c r="F472" s="175"/>
      <c r="G472" s="176"/>
      <c r="H472" s="177"/>
      <c r="I472" s="178"/>
      <c r="J472" s="179" t="str">
        <f t="shared" si="23"/>
        <v/>
      </c>
      <c r="K472" s="180"/>
      <c r="L472" s="181">
        <f t="shared" si="24"/>
        <v>0</v>
      </c>
      <c r="M472" s="229" t="str">
        <f t="shared" si="25"/>
        <v/>
      </c>
      <c r="N472" s="232"/>
    </row>
    <row r="473" spans="1:14" ht="15" thickBot="1">
      <c r="A473" s="170"/>
      <c r="B473" s="171"/>
      <c r="C473" s="172"/>
      <c r="D473" s="173"/>
      <c r="E473" s="174"/>
      <c r="F473" s="175"/>
      <c r="G473" s="176"/>
      <c r="H473" s="177"/>
      <c r="I473" s="178"/>
      <c r="J473" s="179" t="str">
        <f t="shared" si="23"/>
        <v/>
      </c>
      <c r="K473" s="180"/>
      <c r="L473" s="181">
        <f t="shared" si="24"/>
        <v>0</v>
      </c>
      <c r="M473" s="229" t="str">
        <f t="shared" si="25"/>
        <v/>
      </c>
      <c r="N473" s="232"/>
    </row>
    <row r="474" spans="1:14" ht="15" thickBot="1">
      <c r="A474" s="170"/>
      <c r="B474" s="171"/>
      <c r="C474" s="172"/>
      <c r="D474" s="173"/>
      <c r="E474" s="174"/>
      <c r="F474" s="175"/>
      <c r="G474" s="176"/>
      <c r="H474" s="177"/>
      <c r="I474" s="178"/>
      <c r="J474" s="179" t="str">
        <f t="shared" si="23"/>
        <v/>
      </c>
      <c r="K474" s="180"/>
      <c r="L474" s="181">
        <f t="shared" si="24"/>
        <v>0</v>
      </c>
      <c r="M474" s="229" t="str">
        <f t="shared" si="25"/>
        <v/>
      </c>
      <c r="N474" s="232"/>
    </row>
    <row r="475" spans="1:14" ht="15" thickBot="1">
      <c r="A475" s="170"/>
      <c r="B475" s="171"/>
      <c r="C475" s="172"/>
      <c r="D475" s="173"/>
      <c r="E475" s="174"/>
      <c r="F475" s="175"/>
      <c r="G475" s="176"/>
      <c r="H475" s="177"/>
      <c r="I475" s="178"/>
      <c r="J475" s="179" t="str">
        <f t="shared" si="23"/>
        <v/>
      </c>
      <c r="K475" s="180"/>
      <c r="L475" s="181">
        <f t="shared" si="24"/>
        <v>0</v>
      </c>
      <c r="M475" s="229" t="str">
        <f t="shared" si="25"/>
        <v/>
      </c>
      <c r="N475" s="232"/>
    </row>
    <row r="476" spans="1:14" ht="15" thickBot="1">
      <c r="A476" s="170"/>
      <c r="B476" s="171"/>
      <c r="C476" s="172"/>
      <c r="D476" s="173"/>
      <c r="E476" s="174"/>
      <c r="F476" s="175"/>
      <c r="G476" s="176"/>
      <c r="H476" s="177"/>
      <c r="I476" s="178"/>
      <c r="J476" s="179" t="str">
        <f t="shared" si="23"/>
        <v/>
      </c>
      <c r="K476" s="180"/>
      <c r="L476" s="181">
        <f t="shared" si="24"/>
        <v>0</v>
      </c>
      <c r="M476" s="229" t="str">
        <f t="shared" si="25"/>
        <v/>
      </c>
      <c r="N476" s="232"/>
    </row>
    <row r="477" spans="1:14" ht="15" thickBot="1">
      <c r="A477" s="170"/>
      <c r="B477" s="171"/>
      <c r="C477" s="172"/>
      <c r="D477" s="173"/>
      <c r="E477" s="174"/>
      <c r="F477" s="175"/>
      <c r="G477" s="176"/>
      <c r="H477" s="177"/>
      <c r="I477" s="178"/>
      <c r="J477" s="179" t="str">
        <f t="shared" si="23"/>
        <v/>
      </c>
      <c r="K477" s="180"/>
      <c r="L477" s="181">
        <f t="shared" si="24"/>
        <v>0</v>
      </c>
      <c r="M477" s="229" t="str">
        <f t="shared" si="25"/>
        <v/>
      </c>
      <c r="N477" s="232"/>
    </row>
    <row r="478" spans="1:14" ht="15" thickBot="1">
      <c r="A478" s="170"/>
      <c r="B478" s="171"/>
      <c r="C478" s="172"/>
      <c r="D478" s="173"/>
      <c r="E478" s="174"/>
      <c r="F478" s="175"/>
      <c r="G478" s="176"/>
      <c r="H478" s="177"/>
      <c r="I478" s="178"/>
      <c r="J478" s="179" t="str">
        <f t="shared" si="23"/>
        <v/>
      </c>
      <c r="K478" s="180"/>
      <c r="L478" s="181">
        <f t="shared" si="24"/>
        <v>0</v>
      </c>
      <c r="M478" s="229" t="str">
        <f t="shared" si="25"/>
        <v/>
      </c>
      <c r="N478" s="232"/>
    </row>
    <row r="479" spans="1:14" ht="15" thickBot="1">
      <c r="A479" s="170"/>
      <c r="B479" s="171"/>
      <c r="C479" s="172"/>
      <c r="D479" s="173"/>
      <c r="E479" s="174"/>
      <c r="F479" s="175"/>
      <c r="G479" s="176"/>
      <c r="H479" s="177"/>
      <c r="I479" s="178"/>
      <c r="J479" s="179" t="str">
        <f t="shared" si="23"/>
        <v/>
      </c>
      <c r="K479" s="180"/>
      <c r="L479" s="181">
        <f t="shared" si="24"/>
        <v>0</v>
      </c>
      <c r="M479" s="229" t="str">
        <f t="shared" si="25"/>
        <v/>
      </c>
      <c r="N479" s="232"/>
    </row>
    <row r="480" spans="1:14" ht="15" thickBot="1">
      <c r="A480" s="170"/>
      <c r="B480" s="171"/>
      <c r="C480" s="172"/>
      <c r="D480" s="173"/>
      <c r="E480" s="174"/>
      <c r="F480" s="175"/>
      <c r="G480" s="176"/>
      <c r="H480" s="177"/>
      <c r="I480" s="178"/>
      <c r="J480" s="179" t="str">
        <f t="shared" si="23"/>
        <v/>
      </c>
      <c r="K480" s="180"/>
      <c r="L480" s="181">
        <f t="shared" si="24"/>
        <v>0</v>
      </c>
      <c r="M480" s="229" t="str">
        <f t="shared" si="25"/>
        <v/>
      </c>
      <c r="N480" s="232"/>
    </row>
    <row r="481" spans="1:14" ht="15" thickBot="1">
      <c r="A481" s="170"/>
      <c r="B481" s="171"/>
      <c r="C481" s="172"/>
      <c r="D481" s="173"/>
      <c r="E481" s="174"/>
      <c r="F481" s="175"/>
      <c r="G481" s="176"/>
      <c r="H481" s="177"/>
      <c r="I481" s="178"/>
      <c r="J481" s="179" t="str">
        <f t="shared" si="23"/>
        <v/>
      </c>
      <c r="K481" s="180"/>
      <c r="L481" s="181">
        <f t="shared" si="24"/>
        <v>0</v>
      </c>
      <c r="M481" s="229" t="str">
        <f t="shared" si="25"/>
        <v/>
      </c>
      <c r="N481" s="232"/>
    </row>
    <row r="482" spans="1:14" ht="15" thickBot="1">
      <c r="A482" s="170"/>
      <c r="B482" s="171"/>
      <c r="C482" s="172"/>
      <c r="D482" s="173"/>
      <c r="E482" s="174"/>
      <c r="F482" s="175"/>
      <c r="G482" s="176"/>
      <c r="H482" s="177"/>
      <c r="I482" s="178"/>
      <c r="J482" s="179" t="str">
        <f t="shared" si="23"/>
        <v/>
      </c>
      <c r="K482" s="180"/>
      <c r="L482" s="181">
        <f t="shared" si="24"/>
        <v>0</v>
      </c>
      <c r="M482" s="229" t="str">
        <f t="shared" si="25"/>
        <v/>
      </c>
      <c r="N482" s="232"/>
    </row>
    <row r="483" spans="1:14" ht="15" thickBot="1">
      <c r="A483" s="170"/>
      <c r="B483" s="171"/>
      <c r="C483" s="172"/>
      <c r="D483" s="173"/>
      <c r="E483" s="174"/>
      <c r="F483" s="175"/>
      <c r="G483" s="176"/>
      <c r="H483" s="177"/>
      <c r="I483" s="178"/>
      <c r="J483" s="179" t="str">
        <f t="shared" si="23"/>
        <v/>
      </c>
      <c r="K483" s="180"/>
      <c r="L483" s="181">
        <f t="shared" si="24"/>
        <v>0</v>
      </c>
      <c r="M483" s="229" t="str">
        <f t="shared" si="25"/>
        <v/>
      </c>
      <c r="N483" s="232"/>
    </row>
    <row r="484" spans="1:14" ht="15" thickBot="1">
      <c r="A484" s="170"/>
      <c r="B484" s="171"/>
      <c r="C484" s="172"/>
      <c r="D484" s="173"/>
      <c r="E484" s="174"/>
      <c r="F484" s="175"/>
      <c r="G484" s="176"/>
      <c r="H484" s="177"/>
      <c r="I484" s="178"/>
      <c r="J484" s="179" t="str">
        <f t="shared" si="23"/>
        <v/>
      </c>
      <c r="K484" s="180"/>
      <c r="L484" s="181">
        <f t="shared" si="24"/>
        <v>0</v>
      </c>
      <c r="M484" s="229" t="str">
        <f t="shared" si="25"/>
        <v/>
      </c>
      <c r="N484" s="232"/>
    </row>
    <row r="485" spans="1:14" ht="15" thickBot="1">
      <c r="A485" s="170"/>
      <c r="B485" s="171"/>
      <c r="C485" s="172"/>
      <c r="D485" s="173"/>
      <c r="E485" s="174"/>
      <c r="F485" s="175"/>
      <c r="G485" s="176"/>
      <c r="H485" s="177"/>
      <c r="I485" s="178"/>
      <c r="J485" s="179" t="str">
        <f t="shared" si="23"/>
        <v/>
      </c>
      <c r="K485" s="180"/>
      <c r="L485" s="181">
        <f t="shared" si="24"/>
        <v>0</v>
      </c>
      <c r="M485" s="229" t="str">
        <f t="shared" si="25"/>
        <v/>
      </c>
      <c r="N485" s="232"/>
    </row>
    <row r="486" spans="1:14" ht="15" thickBot="1">
      <c r="A486" s="170"/>
      <c r="B486" s="171"/>
      <c r="C486" s="172"/>
      <c r="D486" s="173"/>
      <c r="E486" s="174"/>
      <c r="F486" s="175"/>
      <c r="G486" s="176"/>
      <c r="H486" s="177"/>
      <c r="I486" s="178"/>
      <c r="J486" s="179" t="str">
        <f t="shared" si="23"/>
        <v/>
      </c>
      <c r="K486" s="180"/>
      <c r="L486" s="181">
        <f t="shared" si="24"/>
        <v>0</v>
      </c>
      <c r="M486" s="229" t="str">
        <f t="shared" si="25"/>
        <v/>
      </c>
      <c r="N486" s="232"/>
    </row>
    <row r="487" spans="1:14" ht="15" thickBot="1">
      <c r="A487" s="170"/>
      <c r="B487" s="171"/>
      <c r="C487" s="172"/>
      <c r="D487" s="173"/>
      <c r="E487" s="174"/>
      <c r="F487" s="175"/>
      <c r="G487" s="176"/>
      <c r="H487" s="177"/>
      <c r="I487" s="178"/>
      <c r="J487" s="179" t="str">
        <f t="shared" si="23"/>
        <v/>
      </c>
      <c r="K487" s="180"/>
      <c r="L487" s="181">
        <f t="shared" si="24"/>
        <v>0</v>
      </c>
      <c r="M487" s="229" t="str">
        <f t="shared" si="25"/>
        <v/>
      </c>
      <c r="N487" s="232"/>
    </row>
    <row r="488" spans="1:14" ht="15" thickBot="1">
      <c r="A488" s="170"/>
      <c r="B488" s="171"/>
      <c r="C488" s="172"/>
      <c r="D488" s="173"/>
      <c r="E488" s="174"/>
      <c r="F488" s="175"/>
      <c r="G488" s="176"/>
      <c r="H488" s="177"/>
      <c r="I488" s="178"/>
      <c r="J488" s="179" t="str">
        <f t="shared" si="23"/>
        <v/>
      </c>
      <c r="K488" s="180"/>
      <c r="L488" s="181">
        <f t="shared" si="24"/>
        <v>0</v>
      </c>
      <c r="M488" s="229" t="str">
        <f t="shared" si="25"/>
        <v/>
      </c>
      <c r="N488" s="232"/>
    </row>
    <row r="489" spans="1:14" ht="15" thickBot="1">
      <c r="A489" s="170"/>
      <c r="B489" s="171"/>
      <c r="C489" s="172"/>
      <c r="D489" s="173"/>
      <c r="E489" s="174"/>
      <c r="F489" s="175"/>
      <c r="G489" s="176"/>
      <c r="H489" s="177"/>
      <c r="I489" s="178"/>
      <c r="J489" s="179" t="str">
        <f t="shared" si="23"/>
        <v/>
      </c>
      <c r="K489" s="180"/>
      <c r="L489" s="181">
        <f t="shared" si="24"/>
        <v>0</v>
      </c>
      <c r="M489" s="229" t="str">
        <f t="shared" si="25"/>
        <v/>
      </c>
      <c r="N489" s="232"/>
    </row>
    <row r="490" spans="1:14" ht="15" thickBot="1">
      <c r="A490" s="170"/>
      <c r="B490" s="171"/>
      <c r="C490" s="172"/>
      <c r="D490" s="173"/>
      <c r="E490" s="174"/>
      <c r="F490" s="175"/>
      <c r="G490" s="176"/>
      <c r="H490" s="177"/>
      <c r="I490" s="178"/>
      <c r="J490" s="179" t="str">
        <f t="shared" si="23"/>
        <v/>
      </c>
      <c r="K490" s="180"/>
      <c r="L490" s="181">
        <f t="shared" si="24"/>
        <v>0</v>
      </c>
      <c r="M490" s="229" t="str">
        <f t="shared" si="25"/>
        <v/>
      </c>
      <c r="N490" s="232"/>
    </row>
    <row r="491" spans="1:14" ht="15" thickBot="1">
      <c r="A491" s="170"/>
      <c r="B491" s="171"/>
      <c r="C491" s="172"/>
      <c r="D491" s="173"/>
      <c r="E491" s="174"/>
      <c r="F491" s="175"/>
      <c r="G491" s="176"/>
      <c r="H491" s="177"/>
      <c r="I491" s="178"/>
      <c r="J491" s="179" t="str">
        <f t="shared" si="23"/>
        <v/>
      </c>
      <c r="K491" s="180"/>
      <c r="L491" s="181">
        <f t="shared" si="24"/>
        <v>0</v>
      </c>
      <c r="M491" s="229" t="str">
        <f t="shared" si="25"/>
        <v/>
      </c>
      <c r="N491" s="232"/>
    </row>
    <row r="492" spans="1:14" ht="15" thickBot="1">
      <c r="A492" s="170"/>
      <c r="B492" s="171"/>
      <c r="C492" s="172"/>
      <c r="D492" s="173"/>
      <c r="E492" s="174"/>
      <c r="F492" s="175"/>
      <c r="G492" s="176"/>
      <c r="H492" s="177"/>
      <c r="I492" s="178"/>
      <c r="J492" s="179" t="str">
        <f t="shared" si="23"/>
        <v/>
      </c>
      <c r="K492" s="180"/>
      <c r="L492" s="181">
        <f t="shared" si="24"/>
        <v>0</v>
      </c>
      <c r="M492" s="229" t="str">
        <f t="shared" si="25"/>
        <v/>
      </c>
      <c r="N492" s="232"/>
    </row>
    <row r="493" spans="1:14" ht="15" thickBot="1">
      <c r="A493" s="170"/>
      <c r="B493" s="171"/>
      <c r="C493" s="172"/>
      <c r="D493" s="173"/>
      <c r="E493" s="174"/>
      <c r="F493" s="175"/>
      <c r="G493" s="176"/>
      <c r="H493" s="177"/>
      <c r="I493" s="178"/>
      <c r="J493" s="179" t="str">
        <f t="shared" si="23"/>
        <v/>
      </c>
      <c r="K493" s="180"/>
      <c r="L493" s="181">
        <f t="shared" si="24"/>
        <v>0</v>
      </c>
      <c r="M493" s="229" t="str">
        <f t="shared" si="25"/>
        <v/>
      </c>
      <c r="N493" s="232"/>
    </row>
    <row r="494" spans="1:14" ht="15" thickBot="1">
      <c r="A494" s="170"/>
      <c r="B494" s="171"/>
      <c r="C494" s="172"/>
      <c r="D494" s="173"/>
      <c r="E494" s="174"/>
      <c r="F494" s="175"/>
      <c r="G494" s="176"/>
      <c r="H494" s="177"/>
      <c r="I494" s="178"/>
      <c r="J494" s="179" t="str">
        <f t="shared" si="23"/>
        <v/>
      </c>
      <c r="K494" s="180"/>
      <c r="L494" s="181">
        <f t="shared" si="24"/>
        <v>0</v>
      </c>
      <c r="M494" s="229" t="str">
        <f t="shared" si="25"/>
        <v/>
      </c>
      <c r="N494" s="232"/>
    </row>
    <row r="495" spans="1:14" ht="15" thickBot="1">
      <c r="A495" s="170"/>
      <c r="B495" s="171"/>
      <c r="C495" s="172"/>
      <c r="D495" s="173"/>
      <c r="E495" s="174"/>
      <c r="F495" s="175"/>
      <c r="G495" s="176"/>
      <c r="H495" s="177"/>
      <c r="I495" s="178"/>
      <c r="J495" s="179" t="str">
        <f t="shared" si="23"/>
        <v/>
      </c>
      <c r="K495" s="180"/>
      <c r="L495" s="181">
        <f t="shared" si="24"/>
        <v>0</v>
      </c>
      <c r="M495" s="229" t="str">
        <f t="shared" si="25"/>
        <v/>
      </c>
      <c r="N495" s="232"/>
    </row>
    <row r="496" spans="1:14" ht="15" thickBot="1">
      <c r="A496" s="170"/>
      <c r="B496" s="171"/>
      <c r="C496" s="172"/>
      <c r="D496" s="173"/>
      <c r="E496" s="174"/>
      <c r="F496" s="175"/>
      <c r="G496" s="176"/>
      <c r="H496" s="177"/>
      <c r="I496" s="178"/>
      <c r="J496" s="179" t="str">
        <f t="shared" si="23"/>
        <v/>
      </c>
      <c r="K496" s="180"/>
      <c r="L496" s="181">
        <f t="shared" si="24"/>
        <v>0</v>
      </c>
      <c r="M496" s="229" t="str">
        <f t="shared" si="25"/>
        <v/>
      </c>
      <c r="N496" s="232"/>
    </row>
    <row r="497" spans="1:14" ht="15" thickBot="1">
      <c r="A497" s="170"/>
      <c r="B497" s="171"/>
      <c r="C497" s="172"/>
      <c r="D497" s="173"/>
      <c r="E497" s="174"/>
      <c r="F497" s="175"/>
      <c r="G497" s="176"/>
      <c r="H497" s="177"/>
      <c r="I497" s="178"/>
      <c r="J497" s="179" t="str">
        <f t="shared" si="23"/>
        <v/>
      </c>
      <c r="K497" s="180"/>
      <c r="L497" s="181">
        <f t="shared" si="24"/>
        <v>0</v>
      </c>
      <c r="M497" s="229" t="str">
        <f t="shared" si="25"/>
        <v/>
      </c>
      <c r="N497" s="232"/>
    </row>
    <row r="498" spans="1:14" ht="15" thickBot="1">
      <c r="A498" s="170"/>
      <c r="B498" s="171"/>
      <c r="C498" s="172"/>
      <c r="D498" s="173"/>
      <c r="E498" s="174"/>
      <c r="F498" s="175"/>
      <c r="G498" s="176"/>
      <c r="H498" s="177"/>
      <c r="I498" s="178"/>
      <c r="J498" s="179" t="str">
        <f t="shared" si="23"/>
        <v/>
      </c>
      <c r="K498" s="180"/>
      <c r="L498" s="181">
        <f t="shared" si="24"/>
        <v>0</v>
      </c>
      <c r="M498" s="229" t="str">
        <f t="shared" si="25"/>
        <v/>
      </c>
      <c r="N498" s="232"/>
    </row>
    <row r="499" spans="1:14" ht="15" thickBot="1">
      <c r="A499" s="170"/>
      <c r="B499" s="171"/>
      <c r="C499" s="172"/>
      <c r="D499" s="173"/>
      <c r="E499" s="174"/>
      <c r="F499" s="175"/>
      <c r="G499" s="176"/>
      <c r="H499" s="177"/>
      <c r="I499" s="178"/>
      <c r="J499" s="179" t="str">
        <f t="shared" si="23"/>
        <v/>
      </c>
      <c r="K499" s="180"/>
      <c r="L499" s="181">
        <f t="shared" si="24"/>
        <v>0</v>
      </c>
      <c r="M499" s="229" t="str">
        <f t="shared" si="25"/>
        <v/>
      </c>
      <c r="N499" s="232"/>
    </row>
    <row r="500" spans="1:14" ht="15" thickBot="1">
      <c r="A500" s="170"/>
      <c r="B500" s="171"/>
      <c r="C500" s="172"/>
      <c r="D500" s="173"/>
      <c r="E500" s="174"/>
      <c r="F500" s="175"/>
      <c r="G500" s="176"/>
      <c r="H500" s="177"/>
      <c r="I500" s="178"/>
      <c r="J500" s="179" t="str">
        <f t="shared" si="23"/>
        <v/>
      </c>
      <c r="K500" s="180"/>
      <c r="L500" s="181">
        <f t="shared" si="24"/>
        <v>0</v>
      </c>
      <c r="M500" s="229" t="str">
        <f t="shared" si="25"/>
        <v/>
      </c>
      <c r="N500" s="232"/>
    </row>
    <row r="501" spans="1:14" ht="15" thickBot="1">
      <c r="A501" s="170"/>
      <c r="B501" s="171"/>
      <c r="C501" s="172"/>
      <c r="D501" s="173"/>
      <c r="E501" s="174"/>
      <c r="F501" s="175"/>
      <c r="G501" s="176"/>
      <c r="H501" s="177"/>
      <c r="I501" s="178"/>
      <c r="J501" s="179" t="str">
        <f t="shared" si="23"/>
        <v/>
      </c>
      <c r="K501" s="180"/>
      <c r="L501" s="181">
        <f t="shared" si="24"/>
        <v>0</v>
      </c>
      <c r="M501" s="229" t="str">
        <f t="shared" si="25"/>
        <v/>
      </c>
      <c r="N501" s="232"/>
    </row>
    <row r="502" spans="1:14" ht="15" thickBot="1">
      <c r="A502" s="170"/>
      <c r="B502" s="171"/>
      <c r="C502" s="172"/>
      <c r="D502" s="173"/>
      <c r="E502" s="174"/>
      <c r="F502" s="175"/>
      <c r="G502" s="176"/>
      <c r="H502" s="177"/>
      <c r="I502" s="178"/>
      <c r="J502" s="179" t="str">
        <f t="shared" si="23"/>
        <v/>
      </c>
      <c r="K502" s="180"/>
      <c r="L502" s="181">
        <f t="shared" si="24"/>
        <v>0</v>
      </c>
      <c r="M502" s="229" t="str">
        <f t="shared" si="25"/>
        <v/>
      </c>
      <c r="N502" s="232"/>
    </row>
    <row r="503" spans="1:14" ht="15" thickBot="1">
      <c r="A503" s="170"/>
      <c r="B503" s="171"/>
      <c r="C503" s="172"/>
      <c r="D503" s="173"/>
      <c r="E503" s="174"/>
      <c r="F503" s="175"/>
      <c r="G503" s="176"/>
      <c r="H503" s="177"/>
      <c r="I503" s="178"/>
      <c r="J503" s="179" t="str">
        <f t="shared" si="23"/>
        <v/>
      </c>
      <c r="K503" s="180"/>
      <c r="L503" s="181">
        <f t="shared" si="24"/>
        <v>0</v>
      </c>
      <c r="M503" s="229" t="str">
        <f t="shared" si="25"/>
        <v/>
      </c>
      <c r="N503" s="232"/>
    </row>
    <row r="504" spans="1:14" ht="15" thickBot="1">
      <c r="A504" s="170"/>
      <c r="B504" s="171"/>
      <c r="C504" s="172"/>
      <c r="D504" s="173"/>
      <c r="E504" s="174"/>
      <c r="F504" s="175"/>
      <c r="G504" s="176"/>
      <c r="H504" s="177"/>
      <c r="I504" s="178"/>
      <c r="J504" s="179" t="str">
        <f t="shared" si="23"/>
        <v/>
      </c>
      <c r="K504" s="180"/>
      <c r="L504" s="181">
        <f t="shared" si="24"/>
        <v>0</v>
      </c>
      <c r="M504" s="229" t="str">
        <f t="shared" si="25"/>
        <v/>
      </c>
      <c r="N504" s="232"/>
    </row>
    <row r="505" spans="1:14" ht="15" thickBot="1">
      <c r="A505" s="170"/>
      <c r="B505" s="171"/>
      <c r="C505" s="172"/>
      <c r="D505" s="173"/>
      <c r="E505" s="174"/>
      <c r="F505" s="175"/>
      <c r="G505" s="176"/>
      <c r="H505" s="177"/>
      <c r="I505" s="178"/>
      <c r="J505" s="179" t="str">
        <f t="shared" ref="J505:J568" si="26">IF(H505 &gt; 0, I505 / H505, "")</f>
        <v/>
      </c>
      <c r="K505" s="180"/>
      <c r="L505" s="181">
        <f t="shared" ref="L505:L568" si="27">MAX(0, H505 - K505)</f>
        <v>0</v>
      </c>
      <c r="M505" s="229" t="str">
        <f t="shared" si="25"/>
        <v/>
      </c>
      <c r="N505" s="232"/>
    </row>
    <row r="506" spans="1:14" ht="15" thickBot="1">
      <c r="A506" s="170"/>
      <c r="B506" s="171"/>
      <c r="C506" s="172"/>
      <c r="D506" s="173"/>
      <c r="E506" s="174"/>
      <c r="F506" s="175"/>
      <c r="G506" s="176"/>
      <c r="H506" s="177"/>
      <c r="I506" s="178"/>
      <c r="J506" s="179" t="str">
        <f t="shared" si="26"/>
        <v/>
      </c>
      <c r="K506" s="180"/>
      <c r="L506" s="181">
        <f t="shared" si="27"/>
        <v>0</v>
      </c>
      <c r="M506" s="229" t="str">
        <f t="shared" si="25"/>
        <v/>
      </c>
      <c r="N506" s="232"/>
    </row>
    <row r="507" spans="1:14" ht="15" thickBot="1">
      <c r="A507" s="170"/>
      <c r="B507" s="171"/>
      <c r="C507" s="172"/>
      <c r="D507" s="173"/>
      <c r="E507" s="174"/>
      <c r="F507" s="175"/>
      <c r="G507" s="176"/>
      <c r="H507" s="177"/>
      <c r="I507" s="178"/>
      <c r="J507" s="179" t="str">
        <f t="shared" si="26"/>
        <v/>
      </c>
      <c r="K507" s="180"/>
      <c r="L507" s="181">
        <f t="shared" si="27"/>
        <v>0</v>
      </c>
      <c r="M507" s="229" t="str">
        <f t="shared" si="25"/>
        <v/>
      </c>
      <c r="N507" s="232"/>
    </row>
    <row r="508" spans="1:14" ht="15" thickBot="1">
      <c r="A508" s="170"/>
      <c r="B508" s="171"/>
      <c r="C508" s="172"/>
      <c r="D508" s="173"/>
      <c r="E508" s="174"/>
      <c r="F508" s="175"/>
      <c r="G508" s="176"/>
      <c r="H508" s="177"/>
      <c r="I508" s="178"/>
      <c r="J508" s="179" t="str">
        <f t="shared" si="26"/>
        <v/>
      </c>
      <c r="K508" s="180"/>
      <c r="L508" s="181">
        <f t="shared" si="27"/>
        <v>0</v>
      </c>
      <c r="M508" s="229" t="str">
        <f t="shared" si="25"/>
        <v/>
      </c>
      <c r="N508" s="232"/>
    </row>
    <row r="509" spans="1:14" ht="15" thickBot="1">
      <c r="A509" s="170"/>
      <c r="B509" s="171"/>
      <c r="C509" s="172"/>
      <c r="D509" s="173"/>
      <c r="E509" s="174"/>
      <c r="F509" s="175"/>
      <c r="G509" s="176"/>
      <c r="H509" s="177"/>
      <c r="I509" s="178"/>
      <c r="J509" s="179" t="str">
        <f t="shared" si="26"/>
        <v/>
      </c>
      <c r="K509" s="180"/>
      <c r="L509" s="181">
        <f t="shared" si="27"/>
        <v>0</v>
      </c>
      <c r="M509" s="229" t="str">
        <f t="shared" si="25"/>
        <v/>
      </c>
      <c r="N509" s="232"/>
    </row>
    <row r="510" spans="1:14" ht="15" thickBot="1">
      <c r="A510" s="170"/>
      <c r="B510" s="171"/>
      <c r="C510" s="172"/>
      <c r="D510" s="173"/>
      <c r="E510" s="174"/>
      <c r="F510" s="175"/>
      <c r="G510" s="176"/>
      <c r="H510" s="177"/>
      <c r="I510" s="178"/>
      <c r="J510" s="179" t="str">
        <f t="shared" si="26"/>
        <v/>
      </c>
      <c r="K510" s="180"/>
      <c r="L510" s="181">
        <f t="shared" si="27"/>
        <v>0</v>
      </c>
      <c r="M510" s="229" t="str">
        <f t="shared" si="25"/>
        <v/>
      </c>
      <c r="N510" s="232"/>
    </row>
    <row r="511" spans="1:14" ht="15" thickBot="1">
      <c r="A511" s="170"/>
      <c r="B511" s="171"/>
      <c r="C511" s="172"/>
      <c r="D511" s="173"/>
      <c r="E511" s="174"/>
      <c r="F511" s="175"/>
      <c r="G511" s="176"/>
      <c r="H511" s="177"/>
      <c r="I511" s="178"/>
      <c r="J511" s="179" t="str">
        <f t="shared" si="26"/>
        <v/>
      </c>
      <c r="K511" s="180"/>
      <c r="L511" s="181">
        <f t="shared" si="27"/>
        <v>0</v>
      </c>
      <c r="M511" s="229" t="str">
        <f t="shared" si="25"/>
        <v/>
      </c>
      <c r="N511" s="232"/>
    </row>
    <row r="512" spans="1:14" ht="15" thickBot="1">
      <c r="A512" s="170"/>
      <c r="B512" s="171"/>
      <c r="C512" s="172"/>
      <c r="D512" s="173"/>
      <c r="E512" s="174"/>
      <c r="F512" s="175"/>
      <c r="G512" s="176"/>
      <c r="H512" s="177"/>
      <c r="I512" s="178"/>
      <c r="J512" s="179" t="str">
        <f t="shared" si="26"/>
        <v/>
      </c>
      <c r="K512" s="180"/>
      <c r="L512" s="181">
        <f t="shared" si="27"/>
        <v>0</v>
      </c>
      <c r="M512" s="229" t="str">
        <f t="shared" si="25"/>
        <v/>
      </c>
      <c r="N512" s="232"/>
    </row>
    <row r="513" spans="1:14" ht="15" thickBot="1">
      <c r="A513" s="170"/>
      <c r="B513" s="171"/>
      <c r="C513" s="172"/>
      <c r="D513" s="173"/>
      <c r="E513" s="174"/>
      <c r="F513" s="175"/>
      <c r="G513" s="176"/>
      <c r="H513" s="177"/>
      <c r="I513" s="178"/>
      <c r="J513" s="179" t="str">
        <f t="shared" si="26"/>
        <v/>
      </c>
      <c r="K513" s="180"/>
      <c r="L513" s="181">
        <f t="shared" si="27"/>
        <v>0</v>
      </c>
      <c r="M513" s="229" t="str">
        <f t="shared" si="25"/>
        <v/>
      </c>
      <c r="N513" s="232"/>
    </row>
    <row r="514" spans="1:14" ht="15" thickBot="1">
      <c r="A514" s="170"/>
      <c r="B514" s="171"/>
      <c r="C514" s="172"/>
      <c r="D514" s="173"/>
      <c r="E514" s="174"/>
      <c r="F514" s="175"/>
      <c r="G514" s="176"/>
      <c r="H514" s="177"/>
      <c r="I514" s="178"/>
      <c r="J514" s="179" t="str">
        <f t="shared" si="26"/>
        <v/>
      </c>
      <c r="K514" s="180"/>
      <c r="L514" s="181">
        <f t="shared" si="27"/>
        <v>0</v>
      </c>
      <c r="M514" s="229" t="str">
        <f t="shared" si="25"/>
        <v/>
      </c>
      <c r="N514" s="232"/>
    </row>
    <row r="515" spans="1:14" ht="15" thickBot="1">
      <c r="A515" s="170"/>
      <c r="B515" s="171"/>
      <c r="C515" s="172"/>
      <c r="D515" s="173"/>
      <c r="E515" s="174"/>
      <c r="F515" s="175"/>
      <c r="G515" s="176"/>
      <c r="H515" s="177"/>
      <c r="I515" s="178"/>
      <c r="J515" s="179" t="str">
        <f t="shared" si="26"/>
        <v/>
      </c>
      <c r="K515" s="180"/>
      <c r="L515" s="181">
        <f t="shared" si="27"/>
        <v>0</v>
      </c>
      <c r="M515" s="229" t="str">
        <f t="shared" si="25"/>
        <v/>
      </c>
      <c r="N515" s="232"/>
    </row>
    <row r="516" spans="1:14" ht="15" thickBot="1">
      <c r="A516" s="170"/>
      <c r="B516" s="171"/>
      <c r="C516" s="172"/>
      <c r="D516" s="173"/>
      <c r="E516" s="174"/>
      <c r="F516" s="175"/>
      <c r="G516" s="176"/>
      <c r="H516" s="177"/>
      <c r="I516" s="178"/>
      <c r="J516" s="179" t="str">
        <f t="shared" si="26"/>
        <v/>
      </c>
      <c r="K516" s="180"/>
      <c r="L516" s="181">
        <f t="shared" si="27"/>
        <v>0</v>
      </c>
      <c r="M516" s="229" t="str">
        <f t="shared" si="25"/>
        <v/>
      </c>
      <c r="N516" s="232"/>
    </row>
    <row r="517" spans="1:14" ht="15" thickBot="1">
      <c r="A517" s="170"/>
      <c r="B517" s="171"/>
      <c r="C517" s="172"/>
      <c r="D517" s="173"/>
      <c r="E517" s="174"/>
      <c r="F517" s="175"/>
      <c r="G517" s="176"/>
      <c r="H517" s="177"/>
      <c r="I517" s="178"/>
      <c r="J517" s="179" t="str">
        <f t="shared" si="26"/>
        <v/>
      </c>
      <c r="K517" s="180"/>
      <c r="L517" s="181">
        <f t="shared" si="27"/>
        <v>0</v>
      </c>
      <c r="M517" s="229" t="str">
        <f t="shared" si="25"/>
        <v/>
      </c>
      <c r="N517" s="232"/>
    </row>
    <row r="518" spans="1:14" ht="15" thickBot="1">
      <c r="A518" s="170"/>
      <c r="B518" s="171"/>
      <c r="C518" s="172"/>
      <c r="D518" s="173"/>
      <c r="E518" s="174"/>
      <c r="F518" s="175"/>
      <c r="G518" s="176"/>
      <c r="H518" s="177"/>
      <c r="I518" s="178"/>
      <c r="J518" s="179" t="str">
        <f t="shared" si="26"/>
        <v/>
      </c>
      <c r="K518" s="180"/>
      <c r="L518" s="181">
        <f t="shared" si="27"/>
        <v>0</v>
      </c>
      <c r="M518" s="229" t="str">
        <f t="shared" si="25"/>
        <v/>
      </c>
      <c r="N518" s="232"/>
    </row>
    <row r="519" spans="1:14" ht="15" thickBot="1">
      <c r="A519" s="170"/>
      <c r="B519" s="171"/>
      <c r="C519" s="172"/>
      <c r="D519" s="173"/>
      <c r="E519" s="174"/>
      <c r="F519" s="175"/>
      <c r="G519" s="176"/>
      <c r="H519" s="177"/>
      <c r="I519" s="178"/>
      <c r="J519" s="179" t="str">
        <f t="shared" si="26"/>
        <v/>
      </c>
      <c r="K519" s="180"/>
      <c r="L519" s="181">
        <f t="shared" si="27"/>
        <v>0</v>
      </c>
      <c r="M519" s="229" t="str">
        <f t="shared" si="25"/>
        <v/>
      </c>
      <c r="N519" s="232"/>
    </row>
    <row r="520" spans="1:14" ht="15" thickBot="1">
      <c r="A520" s="170"/>
      <c r="B520" s="171"/>
      <c r="C520" s="172"/>
      <c r="D520" s="173"/>
      <c r="E520" s="174"/>
      <c r="F520" s="175"/>
      <c r="G520" s="176"/>
      <c r="H520" s="177"/>
      <c r="I520" s="178"/>
      <c r="J520" s="179" t="str">
        <f t="shared" si="26"/>
        <v/>
      </c>
      <c r="K520" s="180"/>
      <c r="L520" s="181">
        <f t="shared" si="27"/>
        <v>0</v>
      </c>
      <c r="M520" s="229" t="str">
        <f t="shared" si="25"/>
        <v/>
      </c>
      <c r="N520" s="232"/>
    </row>
    <row r="521" spans="1:14" ht="15" thickBot="1">
      <c r="A521" s="170"/>
      <c r="B521" s="171"/>
      <c r="C521" s="172"/>
      <c r="D521" s="173"/>
      <c r="E521" s="174"/>
      <c r="F521" s="175"/>
      <c r="G521" s="176"/>
      <c r="H521" s="177"/>
      <c r="I521" s="178"/>
      <c r="J521" s="179" t="str">
        <f t="shared" si="26"/>
        <v/>
      </c>
      <c r="K521" s="180"/>
      <c r="L521" s="181">
        <f t="shared" si="27"/>
        <v>0</v>
      </c>
      <c r="M521" s="229" t="str">
        <f t="shared" si="25"/>
        <v/>
      </c>
      <c r="N521" s="232"/>
    </row>
    <row r="522" spans="1:14" ht="15" thickBot="1">
      <c r="A522" s="170"/>
      <c r="B522" s="171"/>
      <c r="C522" s="172"/>
      <c r="D522" s="173"/>
      <c r="E522" s="174"/>
      <c r="F522" s="175"/>
      <c r="G522" s="176"/>
      <c r="H522" s="177"/>
      <c r="I522" s="178"/>
      <c r="J522" s="179" t="str">
        <f t="shared" si="26"/>
        <v/>
      </c>
      <c r="K522" s="180"/>
      <c r="L522" s="181">
        <f t="shared" si="27"/>
        <v>0</v>
      </c>
      <c r="M522" s="229" t="str">
        <f t="shared" si="25"/>
        <v/>
      </c>
      <c r="N522" s="232"/>
    </row>
    <row r="523" spans="1:14" ht="15" thickBot="1">
      <c r="A523" s="170"/>
      <c r="B523" s="171"/>
      <c r="C523" s="172"/>
      <c r="D523" s="173"/>
      <c r="E523" s="174"/>
      <c r="F523" s="175"/>
      <c r="G523" s="176"/>
      <c r="H523" s="177"/>
      <c r="I523" s="178"/>
      <c r="J523" s="179" t="str">
        <f t="shared" si="26"/>
        <v/>
      </c>
      <c r="K523" s="180"/>
      <c r="L523" s="181">
        <f t="shared" si="27"/>
        <v>0</v>
      </c>
      <c r="M523" s="229" t="str">
        <f t="shared" si="25"/>
        <v/>
      </c>
      <c r="N523" s="232"/>
    </row>
    <row r="524" spans="1:14" ht="15" thickBot="1">
      <c r="A524" s="170"/>
      <c r="B524" s="171"/>
      <c r="C524" s="172"/>
      <c r="D524" s="173"/>
      <c r="E524" s="174"/>
      <c r="F524" s="175"/>
      <c r="G524" s="176"/>
      <c r="H524" s="177"/>
      <c r="I524" s="178"/>
      <c r="J524" s="179" t="str">
        <f t="shared" si="26"/>
        <v/>
      </c>
      <c r="K524" s="180"/>
      <c r="L524" s="181">
        <f t="shared" si="27"/>
        <v>0</v>
      </c>
      <c r="M524" s="229" t="str">
        <f t="shared" si="25"/>
        <v/>
      </c>
      <c r="N524" s="232"/>
    </row>
    <row r="525" spans="1:14" ht="15" thickBot="1">
      <c r="A525" s="170"/>
      <c r="B525" s="171"/>
      <c r="C525" s="172"/>
      <c r="D525" s="173"/>
      <c r="E525" s="174"/>
      <c r="F525" s="175"/>
      <c r="G525" s="176"/>
      <c r="H525" s="177"/>
      <c r="I525" s="178"/>
      <c r="J525" s="179" t="str">
        <f t="shared" si="26"/>
        <v/>
      </c>
      <c r="K525" s="180"/>
      <c r="L525" s="181">
        <f t="shared" si="27"/>
        <v>0</v>
      </c>
      <c r="M525" s="229" t="str">
        <f t="shared" si="25"/>
        <v/>
      </c>
      <c r="N525" s="232"/>
    </row>
    <row r="526" spans="1:14" ht="15" thickBot="1">
      <c r="A526" s="170"/>
      <c r="B526" s="171"/>
      <c r="C526" s="172"/>
      <c r="D526" s="173"/>
      <c r="E526" s="174"/>
      <c r="F526" s="175"/>
      <c r="G526" s="176"/>
      <c r="H526" s="177"/>
      <c r="I526" s="178"/>
      <c r="J526" s="179" t="str">
        <f t="shared" si="26"/>
        <v/>
      </c>
      <c r="K526" s="180"/>
      <c r="L526" s="181">
        <f t="shared" si="27"/>
        <v>0</v>
      </c>
      <c r="M526" s="229" t="str">
        <f t="shared" ref="M526:M589" si="28">IF(J526 &lt;&gt; "", J526 * L526, "")</f>
        <v/>
      </c>
      <c r="N526" s="232"/>
    </row>
    <row r="527" spans="1:14" ht="15" thickBot="1">
      <c r="A527" s="170"/>
      <c r="B527" s="171"/>
      <c r="C527" s="172"/>
      <c r="D527" s="173"/>
      <c r="E527" s="174"/>
      <c r="F527" s="175"/>
      <c r="G527" s="176"/>
      <c r="H527" s="177"/>
      <c r="I527" s="178"/>
      <c r="J527" s="179" t="str">
        <f t="shared" si="26"/>
        <v/>
      </c>
      <c r="K527" s="180"/>
      <c r="L527" s="181">
        <f t="shared" si="27"/>
        <v>0</v>
      </c>
      <c r="M527" s="229" t="str">
        <f t="shared" si="28"/>
        <v/>
      </c>
      <c r="N527" s="232"/>
    </row>
    <row r="528" spans="1:14" ht="15" thickBot="1">
      <c r="A528" s="170"/>
      <c r="B528" s="171"/>
      <c r="C528" s="172"/>
      <c r="D528" s="173"/>
      <c r="E528" s="174"/>
      <c r="F528" s="175"/>
      <c r="G528" s="176"/>
      <c r="H528" s="177"/>
      <c r="I528" s="178"/>
      <c r="J528" s="179" t="str">
        <f t="shared" si="26"/>
        <v/>
      </c>
      <c r="K528" s="180"/>
      <c r="L528" s="181">
        <f t="shared" si="27"/>
        <v>0</v>
      </c>
      <c r="M528" s="229" t="str">
        <f t="shared" si="28"/>
        <v/>
      </c>
      <c r="N528" s="232"/>
    </row>
    <row r="529" spans="1:14" ht="15" thickBot="1">
      <c r="A529" s="170"/>
      <c r="B529" s="171"/>
      <c r="C529" s="172"/>
      <c r="D529" s="173"/>
      <c r="E529" s="174"/>
      <c r="F529" s="175"/>
      <c r="G529" s="176"/>
      <c r="H529" s="177"/>
      <c r="I529" s="178"/>
      <c r="J529" s="179" t="str">
        <f t="shared" si="26"/>
        <v/>
      </c>
      <c r="K529" s="180"/>
      <c r="L529" s="181">
        <f t="shared" si="27"/>
        <v>0</v>
      </c>
      <c r="M529" s="229" t="str">
        <f t="shared" si="28"/>
        <v/>
      </c>
      <c r="N529" s="232"/>
    </row>
    <row r="530" spans="1:14" ht="15" thickBot="1">
      <c r="A530" s="170"/>
      <c r="B530" s="171"/>
      <c r="C530" s="172"/>
      <c r="D530" s="173"/>
      <c r="E530" s="174"/>
      <c r="F530" s="175"/>
      <c r="G530" s="176"/>
      <c r="H530" s="177"/>
      <c r="I530" s="178"/>
      <c r="J530" s="179" t="str">
        <f t="shared" si="26"/>
        <v/>
      </c>
      <c r="K530" s="180"/>
      <c r="L530" s="181">
        <f t="shared" si="27"/>
        <v>0</v>
      </c>
      <c r="M530" s="229" t="str">
        <f t="shared" si="28"/>
        <v/>
      </c>
      <c r="N530" s="232"/>
    </row>
    <row r="531" spans="1:14" ht="15" thickBot="1">
      <c r="A531" s="170"/>
      <c r="B531" s="171"/>
      <c r="C531" s="172"/>
      <c r="D531" s="173"/>
      <c r="E531" s="174"/>
      <c r="F531" s="175"/>
      <c r="G531" s="176"/>
      <c r="H531" s="177"/>
      <c r="I531" s="178"/>
      <c r="J531" s="179" t="str">
        <f t="shared" si="26"/>
        <v/>
      </c>
      <c r="K531" s="180"/>
      <c r="L531" s="181">
        <f t="shared" si="27"/>
        <v>0</v>
      </c>
      <c r="M531" s="229" t="str">
        <f t="shared" si="28"/>
        <v/>
      </c>
      <c r="N531" s="232"/>
    </row>
    <row r="532" spans="1:14" ht="15" thickBot="1">
      <c r="A532" s="170"/>
      <c r="B532" s="171"/>
      <c r="C532" s="172"/>
      <c r="D532" s="173"/>
      <c r="E532" s="174"/>
      <c r="F532" s="175"/>
      <c r="G532" s="176"/>
      <c r="H532" s="177"/>
      <c r="I532" s="178"/>
      <c r="J532" s="179" t="str">
        <f t="shared" si="26"/>
        <v/>
      </c>
      <c r="K532" s="180"/>
      <c r="L532" s="181">
        <f t="shared" si="27"/>
        <v>0</v>
      </c>
      <c r="M532" s="229" t="str">
        <f t="shared" si="28"/>
        <v/>
      </c>
      <c r="N532" s="232"/>
    </row>
    <row r="533" spans="1:14" ht="15" thickBot="1">
      <c r="A533" s="170"/>
      <c r="B533" s="171"/>
      <c r="C533" s="172"/>
      <c r="D533" s="173"/>
      <c r="E533" s="174"/>
      <c r="F533" s="175"/>
      <c r="G533" s="176"/>
      <c r="H533" s="177"/>
      <c r="I533" s="178"/>
      <c r="J533" s="179" t="str">
        <f t="shared" si="26"/>
        <v/>
      </c>
      <c r="K533" s="180"/>
      <c r="L533" s="181">
        <f t="shared" si="27"/>
        <v>0</v>
      </c>
      <c r="M533" s="229" t="str">
        <f t="shared" si="28"/>
        <v/>
      </c>
      <c r="N533" s="232"/>
    </row>
    <row r="534" spans="1:14" ht="15" thickBot="1">
      <c r="A534" s="170"/>
      <c r="B534" s="171"/>
      <c r="C534" s="172"/>
      <c r="D534" s="173"/>
      <c r="E534" s="174"/>
      <c r="F534" s="175"/>
      <c r="G534" s="176"/>
      <c r="H534" s="177"/>
      <c r="I534" s="178"/>
      <c r="J534" s="179" t="str">
        <f t="shared" si="26"/>
        <v/>
      </c>
      <c r="K534" s="180"/>
      <c r="L534" s="181">
        <f t="shared" si="27"/>
        <v>0</v>
      </c>
      <c r="M534" s="229" t="str">
        <f t="shared" si="28"/>
        <v/>
      </c>
      <c r="N534" s="232"/>
    </row>
    <row r="535" spans="1:14" ht="15" thickBot="1">
      <c r="A535" s="170"/>
      <c r="B535" s="171"/>
      <c r="C535" s="172"/>
      <c r="D535" s="173"/>
      <c r="E535" s="174"/>
      <c r="F535" s="175"/>
      <c r="G535" s="176"/>
      <c r="H535" s="177"/>
      <c r="I535" s="178"/>
      <c r="J535" s="179" t="str">
        <f t="shared" si="26"/>
        <v/>
      </c>
      <c r="K535" s="180"/>
      <c r="L535" s="181">
        <f t="shared" si="27"/>
        <v>0</v>
      </c>
      <c r="M535" s="229" t="str">
        <f t="shared" si="28"/>
        <v/>
      </c>
      <c r="N535" s="232"/>
    </row>
    <row r="536" spans="1:14" ht="15" thickBot="1">
      <c r="A536" s="170"/>
      <c r="B536" s="171"/>
      <c r="C536" s="172"/>
      <c r="D536" s="173"/>
      <c r="E536" s="174"/>
      <c r="F536" s="175"/>
      <c r="G536" s="176"/>
      <c r="H536" s="177"/>
      <c r="I536" s="178"/>
      <c r="J536" s="179" t="str">
        <f t="shared" si="26"/>
        <v/>
      </c>
      <c r="K536" s="180"/>
      <c r="L536" s="181">
        <f t="shared" si="27"/>
        <v>0</v>
      </c>
      <c r="M536" s="229" t="str">
        <f t="shared" si="28"/>
        <v/>
      </c>
      <c r="N536" s="232"/>
    </row>
    <row r="537" spans="1:14" ht="15" thickBot="1">
      <c r="A537" s="170"/>
      <c r="B537" s="171"/>
      <c r="C537" s="172"/>
      <c r="D537" s="173"/>
      <c r="E537" s="174"/>
      <c r="F537" s="175"/>
      <c r="G537" s="176"/>
      <c r="H537" s="177"/>
      <c r="I537" s="178"/>
      <c r="J537" s="179" t="str">
        <f t="shared" si="26"/>
        <v/>
      </c>
      <c r="K537" s="180"/>
      <c r="L537" s="181">
        <f t="shared" si="27"/>
        <v>0</v>
      </c>
      <c r="M537" s="229" t="str">
        <f t="shared" si="28"/>
        <v/>
      </c>
      <c r="N537" s="232"/>
    </row>
    <row r="538" spans="1:14" ht="15" thickBot="1">
      <c r="A538" s="170"/>
      <c r="B538" s="171"/>
      <c r="C538" s="172"/>
      <c r="D538" s="173"/>
      <c r="E538" s="174"/>
      <c r="F538" s="175"/>
      <c r="G538" s="176"/>
      <c r="H538" s="177"/>
      <c r="I538" s="178"/>
      <c r="J538" s="179" t="str">
        <f t="shared" si="26"/>
        <v/>
      </c>
      <c r="K538" s="180"/>
      <c r="L538" s="181">
        <f t="shared" si="27"/>
        <v>0</v>
      </c>
      <c r="M538" s="229" t="str">
        <f t="shared" si="28"/>
        <v/>
      </c>
      <c r="N538" s="232"/>
    </row>
    <row r="539" spans="1:14" ht="15" thickBot="1">
      <c r="A539" s="170"/>
      <c r="B539" s="171"/>
      <c r="C539" s="172"/>
      <c r="D539" s="173"/>
      <c r="E539" s="174"/>
      <c r="F539" s="175"/>
      <c r="G539" s="176"/>
      <c r="H539" s="177"/>
      <c r="I539" s="178"/>
      <c r="J539" s="179" t="str">
        <f t="shared" si="26"/>
        <v/>
      </c>
      <c r="K539" s="180"/>
      <c r="L539" s="181">
        <f t="shared" si="27"/>
        <v>0</v>
      </c>
      <c r="M539" s="229" t="str">
        <f t="shared" si="28"/>
        <v/>
      </c>
      <c r="N539" s="232"/>
    </row>
    <row r="540" spans="1:14" ht="15" thickBot="1">
      <c r="A540" s="170"/>
      <c r="B540" s="171"/>
      <c r="C540" s="172"/>
      <c r="D540" s="173"/>
      <c r="E540" s="174"/>
      <c r="F540" s="175"/>
      <c r="G540" s="176"/>
      <c r="H540" s="177"/>
      <c r="I540" s="178"/>
      <c r="J540" s="179" t="str">
        <f t="shared" si="26"/>
        <v/>
      </c>
      <c r="K540" s="180"/>
      <c r="L540" s="181">
        <f t="shared" si="27"/>
        <v>0</v>
      </c>
      <c r="M540" s="229" t="str">
        <f t="shared" si="28"/>
        <v/>
      </c>
      <c r="N540" s="232"/>
    </row>
    <row r="541" spans="1:14" ht="15" thickBot="1">
      <c r="A541" s="170"/>
      <c r="B541" s="171"/>
      <c r="C541" s="172"/>
      <c r="D541" s="173"/>
      <c r="E541" s="174"/>
      <c r="F541" s="175"/>
      <c r="G541" s="176"/>
      <c r="H541" s="177"/>
      <c r="I541" s="178"/>
      <c r="J541" s="179" t="str">
        <f t="shared" si="26"/>
        <v/>
      </c>
      <c r="K541" s="180"/>
      <c r="L541" s="181">
        <f t="shared" si="27"/>
        <v>0</v>
      </c>
      <c r="M541" s="229" t="str">
        <f t="shared" si="28"/>
        <v/>
      </c>
      <c r="N541" s="232"/>
    </row>
    <row r="542" spans="1:14" ht="15" thickBot="1">
      <c r="A542" s="170"/>
      <c r="B542" s="171"/>
      <c r="C542" s="172"/>
      <c r="D542" s="173"/>
      <c r="E542" s="174"/>
      <c r="F542" s="175"/>
      <c r="G542" s="176"/>
      <c r="H542" s="177"/>
      <c r="I542" s="178"/>
      <c r="J542" s="179" t="str">
        <f t="shared" si="26"/>
        <v/>
      </c>
      <c r="K542" s="180"/>
      <c r="L542" s="181">
        <f t="shared" si="27"/>
        <v>0</v>
      </c>
      <c r="M542" s="229" t="str">
        <f t="shared" si="28"/>
        <v/>
      </c>
      <c r="N542" s="232"/>
    </row>
    <row r="543" spans="1:14" ht="15" thickBot="1">
      <c r="A543" s="170"/>
      <c r="B543" s="171"/>
      <c r="C543" s="172"/>
      <c r="D543" s="173"/>
      <c r="E543" s="174"/>
      <c r="F543" s="175"/>
      <c r="G543" s="176"/>
      <c r="H543" s="177"/>
      <c r="I543" s="178"/>
      <c r="J543" s="179" t="str">
        <f t="shared" si="26"/>
        <v/>
      </c>
      <c r="K543" s="180"/>
      <c r="L543" s="181">
        <f t="shared" si="27"/>
        <v>0</v>
      </c>
      <c r="M543" s="229" t="str">
        <f t="shared" si="28"/>
        <v/>
      </c>
      <c r="N543" s="232"/>
    </row>
    <row r="544" spans="1:14" ht="15" thickBot="1">
      <c r="A544" s="170"/>
      <c r="B544" s="171"/>
      <c r="C544" s="172"/>
      <c r="D544" s="173"/>
      <c r="E544" s="174"/>
      <c r="F544" s="175"/>
      <c r="G544" s="176"/>
      <c r="H544" s="177"/>
      <c r="I544" s="178"/>
      <c r="J544" s="179" t="str">
        <f t="shared" si="26"/>
        <v/>
      </c>
      <c r="K544" s="180"/>
      <c r="L544" s="181">
        <f t="shared" si="27"/>
        <v>0</v>
      </c>
      <c r="M544" s="229" t="str">
        <f t="shared" si="28"/>
        <v/>
      </c>
      <c r="N544" s="232"/>
    </row>
    <row r="545" spans="1:14" ht="15" thickBot="1">
      <c r="A545" s="170"/>
      <c r="B545" s="171"/>
      <c r="C545" s="172"/>
      <c r="D545" s="173"/>
      <c r="E545" s="174"/>
      <c r="F545" s="175"/>
      <c r="G545" s="176"/>
      <c r="H545" s="177"/>
      <c r="I545" s="178"/>
      <c r="J545" s="179" t="str">
        <f t="shared" si="26"/>
        <v/>
      </c>
      <c r="K545" s="180"/>
      <c r="L545" s="181">
        <f t="shared" si="27"/>
        <v>0</v>
      </c>
      <c r="M545" s="229" t="str">
        <f t="shared" si="28"/>
        <v/>
      </c>
      <c r="N545" s="232"/>
    </row>
    <row r="546" spans="1:14" ht="15" thickBot="1">
      <c r="A546" s="170"/>
      <c r="B546" s="171"/>
      <c r="C546" s="172"/>
      <c r="D546" s="173"/>
      <c r="E546" s="174"/>
      <c r="F546" s="175"/>
      <c r="G546" s="176"/>
      <c r="H546" s="177"/>
      <c r="I546" s="178"/>
      <c r="J546" s="179" t="str">
        <f t="shared" si="26"/>
        <v/>
      </c>
      <c r="K546" s="180"/>
      <c r="L546" s="181">
        <f t="shared" si="27"/>
        <v>0</v>
      </c>
      <c r="M546" s="229" t="str">
        <f t="shared" si="28"/>
        <v/>
      </c>
      <c r="N546" s="232"/>
    </row>
    <row r="547" spans="1:14" ht="15" thickBot="1">
      <c r="A547" s="170"/>
      <c r="B547" s="171"/>
      <c r="C547" s="172"/>
      <c r="D547" s="173"/>
      <c r="E547" s="174"/>
      <c r="F547" s="175"/>
      <c r="G547" s="176"/>
      <c r="H547" s="177"/>
      <c r="I547" s="178"/>
      <c r="J547" s="179" t="str">
        <f t="shared" si="26"/>
        <v/>
      </c>
      <c r="K547" s="180"/>
      <c r="L547" s="181">
        <f t="shared" si="27"/>
        <v>0</v>
      </c>
      <c r="M547" s="229" t="str">
        <f t="shared" si="28"/>
        <v/>
      </c>
      <c r="N547" s="232"/>
    </row>
    <row r="548" spans="1:14" ht="15" thickBot="1">
      <c r="A548" s="170"/>
      <c r="B548" s="171"/>
      <c r="C548" s="172"/>
      <c r="D548" s="173"/>
      <c r="E548" s="174"/>
      <c r="F548" s="175"/>
      <c r="G548" s="176"/>
      <c r="H548" s="177"/>
      <c r="I548" s="178"/>
      <c r="J548" s="179" t="str">
        <f t="shared" si="26"/>
        <v/>
      </c>
      <c r="K548" s="180"/>
      <c r="L548" s="181">
        <f t="shared" si="27"/>
        <v>0</v>
      </c>
      <c r="M548" s="229" t="str">
        <f t="shared" si="28"/>
        <v/>
      </c>
      <c r="N548" s="232"/>
    </row>
    <row r="549" spans="1:14" ht="15" thickBot="1">
      <c r="A549" s="170"/>
      <c r="B549" s="171"/>
      <c r="C549" s="172"/>
      <c r="D549" s="173"/>
      <c r="E549" s="174"/>
      <c r="F549" s="175"/>
      <c r="G549" s="176"/>
      <c r="H549" s="177"/>
      <c r="I549" s="178"/>
      <c r="J549" s="179" t="str">
        <f t="shared" si="26"/>
        <v/>
      </c>
      <c r="K549" s="180"/>
      <c r="L549" s="181">
        <f t="shared" si="27"/>
        <v>0</v>
      </c>
      <c r="M549" s="229" t="str">
        <f t="shared" si="28"/>
        <v/>
      </c>
      <c r="N549" s="232"/>
    </row>
    <row r="550" spans="1:14" ht="15" thickBot="1">
      <c r="A550" s="170"/>
      <c r="B550" s="171"/>
      <c r="C550" s="172"/>
      <c r="D550" s="173"/>
      <c r="E550" s="174"/>
      <c r="F550" s="175"/>
      <c r="G550" s="176"/>
      <c r="H550" s="177"/>
      <c r="I550" s="178"/>
      <c r="J550" s="179" t="str">
        <f t="shared" si="26"/>
        <v/>
      </c>
      <c r="K550" s="180"/>
      <c r="L550" s="181">
        <f t="shared" si="27"/>
        <v>0</v>
      </c>
      <c r="M550" s="229" t="str">
        <f t="shared" si="28"/>
        <v/>
      </c>
      <c r="N550" s="232"/>
    </row>
    <row r="551" spans="1:14" ht="15" thickBot="1">
      <c r="A551" s="170"/>
      <c r="B551" s="171"/>
      <c r="C551" s="172"/>
      <c r="D551" s="173"/>
      <c r="E551" s="174"/>
      <c r="F551" s="175"/>
      <c r="G551" s="176"/>
      <c r="H551" s="177"/>
      <c r="I551" s="178"/>
      <c r="J551" s="179" t="str">
        <f t="shared" si="26"/>
        <v/>
      </c>
      <c r="K551" s="180"/>
      <c r="L551" s="181">
        <f t="shared" si="27"/>
        <v>0</v>
      </c>
      <c r="M551" s="229" t="str">
        <f t="shared" si="28"/>
        <v/>
      </c>
      <c r="N551" s="232"/>
    </row>
    <row r="552" spans="1:14" ht="15" thickBot="1">
      <c r="A552" s="170"/>
      <c r="B552" s="171"/>
      <c r="C552" s="172"/>
      <c r="D552" s="173"/>
      <c r="E552" s="174"/>
      <c r="F552" s="175"/>
      <c r="G552" s="176"/>
      <c r="H552" s="177"/>
      <c r="I552" s="178"/>
      <c r="J552" s="179" t="str">
        <f t="shared" si="26"/>
        <v/>
      </c>
      <c r="K552" s="180"/>
      <c r="L552" s="181">
        <f t="shared" si="27"/>
        <v>0</v>
      </c>
      <c r="M552" s="229" t="str">
        <f t="shared" si="28"/>
        <v/>
      </c>
      <c r="N552" s="232"/>
    </row>
    <row r="553" spans="1:14" ht="15" thickBot="1">
      <c r="A553" s="170"/>
      <c r="B553" s="171"/>
      <c r="C553" s="172"/>
      <c r="D553" s="173"/>
      <c r="E553" s="174"/>
      <c r="F553" s="175"/>
      <c r="G553" s="176"/>
      <c r="H553" s="177"/>
      <c r="I553" s="178"/>
      <c r="J553" s="179" t="str">
        <f t="shared" si="26"/>
        <v/>
      </c>
      <c r="K553" s="180"/>
      <c r="L553" s="181">
        <f t="shared" si="27"/>
        <v>0</v>
      </c>
      <c r="M553" s="229" t="str">
        <f t="shared" si="28"/>
        <v/>
      </c>
      <c r="N553" s="232"/>
    </row>
    <row r="554" spans="1:14" ht="15" thickBot="1">
      <c r="A554" s="170"/>
      <c r="B554" s="171"/>
      <c r="C554" s="172"/>
      <c r="D554" s="173"/>
      <c r="E554" s="174"/>
      <c r="F554" s="175"/>
      <c r="G554" s="176"/>
      <c r="H554" s="177"/>
      <c r="I554" s="178"/>
      <c r="J554" s="179" t="str">
        <f t="shared" si="26"/>
        <v/>
      </c>
      <c r="K554" s="180"/>
      <c r="L554" s="181">
        <f t="shared" si="27"/>
        <v>0</v>
      </c>
      <c r="M554" s="229" t="str">
        <f t="shared" si="28"/>
        <v/>
      </c>
      <c r="N554" s="232"/>
    </row>
    <row r="555" spans="1:14" ht="15" thickBot="1">
      <c r="A555" s="170"/>
      <c r="B555" s="171"/>
      <c r="C555" s="172"/>
      <c r="D555" s="173"/>
      <c r="E555" s="174"/>
      <c r="F555" s="175"/>
      <c r="G555" s="176"/>
      <c r="H555" s="177"/>
      <c r="I555" s="178"/>
      <c r="J555" s="179" t="str">
        <f t="shared" si="26"/>
        <v/>
      </c>
      <c r="K555" s="180"/>
      <c r="L555" s="181">
        <f t="shared" si="27"/>
        <v>0</v>
      </c>
      <c r="M555" s="229" t="str">
        <f t="shared" si="28"/>
        <v/>
      </c>
      <c r="N555" s="232"/>
    </row>
    <row r="556" spans="1:14" ht="15" thickBot="1">
      <c r="A556" s="170"/>
      <c r="B556" s="171"/>
      <c r="C556" s="172"/>
      <c r="D556" s="173"/>
      <c r="E556" s="174"/>
      <c r="F556" s="175"/>
      <c r="G556" s="176"/>
      <c r="H556" s="177"/>
      <c r="I556" s="178"/>
      <c r="J556" s="179" t="str">
        <f t="shared" si="26"/>
        <v/>
      </c>
      <c r="K556" s="180"/>
      <c r="L556" s="181">
        <f t="shared" si="27"/>
        <v>0</v>
      </c>
      <c r="M556" s="229" t="str">
        <f t="shared" si="28"/>
        <v/>
      </c>
      <c r="N556" s="232"/>
    </row>
    <row r="557" spans="1:14" ht="15" thickBot="1">
      <c r="A557" s="170"/>
      <c r="B557" s="171"/>
      <c r="C557" s="172"/>
      <c r="D557" s="173"/>
      <c r="E557" s="174"/>
      <c r="F557" s="175"/>
      <c r="G557" s="176"/>
      <c r="H557" s="177"/>
      <c r="I557" s="178"/>
      <c r="J557" s="179" t="str">
        <f t="shared" si="26"/>
        <v/>
      </c>
      <c r="K557" s="180"/>
      <c r="L557" s="181">
        <f t="shared" si="27"/>
        <v>0</v>
      </c>
      <c r="M557" s="229" t="str">
        <f t="shared" si="28"/>
        <v/>
      </c>
      <c r="N557" s="232"/>
    </row>
    <row r="558" spans="1:14" ht="15" thickBot="1">
      <c r="A558" s="170"/>
      <c r="B558" s="171"/>
      <c r="C558" s="172"/>
      <c r="D558" s="173"/>
      <c r="E558" s="174"/>
      <c r="F558" s="175"/>
      <c r="G558" s="176"/>
      <c r="H558" s="177"/>
      <c r="I558" s="178"/>
      <c r="J558" s="179" t="str">
        <f t="shared" si="26"/>
        <v/>
      </c>
      <c r="K558" s="180"/>
      <c r="L558" s="181">
        <f t="shared" si="27"/>
        <v>0</v>
      </c>
      <c r="M558" s="229" t="str">
        <f t="shared" si="28"/>
        <v/>
      </c>
      <c r="N558" s="232"/>
    </row>
    <row r="559" spans="1:14" ht="15" thickBot="1">
      <c r="A559" s="170"/>
      <c r="B559" s="171"/>
      <c r="C559" s="172"/>
      <c r="D559" s="173"/>
      <c r="E559" s="174"/>
      <c r="F559" s="175"/>
      <c r="G559" s="176"/>
      <c r="H559" s="177"/>
      <c r="I559" s="178"/>
      <c r="J559" s="179" t="str">
        <f t="shared" si="26"/>
        <v/>
      </c>
      <c r="K559" s="180"/>
      <c r="L559" s="181">
        <f t="shared" si="27"/>
        <v>0</v>
      </c>
      <c r="M559" s="229" t="str">
        <f t="shared" si="28"/>
        <v/>
      </c>
      <c r="N559" s="232"/>
    </row>
    <row r="560" spans="1:14" ht="15" thickBot="1">
      <c r="A560" s="170"/>
      <c r="B560" s="171"/>
      <c r="C560" s="172"/>
      <c r="D560" s="173"/>
      <c r="E560" s="174"/>
      <c r="F560" s="175"/>
      <c r="G560" s="176"/>
      <c r="H560" s="177"/>
      <c r="I560" s="178"/>
      <c r="J560" s="179" t="str">
        <f t="shared" si="26"/>
        <v/>
      </c>
      <c r="K560" s="180"/>
      <c r="L560" s="181">
        <f t="shared" si="27"/>
        <v>0</v>
      </c>
      <c r="M560" s="229" t="str">
        <f t="shared" si="28"/>
        <v/>
      </c>
      <c r="N560" s="232"/>
    </row>
    <row r="561" spans="1:14" ht="15" thickBot="1">
      <c r="A561" s="170"/>
      <c r="B561" s="171"/>
      <c r="C561" s="172"/>
      <c r="D561" s="173"/>
      <c r="E561" s="174"/>
      <c r="F561" s="175"/>
      <c r="G561" s="176"/>
      <c r="H561" s="177"/>
      <c r="I561" s="178"/>
      <c r="J561" s="179" t="str">
        <f t="shared" si="26"/>
        <v/>
      </c>
      <c r="K561" s="180"/>
      <c r="L561" s="181">
        <f t="shared" si="27"/>
        <v>0</v>
      </c>
      <c r="M561" s="229" t="str">
        <f t="shared" si="28"/>
        <v/>
      </c>
      <c r="N561" s="232"/>
    </row>
    <row r="562" spans="1:14" ht="15" thickBot="1">
      <c r="A562" s="170"/>
      <c r="B562" s="171"/>
      <c r="C562" s="172"/>
      <c r="D562" s="173"/>
      <c r="E562" s="174"/>
      <c r="F562" s="175"/>
      <c r="G562" s="176"/>
      <c r="H562" s="177"/>
      <c r="I562" s="178"/>
      <c r="J562" s="179" t="str">
        <f t="shared" si="26"/>
        <v/>
      </c>
      <c r="K562" s="180"/>
      <c r="L562" s="181">
        <f t="shared" si="27"/>
        <v>0</v>
      </c>
      <c r="M562" s="229" t="str">
        <f t="shared" si="28"/>
        <v/>
      </c>
      <c r="N562" s="232"/>
    </row>
    <row r="563" spans="1:14" ht="15" thickBot="1">
      <c r="A563" s="170"/>
      <c r="B563" s="171"/>
      <c r="C563" s="172"/>
      <c r="D563" s="173"/>
      <c r="E563" s="174"/>
      <c r="F563" s="175"/>
      <c r="G563" s="176"/>
      <c r="H563" s="177"/>
      <c r="I563" s="178"/>
      <c r="J563" s="179" t="str">
        <f t="shared" si="26"/>
        <v/>
      </c>
      <c r="K563" s="180"/>
      <c r="L563" s="181">
        <f t="shared" si="27"/>
        <v>0</v>
      </c>
      <c r="M563" s="229" t="str">
        <f t="shared" si="28"/>
        <v/>
      </c>
      <c r="N563" s="232"/>
    </row>
    <row r="564" spans="1:14" ht="15" thickBot="1">
      <c r="A564" s="170"/>
      <c r="B564" s="171"/>
      <c r="C564" s="172"/>
      <c r="D564" s="173"/>
      <c r="E564" s="174"/>
      <c r="F564" s="175"/>
      <c r="G564" s="176"/>
      <c r="H564" s="177"/>
      <c r="I564" s="178"/>
      <c r="J564" s="179" t="str">
        <f t="shared" si="26"/>
        <v/>
      </c>
      <c r="K564" s="180"/>
      <c r="L564" s="181">
        <f t="shared" si="27"/>
        <v>0</v>
      </c>
      <c r="M564" s="229" t="str">
        <f t="shared" si="28"/>
        <v/>
      </c>
      <c r="N564" s="232"/>
    </row>
    <row r="565" spans="1:14" ht="15" thickBot="1">
      <c r="A565" s="170"/>
      <c r="B565" s="171"/>
      <c r="C565" s="172"/>
      <c r="D565" s="173"/>
      <c r="E565" s="174"/>
      <c r="F565" s="175"/>
      <c r="G565" s="176"/>
      <c r="H565" s="177"/>
      <c r="I565" s="178"/>
      <c r="J565" s="179" t="str">
        <f t="shared" si="26"/>
        <v/>
      </c>
      <c r="K565" s="180"/>
      <c r="L565" s="181">
        <f t="shared" si="27"/>
        <v>0</v>
      </c>
      <c r="M565" s="229" t="str">
        <f t="shared" si="28"/>
        <v/>
      </c>
      <c r="N565" s="232"/>
    </row>
    <row r="566" spans="1:14" ht="15" thickBot="1">
      <c r="A566" s="170"/>
      <c r="B566" s="171"/>
      <c r="C566" s="172"/>
      <c r="D566" s="173"/>
      <c r="E566" s="174"/>
      <c r="F566" s="175"/>
      <c r="G566" s="176"/>
      <c r="H566" s="177"/>
      <c r="I566" s="178"/>
      <c r="J566" s="179" t="str">
        <f t="shared" si="26"/>
        <v/>
      </c>
      <c r="K566" s="180"/>
      <c r="L566" s="181">
        <f t="shared" si="27"/>
        <v>0</v>
      </c>
      <c r="M566" s="229" t="str">
        <f t="shared" si="28"/>
        <v/>
      </c>
      <c r="N566" s="232"/>
    </row>
    <row r="567" spans="1:14" ht="15" thickBot="1">
      <c r="A567" s="170"/>
      <c r="B567" s="171"/>
      <c r="C567" s="172"/>
      <c r="D567" s="173"/>
      <c r="E567" s="174"/>
      <c r="F567" s="175"/>
      <c r="G567" s="176"/>
      <c r="H567" s="177"/>
      <c r="I567" s="178"/>
      <c r="J567" s="179" t="str">
        <f t="shared" si="26"/>
        <v/>
      </c>
      <c r="K567" s="180"/>
      <c r="L567" s="181">
        <f t="shared" si="27"/>
        <v>0</v>
      </c>
      <c r="M567" s="229" t="str">
        <f t="shared" si="28"/>
        <v/>
      </c>
      <c r="N567" s="232"/>
    </row>
    <row r="568" spans="1:14" ht="15" thickBot="1">
      <c r="A568" s="170"/>
      <c r="B568" s="171"/>
      <c r="C568" s="172"/>
      <c r="D568" s="173"/>
      <c r="E568" s="174"/>
      <c r="F568" s="175"/>
      <c r="G568" s="176"/>
      <c r="H568" s="177"/>
      <c r="I568" s="178"/>
      <c r="J568" s="179" t="str">
        <f t="shared" si="26"/>
        <v/>
      </c>
      <c r="K568" s="180"/>
      <c r="L568" s="181">
        <f t="shared" si="27"/>
        <v>0</v>
      </c>
      <c r="M568" s="229" t="str">
        <f t="shared" si="28"/>
        <v/>
      </c>
      <c r="N568" s="232"/>
    </row>
    <row r="569" spans="1:14" ht="15" thickBot="1">
      <c r="A569" s="170"/>
      <c r="B569" s="171"/>
      <c r="C569" s="172"/>
      <c r="D569" s="173"/>
      <c r="E569" s="174"/>
      <c r="F569" s="175"/>
      <c r="G569" s="176"/>
      <c r="H569" s="177"/>
      <c r="I569" s="178"/>
      <c r="J569" s="179" t="str">
        <f t="shared" ref="J569:J632" si="29">IF(H569 &gt; 0, I569 / H569, "")</f>
        <v/>
      </c>
      <c r="K569" s="180"/>
      <c r="L569" s="181">
        <f t="shared" ref="L569:L632" si="30">MAX(0, H569 - K569)</f>
        <v>0</v>
      </c>
      <c r="M569" s="229" t="str">
        <f t="shared" si="28"/>
        <v/>
      </c>
      <c r="N569" s="232"/>
    </row>
    <row r="570" spans="1:14" ht="15" thickBot="1">
      <c r="A570" s="170"/>
      <c r="B570" s="171"/>
      <c r="C570" s="172"/>
      <c r="D570" s="173"/>
      <c r="E570" s="174"/>
      <c r="F570" s="175"/>
      <c r="G570" s="176"/>
      <c r="H570" s="177"/>
      <c r="I570" s="178"/>
      <c r="J570" s="179" t="str">
        <f t="shared" si="29"/>
        <v/>
      </c>
      <c r="K570" s="180"/>
      <c r="L570" s="181">
        <f t="shared" si="30"/>
        <v>0</v>
      </c>
      <c r="M570" s="229" t="str">
        <f t="shared" si="28"/>
        <v/>
      </c>
      <c r="N570" s="232"/>
    </row>
    <row r="571" spans="1:14" ht="15" thickBot="1">
      <c r="A571" s="170"/>
      <c r="B571" s="171"/>
      <c r="C571" s="172"/>
      <c r="D571" s="173"/>
      <c r="E571" s="174"/>
      <c r="F571" s="175"/>
      <c r="G571" s="176"/>
      <c r="H571" s="177"/>
      <c r="I571" s="178"/>
      <c r="J571" s="179" t="str">
        <f t="shared" si="29"/>
        <v/>
      </c>
      <c r="K571" s="180"/>
      <c r="L571" s="181">
        <f t="shared" si="30"/>
        <v>0</v>
      </c>
      <c r="M571" s="229" t="str">
        <f t="shared" si="28"/>
        <v/>
      </c>
      <c r="N571" s="232"/>
    </row>
    <row r="572" spans="1:14" ht="15" thickBot="1">
      <c r="A572" s="170"/>
      <c r="B572" s="171"/>
      <c r="C572" s="172"/>
      <c r="D572" s="173"/>
      <c r="E572" s="174"/>
      <c r="F572" s="175"/>
      <c r="G572" s="176"/>
      <c r="H572" s="177"/>
      <c r="I572" s="178"/>
      <c r="J572" s="179" t="str">
        <f t="shared" si="29"/>
        <v/>
      </c>
      <c r="K572" s="180"/>
      <c r="L572" s="181">
        <f t="shared" si="30"/>
        <v>0</v>
      </c>
      <c r="M572" s="229" t="str">
        <f t="shared" si="28"/>
        <v/>
      </c>
      <c r="N572" s="232"/>
    </row>
    <row r="573" spans="1:14" ht="15" thickBot="1">
      <c r="A573" s="170"/>
      <c r="B573" s="171"/>
      <c r="C573" s="172"/>
      <c r="D573" s="173"/>
      <c r="E573" s="174"/>
      <c r="F573" s="175"/>
      <c r="G573" s="176"/>
      <c r="H573" s="177"/>
      <c r="I573" s="178"/>
      <c r="J573" s="179" t="str">
        <f t="shared" si="29"/>
        <v/>
      </c>
      <c r="K573" s="180"/>
      <c r="L573" s="181">
        <f t="shared" si="30"/>
        <v>0</v>
      </c>
      <c r="M573" s="229" t="str">
        <f t="shared" si="28"/>
        <v/>
      </c>
      <c r="N573" s="232"/>
    </row>
    <row r="574" spans="1:14" ht="15" thickBot="1">
      <c r="A574" s="170"/>
      <c r="B574" s="171"/>
      <c r="C574" s="172"/>
      <c r="D574" s="173"/>
      <c r="E574" s="174"/>
      <c r="F574" s="175"/>
      <c r="G574" s="176"/>
      <c r="H574" s="177"/>
      <c r="I574" s="178"/>
      <c r="J574" s="179" t="str">
        <f t="shared" si="29"/>
        <v/>
      </c>
      <c r="K574" s="180"/>
      <c r="L574" s="181">
        <f t="shared" si="30"/>
        <v>0</v>
      </c>
      <c r="M574" s="229" t="str">
        <f t="shared" si="28"/>
        <v/>
      </c>
      <c r="N574" s="232"/>
    </row>
    <row r="575" spans="1:14" ht="15" thickBot="1">
      <c r="A575" s="170"/>
      <c r="B575" s="171"/>
      <c r="C575" s="172"/>
      <c r="D575" s="173"/>
      <c r="E575" s="174"/>
      <c r="F575" s="175"/>
      <c r="G575" s="176"/>
      <c r="H575" s="177"/>
      <c r="I575" s="178"/>
      <c r="J575" s="179" t="str">
        <f t="shared" si="29"/>
        <v/>
      </c>
      <c r="K575" s="180"/>
      <c r="L575" s="181">
        <f t="shared" si="30"/>
        <v>0</v>
      </c>
      <c r="M575" s="229" t="str">
        <f t="shared" si="28"/>
        <v/>
      </c>
      <c r="N575" s="232"/>
    </row>
    <row r="576" spans="1:14" ht="15" thickBot="1">
      <c r="A576" s="170"/>
      <c r="B576" s="171"/>
      <c r="C576" s="172"/>
      <c r="D576" s="173"/>
      <c r="E576" s="174"/>
      <c r="F576" s="175"/>
      <c r="G576" s="176"/>
      <c r="H576" s="177"/>
      <c r="I576" s="178"/>
      <c r="J576" s="179" t="str">
        <f t="shared" si="29"/>
        <v/>
      </c>
      <c r="K576" s="180"/>
      <c r="L576" s="181">
        <f t="shared" si="30"/>
        <v>0</v>
      </c>
      <c r="M576" s="229" t="str">
        <f t="shared" si="28"/>
        <v/>
      </c>
      <c r="N576" s="232"/>
    </row>
    <row r="577" spans="1:14" ht="15" thickBot="1">
      <c r="A577" s="170"/>
      <c r="B577" s="171"/>
      <c r="C577" s="172"/>
      <c r="D577" s="173"/>
      <c r="E577" s="174"/>
      <c r="F577" s="175"/>
      <c r="G577" s="176"/>
      <c r="H577" s="177"/>
      <c r="I577" s="178"/>
      <c r="J577" s="179" t="str">
        <f t="shared" si="29"/>
        <v/>
      </c>
      <c r="K577" s="180"/>
      <c r="L577" s="181">
        <f t="shared" si="30"/>
        <v>0</v>
      </c>
      <c r="M577" s="229" t="str">
        <f t="shared" si="28"/>
        <v/>
      </c>
      <c r="N577" s="232"/>
    </row>
    <row r="578" spans="1:14" ht="15" thickBot="1">
      <c r="A578" s="170"/>
      <c r="B578" s="171"/>
      <c r="C578" s="172"/>
      <c r="D578" s="173"/>
      <c r="E578" s="174"/>
      <c r="F578" s="175"/>
      <c r="G578" s="176"/>
      <c r="H578" s="177"/>
      <c r="I578" s="178"/>
      <c r="J578" s="179" t="str">
        <f t="shared" si="29"/>
        <v/>
      </c>
      <c r="K578" s="180"/>
      <c r="L578" s="181">
        <f t="shared" si="30"/>
        <v>0</v>
      </c>
      <c r="M578" s="229" t="str">
        <f t="shared" si="28"/>
        <v/>
      </c>
      <c r="N578" s="232"/>
    </row>
    <row r="579" spans="1:14" ht="15" thickBot="1">
      <c r="A579" s="170"/>
      <c r="B579" s="171"/>
      <c r="C579" s="172"/>
      <c r="D579" s="173"/>
      <c r="E579" s="174"/>
      <c r="F579" s="175"/>
      <c r="G579" s="176"/>
      <c r="H579" s="177"/>
      <c r="I579" s="178"/>
      <c r="J579" s="179" t="str">
        <f t="shared" si="29"/>
        <v/>
      </c>
      <c r="K579" s="180"/>
      <c r="L579" s="181">
        <f t="shared" si="30"/>
        <v>0</v>
      </c>
      <c r="M579" s="229" t="str">
        <f t="shared" si="28"/>
        <v/>
      </c>
      <c r="N579" s="232"/>
    </row>
    <row r="580" spans="1:14" ht="15" thickBot="1">
      <c r="A580" s="170"/>
      <c r="B580" s="171"/>
      <c r="C580" s="172"/>
      <c r="D580" s="173"/>
      <c r="E580" s="174"/>
      <c r="F580" s="175"/>
      <c r="G580" s="176"/>
      <c r="H580" s="177"/>
      <c r="I580" s="178"/>
      <c r="J580" s="179" t="str">
        <f t="shared" si="29"/>
        <v/>
      </c>
      <c r="K580" s="180"/>
      <c r="L580" s="181">
        <f t="shared" si="30"/>
        <v>0</v>
      </c>
      <c r="M580" s="229" t="str">
        <f t="shared" si="28"/>
        <v/>
      </c>
      <c r="N580" s="232"/>
    </row>
    <row r="581" spans="1:14" ht="15" thickBot="1">
      <c r="A581" s="170"/>
      <c r="B581" s="171"/>
      <c r="C581" s="172"/>
      <c r="D581" s="173"/>
      <c r="E581" s="174"/>
      <c r="F581" s="175"/>
      <c r="G581" s="176"/>
      <c r="H581" s="177"/>
      <c r="I581" s="178"/>
      <c r="J581" s="179" t="str">
        <f t="shared" si="29"/>
        <v/>
      </c>
      <c r="K581" s="180"/>
      <c r="L581" s="181">
        <f t="shared" si="30"/>
        <v>0</v>
      </c>
      <c r="M581" s="229" t="str">
        <f t="shared" si="28"/>
        <v/>
      </c>
      <c r="N581" s="232"/>
    </row>
    <row r="582" spans="1:14" ht="15" thickBot="1">
      <c r="A582" s="170"/>
      <c r="B582" s="171"/>
      <c r="C582" s="172"/>
      <c r="D582" s="173"/>
      <c r="E582" s="174"/>
      <c r="F582" s="175"/>
      <c r="G582" s="176"/>
      <c r="H582" s="177"/>
      <c r="I582" s="178"/>
      <c r="J582" s="179" t="str">
        <f t="shared" si="29"/>
        <v/>
      </c>
      <c r="K582" s="180"/>
      <c r="L582" s="181">
        <f t="shared" si="30"/>
        <v>0</v>
      </c>
      <c r="M582" s="229" t="str">
        <f t="shared" si="28"/>
        <v/>
      </c>
      <c r="N582" s="232"/>
    </row>
    <row r="583" spans="1:14" ht="15" thickBot="1">
      <c r="A583" s="170"/>
      <c r="B583" s="171"/>
      <c r="C583" s="172"/>
      <c r="D583" s="173"/>
      <c r="E583" s="174"/>
      <c r="F583" s="175"/>
      <c r="G583" s="176"/>
      <c r="H583" s="177"/>
      <c r="I583" s="178"/>
      <c r="J583" s="179" t="str">
        <f t="shared" si="29"/>
        <v/>
      </c>
      <c r="K583" s="180"/>
      <c r="L583" s="181">
        <f t="shared" si="30"/>
        <v>0</v>
      </c>
      <c r="M583" s="229" t="str">
        <f t="shared" si="28"/>
        <v/>
      </c>
      <c r="N583" s="232"/>
    </row>
    <row r="584" spans="1:14" ht="15" thickBot="1">
      <c r="A584" s="170"/>
      <c r="B584" s="171"/>
      <c r="C584" s="172"/>
      <c r="D584" s="173"/>
      <c r="E584" s="174"/>
      <c r="F584" s="175"/>
      <c r="G584" s="176"/>
      <c r="H584" s="177"/>
      <c r="I584" s="178"/>
      <c r="J584" s="179" t="str">
        <f t="shared" si="29"/>
        <v/>
      </c>
      <c r="K584" s="180"/>
      <c r="L584" s="181">
        <f t="shared" si="30"/>
        <v>0</v>
      </c>
      <c r="M584" s="229" t="str">
        <f t="shared" si="28"/>
        <v/>
      </c>
      <c r="N584" s="232"/>
    </row>
    <row r="585" spans="1:14" ht="15" thickBot="1">
      <c r="A585" s="170"/>
      <c r="B585" s="171"/>
      <c r="C585" s="172"/>
      <c r="D585" s="173"/>
      <c r="E585" s="174"/>
      <c r="F585" s="175"/>
      <c r="G585" s="176"/>
      <c r="H585" s="177"/>
      <c r="I585" s="178"/>
      <c r="J585" s="179" t="str">
        <f t="shared" si="29"/>
        <v/>
      </c>
      <c r="K585" s="180"/>
      <c r="L585" s="181">
        <f t="shared" si="30"/>
        <v>0</v>
      </c>
      <c r="M585" s="229" t="str">
        <f t="shared" si="28"/>
        <v/>
      </c>
      <c r="N585" s="232"/>
    </row>
    <row r="586" spans="1:14" ht="15" thickBot="1">
      <c r="A586" s="170"/>
      <c r="B586" s="171"/>
      <c r="C586" s="172"/>
      <c r="D586" s="173"/>
      <c r="E586" s="174"/>
      <c r="F586" s="175"/>
      <c r="G586" s="176"/>
      <c r="H586" s="177"/>
      <c r="I586" s="178"/>
      <c r="J586" s="179" t="str">
        <f t="shared" si="29"/>
        <v/>
      </c>
      <c r="K586" s="180"/>
      <c r="L586" s="181">
        <f t="shared" si="30"/>
        <v>0</v>
      </c>
      <c r="M586" s="229" t="str">
        <f t="shared" si="28"/>
        <v/>
      </c>
      <c r="N586" s="232"/>
    </row>
    <row r="587" spans="1:14" ht="15" thickBot="1">
      <c r="A587" s="170"/>
      <c r="B587" s="171"/>
      <c r="C587" s="172"/>
      <c r="D587" s="173"/>
      <c r="E587" s="174"/>
      <c r="F587" s="175"/>
      <c r="G587" s="176"/>
      <c r="H587" s="177"/>
      <c r="I587" s="178"/>
      <c r="J587" s="179" t="str">
        <f t="shared" si="29"/>
        <v/>
      </c>
      <c r="K587" s="180"/>
      <c r="L587" s="181">
        <f t="shared" si="30"/>
        <v>0</v>
      </c>
      <c r="M587" s="229" t="str">
        <f t="shared" si="28"/>
        <v/>
      </c>
      <c r="N587" s="232"/>
    </row>
    <row r="588" spans="1:14" ht="15" thickBot="1">
      <c r="A588" s="170"/>
      <c r="B588" s="171"/>
      <c r="C588" s="172"/>
      <c r="D588" s="173"/>
      <c r="E588" s="174"/>
      <c r="F588" s="175"/>
      <c r="G588" s="176"/>
      <c r="H588" s="177"/>
      <c r="I588" s="178"/>
      <c r="J588" s="179" t="str">
        <f t="shared" si="29"/>
        <v/>
      </c>
      <c r="K588" s="180"/>
      <c r="L588" s="181">
        <f t="shared" si="30"/>
        <v>0</v>
      </c>
      <c r="M588" s="229" t="str">
        <f t="shared" si="28"/>
        <v/>
      </c>
      <c r="N588" s="232"/>
    </row>
    <row r="589" spans="1:14" ht="15" thickBot="1">
      <c r="A589" s="170"/>
      <c r="B589" s="171"/>
      <c r="C589" s="172"/>
      <c r="D589" s="173"/>
      <c r="E589" s="174"/>
      <c r="F589" s="175"/>
      <c r="G589" s="176"/>
      <c r="H589" s="177"/>
      <c r="I589" s="178"/>
      <c r="J589" s="179" t="str">
        <f t="shared" si="29"/>
        <v/>
      </c>
      <c r="K589" s="180"/>
      <c r="L589" s="181">
        <f t="shared" si="30"/>
        <v>0</v>
      </c>
      <c r="M589" s="229" t="str">
        <f t="shared" si="28"/>
        <v/>
      </c>
      <c r="N589" s="232"/>
    </row>
    <row r="590" spans="1:14" ht="15" thickBot="1">
      <c r="A590" s="170"/>
      <c r="B590" s="171"/>
      <c r="C590" s="172"/>
      <c r="D590" s="173"/>
      <c r="E590" s="174"/>
      <c r="F590" s="175"/>
      <c r="G590" s="176"/>
      <c r="H590" s="177"/>
      <c r="I590" s="178"/>
      <c r="J590" s="179" t="str">
        <f t="shared" si="29"/>
        <v/>
      </c>
      <c r="K590" s="180"/>
      <c r="L590" s="181">
        <f t="shared" si="30"/>
        <v>0</v>
      </c>
      <c r="M590" s="229" t="str">
        <f t="shared" ref="M590:M653" si="31">IF(J590 &lt;&gt; "", J590 * L590, "")</f>
        <v/>
      </c>
      <c r="N590" s="232"/>
    </row>
    <row r="591" spans="1:14" ht="15" thickBot="1">
      <c r="A591" s="170"/>
      <c r="B591" s="171"/>
      <c r="C591" s="172"/>
      <c r="D591" s="173"/>
      <c r="E591" s="174"/>
      <c r="F591" s="175"/>
      <c r="G591" s="176"/>
      <c r="H591" s="177"/>
      <c r="I591" s="178"/>
      <c r="J591" s="179" t="str">
        <f t="shared" si="29"/>
        <v/>
      </c>
      <c r="K591" s="180"/>
      <c r="L591" s="181">
        <f t="shared" si="30"/>
        <v>0</v>
      </c>
      <c r="M591" s="229" t="str">
        <f t="shared" si="31"/>
        <v/>
      </c>
      <c r="N591" s="232"/>
    </row>
    <row r="592" spans="1:14" ht="15" thickBot="1">
      <c r="A592" s="170"/>
      <c r="B592" s="171"/>
      <c r="C592" s="172"/>
      <c r="D592" s="173"/>
      <c r="E592" s="174"/>
      <c r="F592" s="175"/>
      <c r="G592" s="176"/>
      <c r="H592" s="177"/>
      <c r="I592" s="178"/>
      <c r="J592" s="179" t="str">
        <f t="shared" si="29"/>
        <v/>
      </c>
      <c r="K592" s="180"/>
      <c r="L592" s="181">
        <f t="shared" si="30"/>
        <v>0</v>
      </c>
      <c r="M592" s="229" t="str">
        <f t="shared" si="31"/>
        <v/>
      </c>
      <c r="N592" s="232"/>
    </row>
    <row r="593" spans="1:14" ht="15" thickBot="1">
      <c r="A593" s="170"/>
      <c r="B593" s="171"/>
      <c r="C593" s="172"/>
      <c r="D593" s="173"/>
      <c r="E593" s="174"/>
      <c r="F593" s="175"/>
      <c r="G593" s="176"/>
      <c r="H593" s="177"/>
      <c r="I593" s="178"/>
      <c r="J593" s="179" t="str">
        <f t="shared" si="29"/>
        <v/>
      </c>
      <c r="K593" s="180"/>
      <c r="L593" s="181">
        <f t="shared" si="30"/>
        <v>0</v>
      </c>
      <c r="M593" s="229" t="str">
        <f t="shared" si="31"/>
        <v/>
      </c>
      <c r="N593" s="232"/>
    </row>
    <row r="594" spans="1:14" ht="15" thickBot="1">
      <c r="A594" s="170"/>
      <c r="B594" s="171"/>
      <c r="C594" s="172"/>
      <c r="D594" s="173"/>
      <c r="E594" s="174"/>
      <c r="F594" s="175"/>
      <c r="G594" s="176"/>
      <c r="H594" s="177"/>
      <c r="I594" s="178"/>
      <c r="J594" s="179" t="str">
        <f t="shared" si="29"/>
        <v/>
      </c>
      <c r="K594" s="180"/>
      <c r="L594" s="181">
        <f t="shared" si="30"/>
        <v>0</v>
      </c>
      <c r="M594" s="229" t="str">
        <f t="shared" si="31"/>
        <v/>
      </c>
      <c r="N594" s="232"/>
    </row>
    <row r="595" spans="1:14" ht="15" thickBot="1">
      <c r="A595" s="170"/>
      <c r="B595" s="171"/>
      <c r="C595" s="172"/>
      <c r="D595" s="173"/>
      <c r="E595" s="174"/>
      <c r="F595" s="175"/>
      <c r="G595" s="176"/>
      <c r="H595" s="177"/>
      <c r="I595" s="178"/>
      <c r="J595" s="179" t="str">
        <f t="shared" si="29"/>
        <v/>
      </c>
      <c r="K595" s="180"/>
      <c r="L595" s="181">
        <f t="shared" si="30"/>
        <v>0</v>
      </c>
      <c r="M595" s="229" t="str">
        <f t="shared" si="31"/>
        <v/>
      </c>
      <c r="N595" s="232"/>
    </row>
    <row r="596" spans="1:14" ht="15" thickBot="1">
      <c r="A596" s="170"/>
      <c r="B596" s="171"/>
      <c r="C596" s="172"/>
      <c r="D596" s="173"/>
      <c r="E596" s="174"/>
      <c r="F596" s="175"/>
      <c r="G596" s="176"/>
      <c r="H596" s="177"/>
      <c r="I596" s="178"/>
      <c r="J596" s="179" t="str">
        <f t="shared" si="29"/>
        <v/>
      </c>
      <c r="K596" s="180"/>
      <c r="L596" s="181">
        <f t="shared" si="30"/>
        <v>0</v>
      </c>
      <c r="M596" s="229" t="str">
        <f t="shared" si="31"/>
        <v/>
      </c>
      <c r="N596" s="232"/>
    </row>
    <row r="597" spans="1:14" ht="15" thickBot="1">
      <c r="A597" s="170"/>
      <c r="B597" s="171"/>
      <c r="C597" s="172"/>
      <c r="D597" s="173"/>
      <c r="E597" s="174"/>
      <c r="F597" s="175"/>
      <c r="G597" s="176"/>
      <c r="H597" s="177"/>
      <c r="I597" s="178"/>
      <c r="J597" s="179" t="str">
        <f t="shared" si="29"/>
        <v/>
      </c>
      <c r="K597" s="180"/>
      <c r="L597" s="181">
        <f t="shared" si="30"/>
        <v>0</v>
      </c>
      <c r="M597" s="229" t="str">
        <f t="shared" si="31"/>
        <v/>
      </c>
      <c r="N597" s="232"/>
    </row>
    <row r="598" spans="1:14" ht="15" thickBot="1">
      <c r="A598" s="170"/>
      <c r="B598" s="171"/>
      <c r="C598" s="172"/>
      <c r="D598" s="173"/>
      <c r="E598" s="174"/>
      <c r="F598" s="175"/>
      <c r="G598" s="176"/>
      <c r="H598" s="177"/>
      <c r="I598" s="178"/>
      <c r="J598" s="179" t="str">
        <f t="shared" si="29"/>
        <v/>
      </c>
      <c r="K598" s="180"/>
      <c r="L598" s="181">
        <f t="shared" si="30"/>
        <v>0</v>
      </c>
      <c r="M598" s="229" t="str">
        <f t="shared" si="31"/>
        <v/>
      </c>
      <c r="N598" s="232"/>
    </row>
    <row r="599" spans="1:14" ht="15" thickBot="1">
      <c r="A599" s="170"/>
      <c r="B599" s="171"/>
      <c r="C599" s="172"/>
      <c r="D599" s="173"/>
      <c r="E599" s="174"/>
      <c r="F599" s="175"/>
      <c r="G599" s="176"/>
      <c r="H599" s="177"/>
      <c r="I599" s="178"/>
      <c r="J599" s="179" t="str">
        <f t="shared" si="29"/>
        <v/>
      </c>
      <c r="K599" s="180"/>
      <c r="L599" s="181">
        <f t="shared" si="30"/>
        <v>0</v>
      </c>
      <c r="M599" s="229" t="str">
        <f t="shared" si="31"/>
        <v/>
      </c>
      <c r="N599" s="232"/>
    </row>
    <row r="600" spans="1:14" ht="15" thickBot="1">
      <c r="A600" s="170"/>
      <c r="B600" s="171"/>
      <c r="C600" s="172"/>
      <c r="D600" s="173"/>
      <c r="E600" s="174"/>
      <c r="F600" s="175"/>
      <c r="G600" s="176"/>
      <c r="H600" s="177"/>
      <c r="I600" s="178"/>
      <c r="J600" s="179" t="str">
        <f t="shared" si="29"/>
        <v/>
      </c>
      <c r="K600" s="180"/>
      <c r="L600" s="181">
        <f t="shared" si="30"/>
        <v>0</v>
      </c>
      <c r="M600" s="229" t="str">
        <f t="shared" si="31"/>
        <v/>
      </c>
      <c r="N600" s="232"/>
    </row>
    <row r="601" spans="1:14" ht="15" thickBot="1">
      <c r="A601" s="170"/>
      <c r="B601" s="171"/>
      <c r="C601" s="172"/>
      <c r="D601" s="173"/>
      <c r="E601" s="174"/>
      <c r="F601" s="175"/>
      <c r="G601" s="176"/>
      <c r="H601" s="177"/>
      <c r="I601" s="178"/>
      <c r="J601" s="179" t="str">
        <f t="shared" si="29"/>
        <v/>
      </c>
      <c r="K601" s="180"/>
      <c r="L601" s="181">
        <f t="shared" si="30"/>
        <v>0</v>
      </c>
      <c r="M601" s="229" t="str">
        <f t="shared" si="31"/>
        <v/>
      </c>
      <c r="N601" s="232"/>
    </row>
    <row r="602" spans="1:14" ht="15" thickBot="1">
      <c r="A602" s="170"/>
      <c r="B602" s="171"/>
      <c r="C602" s="172"/>
      <c r="D602" s="173"/>
      <c r="E602" s="174"/>
      <c r="F602" s="175"/>
      <c r="G602" s="176"/>
      <c r="H602" s="177"/>
      <c r="I602" s="178"/>
      <c r="J602" s="179" t="str">
        <f t="shared" si="29"/>
        <v/>
      </c>
      <c r="K602" s="180"/>
      <c r="L602" s="181">
        <f t="shared" si="30"/>
        <v>0</v>
      </c>
      <c r="M602" s="229" t="str">
        <f t="shared" si="31"/>
        <v/>
      </c>
      <c r="N602" s="232"/>
    </row>
    <row r="603" spans="1:14" ht="15" thickBot="1">
      <c r="A603" s="170"/>
      <c r="B603" s="171"/>
      <c r="C603" s="172"/>
      <c r="D603" s="173"/>
      <c r="E603" s="174"/>
      <c r="F603" s="175"/>
      <c r="G603" s="176"/>
      <c r="H603" s="177"/>
      <c r="I603" s="178"/>
      <c r="J603" s="179" t="str">
        <f t="shared" si="29"/>
        <v/>
      </c>
      <c r="K603" s="180"/>
      <c r="L603" s="181">
        <f t="shared" si="30"/>
        <v>0</v>
      </c>
      <c r="M603" s="229" t="str">
        <f t="shared" si="31"/>
        <v/>
      </c>
      <c r="N603" s="232"/>
    </row>
    <row r="604" spans="1:14" ht="15" thickBot="1">
      <c r="A604" s="170"/>
      <c r="B604" s="171"/>
      <c r="C604" s="172"/>
      <c r="D604" s="173"/>
      <c r="E604" s="174"/>
      <c r="F604" s="175"/>
      <c r="G604" s="176"/>
      <c r="H604" s="177"/>
      <c r="I604" s="178"/>
      <c r="J604" s="179" t="str">
        <f t="shared" si="29"/>
        <v/>
      </c>
      <c r="K604" s="180"/>
      <c r="L604" s="181">
        <f t="shared" si="30"/>
        <v>0</v>
      </c>
      <c r="M604" s="229" t="str">
        <f t="shared" si="31"/>
        <v/>
      </c>
      <c r="N604" s="232"/>
    </row>
    <row r="605" spans="1:14" ht="15" thickBot="1">
      <c r="A605" s="170"/>
      <c r="B605" s="171"/>
      <c r="C605" s="172"/>
      <c r="D605" s="173"/>
      <c r="E605" s="174"/>
      <c r="F605" s="175"/>
      <c r="G605" s="176"/>
      <c r="H605" s="177"/>
      <c r="I605" s="178"/>
      <c r="J605" s="179" t="str">
        <f t="shared" si="29"/>
        <v/>
      </c>
      <c r="K605" s="180"/>
      <c r="L605" s="181">
        <f t="shared" si="30"/>
        <v>0</v>
      </c>
      <c r="M605" s="229" t="str">
        <f t="shared" si="31"/>
        <v/>
      </c>
      <c r="N605" s="232"/>
    </row>
    <row r="606" spans="1:14" ht="15" thickBot="1">
      <c r="A606" s="170"/>
      <c r="B606" s="171"/>
      <c r="C606" s="172"/>
      <c r="D606" s="173"/>
      <c r="E606" s="174"/>
      <c r="F606" s="175"/>
      <c r="G606" s="176"/>
      <c r="H606" s="177"/>
      <c r="I606" s="178"/>
      <c r="J606" s="179" t="str">
        <f t="shared" si="29"/>
        <v/>
      </c>
      <c r="K606" s="180"/>
      <c r="L606" s="181">
        <f t="shared" si="30"/>
        <v>0</v>
      </c>
      <c r="M606" s="229" t="str">
        <f t="shared" si="31"/>
        <v/>
      </c>
      <c r="N606" s="232"/>
    </row>
    <row r="607" spans="1:14" ht="15" thickBot="1">
      <c r="A607" s="170"/>
      <c r="B607" s="171"/>
      <c r="C607" s="172"/>
      <c r="D607" s="173"/>
      <c r="E607" s="174"/>
      <c r="F607" s="175"/>
      <c r="G607" s="176"/>
      <c r="H607" s="177"/>
      <c r="I607" s="178"/>
      <c r="J607" s="179" t="str">
        <f t="shared" si="29"/>
        <v/>
      </c>
      <c r="K607" s="180"/>
      <c r="L607" s="181">
        <f t="shared" si="30"/>
        <v>0</v>
      </c>
      <c r="M607" s="229" t="str">
        <f t="shared" si="31"/>
        <v/>
      </c>
      <c r="N607" s="232"/>
    </row>
    <row r="608" spans="1:14" ht="15" thickBot="1">
      <c r="A608" s="170"/>
      <c r="B608" s="171"/>
      <c r="C608" s="172"/>
      <c r="D608" s="173"/>
      <c r="E608" s="174"/>
      <c r="F608" s="175"/>
      <c r="G608" s="176"/>
      <c r="H608" s="177"/>
      <c r="I608" s="178"/>
      <c r="J608" s="179" t="str">
        <f t="shared" si="29"/>
        <v/>
      </c>
      <c r="K608" s="180"/>
      <c r="L608" s="181">
        <f t="shared" si="30"/>
        <v>0</v>
      </c>
      <c r="M608" s="229" t="str">
        <f t="shared" si="31"/>
        <v/>
      </c>
      <c r="N608" s="232"/>
    </row>
    <row r="609" spans="1:14" ht="15" thickBot="1">
      <c r="A609" s="170"/>
      <c r="B609" s="171"/>
      <c r="C609" s="172"/>
      <c r="D609" s="173"/>
      <c r="E609" s="174"/>
      <c r="F609" s="175"/>
      <c r="G609" s="176"/>
      <c r="H609" s="177"/>
      <c r="I609" s="178"/>
      <c r="J609" s="179" t="str">
        <f t="shared" si="29"/>
        <v/>
      </c>
      <c r="K609" s="180"/>
      <c r="L609" s="181">
        <f t="shared" si="30"/>
        <v>0</v>
      </c>
      <c r="M609" s="229" t="str">
        <f t="shared" si="31"/>
        <v/>
      </c>
      <c r="N609" s="232"/>
    </row>
    <row r="610" spans="1:14" ht="15" thickBot="1">
      <c r="A610" s="170"/>
      <c r="B610" s="171"/>
      <c r="C610" s="172"/>
      <c r="D610" s="173"/>
      <c r="E610" s="174"/>
      <c r="F610" s="175"/>
      <c r="G610" s="176"/>
      <c r="H610" s="177"/>
      <c r="I610" s="178"/>
      <c r="J610" s="179" t="str">
        <f t="shared" si="29"/>
        <v/>
      </c>
      <c r="K610" s="180"/>
      <c r="L610" s="181">
        <f t="shared" si="30"/>
        <v>0</v>
      </c>
      <c r="M610" s="229" t="str">
        <f t="shared" si="31"/>
        <v/>
      </c>
      <c r="N610" s="232"/>
    </row>
    <row r="611" spans="1:14" ht="15" thickBot="1">
      <c r="A611" s="170"/>
      <c r="B611" s="171"/>
      <c r="C611" s="172"/>
      <c r="D611" s="173"/>
      <c r="E611" s="174"/>
      <c r="F611" s="175"/>
      <c r="G611" s="176"/>
      <c r="H611" s="177"/>
      <c r="I611" s="178"/>
      <c r="J611" s="179" t="str">
        <f t="shared" si="29"/>
        <v/>
      </c>
      <c r="K611" s="180"/>
      <c r="L611" s="181">
        <f t="shared" si="30"/>
        <v>0</v>
      </c>
      <c r="M611" s="229" t="str">
        <f t="shared" si="31"/>
        <v/>
      </c>
      <c r="N611" s="232"/>
    </row>
    <row r="612" spans="1:14" ht="15" thickBot="1">
      <c r="A612" s="170"/>
      <c r="B612" s="171"/>
      <c r="C612" s="172"/>
      <c r="D612" s="173"/>
      <c r="E612" s="174"/>
      <c r="F612" s="175"/>
      <c r="G612" s="176"/>
      <c r="H612" s="177"/>
      <c r="I612" s="178"/>
      <c r="J612" s="179" t="str">
        <f t="shared" si="29"/>
        <v/>
      </c>
      <c r="K612" s="180"/>
      <c r="L612" s="181">
        <f t="shared" si="30"/>
        <v>0</v>
      </c>
      <c r="M612" s="229" t="str">
        <f t="shared" si="31"/>
        <v/>
      </c>
      <c r="N612" s="232"/>
    </row>
    <row r="613" spans="1:14" ht="15" thickBot="1">
      <c r="A613" s="170"/>
      <c r="B613" s="171"/>
      <c r="C613" s="172"/>
      <c r="D613" s="173"/>
      <c r="E613" s="174"/>
      <c r="F613" s="175"/>
      <c r="G613" s="176"/>
      <c r="H613" s="177"/>
      <c r="I613" s="178"/>
      <c r="J613" s="179" t="str">
        <f t="shared" si="29"/>
        <v/>
      </c>
      <c r="K613" s="180"/>
      <c r="L613" s="181">
        <f t="shared" si="30"/>
        <v>0</v>
      </c>
      <c r="M613" s="229" t="str">
        <f t="shared" si="31"/>
        <v/>
      </c>
      <c r="N613" s="232"/>
    </row>
    <row r="614" spans="1:14" ht="15" thickBot="1">
      <c r="A614" s="170"/>
      <c r="B614" s="171"/>
      <c r="C614" s="172"/>
      <c r="D614" s="173"/>
      <c r="E614" s="174"/>
      <c r="F614" s="175"/>
      <c r="G614" s="176"/>
      <c r="H614" s="177"/>
      <c r="I614" s="178"/>
      <c r="J614" s="179" t="str">
        <f t="shared" si="29"/>
        <v/>
      </c>
      <c r="K614" s="180"/>
      <c r="L614" s="181">
        <f t="shared" si="30"/>
        <v>0</v>
      </c>
      <c r="M614" s="229" t="str">
        <f t="shared" si="31"/>
        <v/>
      </c>
      <c r="N614" s="232"/>
    </row>
    <row r="615" spans="1:14" ht="15" thickBot="1">
      <c r="A615" s="170"/>
      <c r="B615" s="171"/>
      <c r="C615" s="172"/>
      <c r="D615" s="173"/>
      <c r="E615" s="174"/>
      <c r="F615" s="175"/>
      <c r="G615" s="176"/>
      <c r="H615" s="177"/>
      <c r="I615" s="178"/>
      <c r="J615" s="179" t="str">
        <f t="shared" si="29"/>
        <v/>
      </c>
      <c r="K615" s="180"/>
      <c r="L615" s="181">
        <f t="shared" si="30"/>
        <v>0</v>
      </c>
      <c r="M615" s="229" t="str">
        <f t="shared" si="31"/>
        <v/>
      </c>
      <c r="N615" s="232"/>
    </row>
    <row r="616" spans="1:14" ht="15" thickBot="1">
      <c r="A616" s="170"/>
      <c r="B616" s="171"/>
      <c r="C616" s="172"/>
      <c r="D616" s="173"/>
      <c r="E616" s="174"/>
      <c r="F616" s="175"/>
      <c r="G616" s="176"/>
      <c r="H616" s="177"/>
      <c r="I616" s="178"/>
      <c r="J616" s="179" t="str">
        <f t="shared" si="29"/>
        <v/>
      </c>
      <c r="K616" s="180"/>
      <c r="L616" s="181">
        <f t="shared" si="30"/>
        <v>0</v>
      </c>
      <c r="M616" s="229" t="str">
        <f t="shared" si="31"/>
        <v/>
      </c>
      <c r="N616" s="232"/>
    </row>
    <row r="617" spans="1:14" ht="15" thickBot="1">
      <c r="A617" s="170"/>
      <c r="B617" s="171"/>
      <c r="C617" s="172"/>
      <c r="D617" s="173"/>
      <c r="E617" s="174"/>
      <c r="F617" s="175"/>
      <c r="G617" s="176"/>
      <c r="H617" s="177"/>
      <c r="I617" s="178"/>
      <c r="J617" s="179" t="str">
        <f t="shared" si="29"/>
        <v/>
      </c>
      <c r="K617" s="180"/>
      <c r="L617" s="181">
        <f t="shared" si="30"/>
        <v>0</v>
      </c>
      <c r="M617" s="229" t="str">
        <f t="shared" si="31"/>
        <v/>
      </c>
      <c r="N617" s="232"/>
    </row>
    <row r="618" spans="1:14" ht="15" thickBot="1">
      <c r="A618" s="170"/>
      <c r="B618" s="171"/>
      <c r="C618" s="172"/>
      <c r="D618" s="173"/>
      <c r="E618" s="174"/>
      <c r="F618" s="175"/>
      <c r="G618" s="176"/>
      <c r="H618" s="177"/>
      <c r="I618" s="178"/>
      <c r="J618" s="179" t="str">
        <f t="shared" si="29"/>
        <v/>
      </c>
      <c r="K618" s="180"/>
      <c r="L618" s="181">
        <f t="shared" si="30"/>
        <v>0</v>
      </c>
      <c r="M618" s="229" t="str">
        <f t="shared" si="31"/>
        <v/>
      </c>
      <c r="N618" s="232"/>
    </row>
    <row r="619" spans="1:14" ht="15" thickBot="1">
      <c r="A619" s="170"/>
      <c r="B619" s="171"/>
      <c r="C619" s="172"/>
      <c r="D619" s="173"/>
      <c r="E619" s="174"/>
      <c r="F619" s="175"/>
      <c r="G619" s="176"/>
      <c r="H619" s="177"/>
      <c r="I619" s="178"/>
      <c r="J619" s="179" t="str">
        <f t="shared" si="29"/>
        <v/>
      </c>
      <c r="K619" s="180"/>
      <c r="L619" s="181">
        <f t="shared" si="30"/>
        <v>0</v>
      </c>
      <c r="M619" s="229" t="str">
        <f t="shared" si="31"/>
        <v/>
      </c>
      <c r="N619" s="232"/>
    </row>
    <row r="620" spans="1:14" ht="15" thickBot="1">
      <c r="A620" s="170"/>
      <c r="B620" s="171"/>
      <c r="C620" s="172"/>
      <c r="D620" s="173"/>
      <c r="E620" s="174"/>
      <c r="F620" s="175"/>
      <c r="G620" s="176"/>
      <c r="H620" s="177"/>
      <c r="I620" s="178"/>
      <c r="J620" s="179" t="str">
        <f t="shared" si="29"/>
        <v/>
      </c>
      <c r="K620" s="180"/>
      <c r="L620" s="181">
        <f t="shared" si="30"/>
        <v>0</v>
      </c>
      <c r="M620" s="229" t="str">
        <f t="shared" si="31"/>
        <v/>
      </c>
      <c r="N620" s="232"/>
    </row>
    <row r="621" spans="1:14" ht="15" thickBot="1">
      <c r="A621" s="170"/>
      <c r="B621" s="171"/>
      <c r="C621" s="172"/>
      <c r="D621" s="173"/>
      <c r="E621" s="174"/>
      <c r="F621" s="175"/>
      <c r="G621" s="176"/>
      <c r="H621" s="177"/>
      <c r="I621" s="178"/>
      <c r="J621" s="179" t="str">
        <f t="shared" si="29"/>
        <v/>
      </c>
      <c r="K621" s="180"/>
      <c r="L621" s="181">
        <f t="shared" si="30"/>
        <v>0</v>
      </c>
      <c r="M621" s="229" t="str">
        <f t="shared" si="31"/>
        <v/>
      </c>
      <c r="N621" s="232"/>
    </row>
    <row r="622" spans="1:14" ht="15" thickBot="1">
      <c r="A622" s="170"/>
      <c r="B622" s="171"/>
      <c r="C622" s="172"/>
      <c r="D622" s="173"/>
      <c r="E622" s="174"/>
      <c r="F622" s="175"/>
      <c r="G622" s="176"/>
      <c r="H622" s="177"/>
      <c r="I622" s="178"/>
      <c r="J622" s="179" t="str">
        <f t="shared" si="29"/>
        <v/>
      </c>
      <c r="K622" s="180"/>
      <c r="L622" s="181">
        <f t="shared" si="30"/>
        <v>0</v>
      </c>
      <c r="M622" s="229" t="str">
        <f t="shared" si="31"/>
        <v/>
      </c>
      <c r="N622" s="232"/>
    </row>
    <row r="623" spans="1:14" ht="15" thickBot="1">
      <c r="A623" s="170"/>
      <c r="B623" s="171"/>
      <c r="C623" s="172"/>
      <c r="D623" s="173"/>
      <c r="E623" s="174"/>
      <c r="F623" s="175"/>
      <c r="G623" s="176"/>
      <c r="H623" s="177"/>
      <c r="I623" s="178"/>
      <c r="J623" s="179" t="str">
        <f t="shared" si="29"/>
        <v/>
      </c>
      <c r="K623" s="180"/>
      <c r="L623" s="181">
        <f t="shared" si="30"/>
        <v>0</v>
      </c>
      <c r="M623" s="229" t="str">
        <f t="shared" si="31"/>
        <v/>
      </c>
      <c r="N623" s="232"/>
    </row>
    <row r="624" spans="1:14" ht="15" thickBot="1">
      <c r="A624" s="170"/>
      <c r="B624" s="171"/>
      <c r="C624" s="172"/>
      <c r="D624" s="173"/>
      <c r="E624" s="174"/>
      <c r="F624" s="175"/>
      <c r="G624" s="176"/>
      <c r="H624" s="177"/>
      <c r="I624" s="178"/>
      <c r="J624" s="179" t="str">
        <f t="shared" si="29"/>
        <v/>
      </c>
      <c r="K624" s="180"/>
      <c r="L624" s="181">
        <f t="shared" si="30"/>
        <v>0</v>
      </c>
      <c r="M624" s="229" t="str">
        <f t="shared" si="31"/>
        <v/>
      </c>
      <c r="N624" s="232"/>
    </row>
    <row r="625" spans="1:14" ht="15" thickBot="1">
      <c r="A625" s="170"/>
      <c r="B625" s="171"/>
      <c r="C625" s="172"/>
      <c r="D625" s="173"/>
      <c r="E625" s="174"/>
      <c r="F625" s="175"/>
      <c r="G625" s="176"/>
      <c r="H625" s="177"/>
      <c r="I625" s="178"/>
      <c r="J625" s="179" t="str">
        <f t="shared" si="29"/>
        <v/>
      </c>
      <c r="K625" s="180"/>
      <c r="L625" s="181">
        <f t="shared" si="30"/>
        <v>0</v>
      </c>
      <c r="M625" s="229" t="str">
        <f t="shared" si="31"/>
        <v/>
      </c>
      <c r="N625" s="232"/>
    </row>
    <row r="626" spans="1:14" ht="15" thickBot="1">
      <c r="A626" s="170"/>
      <c r="B626" s="171"/>
      <c r="C626" s="172"/>
      <c r="D626" s="173"/>
      <c r="E626" s="174"/>
      <c r="F626" s="175"/>
      <c r="G626" s="176"/>
      <c r="H626" s="177"/>
      <c r="I626" s="178"/>
      <c r="J626" s="179" t="str">
        <f t="shared" si="29"/>
        <v/>
      </c>
      <c r="K626" s="180"/>
      <c r="L626" s="181">
        <f t="shared" si="30"/>
        <v>0</v>
      </c>
      <c r="M626" s="229" t="str">
        <f t="shared" si="31"/>
        <v/>
      </c>
      <c r="N626" s="232"/>
    </row>
    <row r="627" spans="1:14" ht="15" thickBot="1">
      <c r="A627" s="170"/>
      <c r="B627" s="171"/>
      <c r="C627" s="172"/>
      <c r="D627" s="173"/>
      <c r="E627" s="174"/>
      <c r="F627" s="175"/>
      <c r="G627" s="176"/>
      <c r="H627" s="177"/>
      <c r="I627" s="178"/>
      <c r="J627" s="179" t="str">
        <f t="shared" si="29"/>
        <v/>
      </c>
      <c r="K627" s="180"/>
      <c r="L627" s="181">
        <f t="shared" si="30"/>
        <v>0</v>
      </c>
      <c r="M627" s="229" t="str">
        <f t="shared" si="31"/>
        <v/>
      </c>
      <c r="N627" s="232"/>
    </row>
    <row r="628" spans="1:14" ht="15" thickBot="1">
      <c r="A628" s="170"/>
      <c r="B628" s="171"/>
      <c r="C628" s="172"/>
      <c r="D628" s="173"/>
      <c r="E628" s="174"/>
      <c r="F628" s="175"/>
      <c r="G628" s="176"/>
      <c r="H628" s="177"/>
      <c r="I628" s="178"/>
      <c r="J628" s="179" t="str">
        <f t="shared" si="29"/>
        <v/>
      </c>
      <c r="K628" s="180"/>
      <c r="L628" s="181">
        <f t="shared" si="30"/>
        <v>0</v>
      </c>
      <c r="M628" s="229" t="str">
        <f t="shared" si="31"/>
        <v/>
      </c>
      <c r="N628" s="232"/>
    </row>
    <row r="629" spans="1:14" ht="15" thickBot="1">
      <c r="A629" s="170"/>
      <c r="B629" s="171"/>
      <c r="C629" s="172"/>
      <c r="D629" s="173"/>
      <c r="E629" s="174"/>
      <c r="F629" s="175"/>
      <c r="G629" s="176"/>
      <c r="H629" s="177"/>
      <c r="I629" s="178"/>
      <c r="J629" s="179" t="str">
        <f t="shared" si="29"/>
        <v/>
      </c>
      <c r="K629" s="180"/>
      <c r="L629" s="181">
        <f t="shared" si="30"/>
        <v>0</v>
      </c>
      <c r="M629" s="229" t="str">
        <f t="shared" si="31"/>
        <v/>
      </c>
      <c r="N629" s="232"/>
    </row>
    <row r="630" spans="1:14" ht="15" thickBot="1">
      <c r="A630" s="170"/>
      <c r="B630" s="171"/>
      <c r="C630" s="172"/>
      <c r="D630" s="173"/>
      <c r="E630" s="174"/>
      <c r="F630" s="175"/>
      <c r="G630" s="176"/>
      <c r="H630" s="177"/>
      <c r="I630" s="178"/>
      <c r="J630" s="179" t="str">
        <f t="shared" si="29"/>
        <v/>
      </c>
      <c r="K630" s="180"/>
      <c r="L630" s="181">
        <f t="shared" si="30"/>
        <v>0</v>
      </c>
      <c r="M630" s="229" t="str">
        <f t="shared" si="31"/>
        <v/>
      </c>
      <c r="N630" s="232"/>
    </row>
    <row r="631" spans="1:14" ht="15" thickBot="1">
      <c r="A631" s="170"/>
      <c r="B631" s="171"/>
      <c r="C631" s="172"/>
      <c r="D631" s="173"/>
      <c r="E631" s="174"/>
      <c r="F631" s="175"/>
      <c r="G631" s="176"/>
      <c r="H631" s="177"/>
      <c r="I631" s="178"/>
      <c r="J631" s="179" t="str">
        <f t="shared" si="29"/>
        <v/>
      </c>
      <c r="K631" s="180"/>
      <c r="L631" s="181">
        <f t="shared" si="30"/>
        <v>0</v>
      </c>
      <c r="M631" s="229" t="str">
        <f t="shared" si="31"/>
        <v/>
      </c>
      <c r="N631" s="232"/>
    </row>
    <row r="632" spans="1:14" ht="15" thickBot="1">
      <c r="A632" s="170"/>
      <c r="B632" s="171"/>
      <c r="C632" s="172"/>
      <c r="D632" s="173"/>
      <c r="E632" s="174"/>
      <c r="F632" s="175"/>
      <c r="G632" s="176"/>
      <c r="H632" s="177"/>
      <c r="I632" s="178"/>
      <c r="J632" s="179" t="str">
        <f t="shared" si="29"/>
        <v/>
      </c>
      <c r="K632" s="180"/>
      <c r="L632" s="181">
        <f t="shared" si="30"/>
        <v>0</v>
      </c>
      <c r="M632" s="229" t="str">
        <f t="shared" si="31"/>
        <v/>
      </c>
      <c r="N632" s="232"/>
    </row>
    <row r="633" spans="1:14" ht="15" thickBot="1">
      <c r="A633" s="170"/>
      <c r="B633" s="171"/>
      <c r="C633" s="172"/>
      <c r="D633" s="173"/>
      <c r="E633" s="174"/>
      <c r="F633" s="175"/>
      <c r="G633" s="176"/>
      <c r="H633" s="177"/>
      <c r="I633" s="178"/>
      <c r="J633" s="179" t="str">
        <f t="shared" ref="J633:J696" si="32">IF(H633 &gt; 0, I633 / H633, "")</f>
        <v/>
      </c>
      <c r="K633" s="180"/>
      <c r="L633" s="181">
        <f t="shared" ref="L633:L696" si="33">MAX(0, H633 - K633)</f>
        <v>0</v>
      </c>
      <c r="M633" s="229" t="str">
        <f t="shared" si="31"/>
        <v/>
      </c>
      <c r="N633" s="232"/>
    </row>
    <row r="634" spans="1:14" ht="15" thickBot="1">
      <c r="A634" s="170"/>
      <c r="B634" s="171"/>
      <c r="C634" s="172"/>
      <c r="D634" s="173"/>
      <c r="E634" s="174"/>
      <c r="F634" s="175"/>
      <c r="G634" s="176"/>
      <c r="H634" s="177"/>
      <c r="I634" s="178"/>
      <c r="J634" s="179" t="str">
        <f t="shared" si="32"/>
        <v/>
      </c>
      <c r="K634" s="180"/>
      <c r="L634" s="181">
        <f t="shared" si="33"/>
        <v>0</v>
      </c>
      <c r="M634" s="229" t="str">
        <f t="shared" si="31"/>
        <v/>
      </c>
      <c r="N634" s="232"/>
    </row>
    <row r="635" spans="1:14" ht="15" thickBot="1">
      <c r="A635" s="170"/>
      <c r="B635" s="171"/>
      <c r="C635" s="172"/>
      <c r="D635" s="173"/>
      <c r="E635" s="174"/>
      <c r="F635" s="175"/>
      <c r="G635" s="176"/>
      <c r="H635" s="177"/>
      <c r="I635" s="178"/>
      <c r="J635" s="179" t="str">
        <f t="shared" si="32"/>
        <v/>
      </c>
      <c r="K635" s="180"/>
      <c r="L635" s="181">
        <f t="shared" si="33"/>
        <v>0</v>
      </c>
      <c r="M635" s="229" t="str">
        <f t="shared" si="31"/>
        <v/>
      </c>
      <c r="N635" s="232"/>
    </row>
    <row r="636" spans="1:14" ht="15" thickBot="1">
      <c r="A636" s="170"/>
      <c r="B636" s="171"/>
      <c r="C636" s="172"/>
      <c r="D636" s="173"/>
      <c r="E636" s="174"/>
      <c r="F636" s="175"/>
      <c r="G636" s="176"/>
      <c r="H636" s="177"/>
      <c r="I636" s="178"/>
      <c r="J636" s="179" t="str">
        <f t="shared" si="32"/>
        <v/>
      </c>
      <c r="K636" s="180"/>
      <c r="L636" s="181">
        <f t="shared" si="33"/>
        <v>0</v>
      </c>
      <c r="M636" s="229" t="str">
        <f t="shared" si="31"/>
        <v/>
      </c>
      <c r="N636" s="232"/>
    </row>
    <row r="637" spans="1:14" ht="15" thickBot="1">
      <c r="A637" s="170"/>
      <c r="B637" s="171"/>
      <c r="C637" s="172"/>
      <c r="D637" s="173"/>
      <c r="E637" s="174"/>
      <c r="F637" s="175"/>
      <c r="G637" s="176"/>
      <c r="H637" s="177"/>
      <c r="I637" s="178"/>
      <c r="J637" s="179" t="str">
        <f t="shared" si="32"/>
        <v/>
      </c>
      <c r="K637" s="180"/>
      <c r="L637" s="181">
        <f t="shared" si="33"/>
        <v>0</v>
      </c>
      <c r="M637" s="229" t="str">
        <f t="shared" si="31"/>
        <v/>
      </c>
      <c r="N637" s="232"/>
    </row>
    <row r="638" spans="1:14" ht="15" thickBot="1">
      <c r="A638" s="170"/>
      <c r="B638" s="171"/>
      <c r="C638" s="172"/>
      <c r="D638" s="173"/>
      <c r="E638" s="174"/>
      <c r="F638" s="175"/>
      <c r="G638" s="176"/>
      <c r="H638" s="177"/>
      <c r="I638" s="178"/>
      <c r="J638" s="179" t="str">
        <f t="shared" si="32"/>
        <v/>
      </c>
      <c r="K638" s="180"/>
      <c r="L638" s="181">
        <f t="shared" si="33"/>
        <v>0</v>
      </c>
      <c r="M638" s="229" t="str">
        <f t="shared" si="31"/>
        <v/>
      </c>
      <c r="N638" s="232"/>
    </row>
    <row r="639" spans="1:14" ht="15" thickBot="1">
      <c r="A639" s="170"/>
      <c r="B639" s="171"/>
      <c r="C639" s="172"/>
      <c r="D639" s="173"/>
      <c r="E639" s="174"/>
      <c r="F639" s="175"/>
      <c r="G639" s="176"/>
      <c r="H639" s="177"/>
      <c r="I639" s="178"/>
      <c r="J639" s="179" t="str">
        <f t="shared" si="32"/>
        <v/>
      </c>
      <c r="K639" s="180"/>
      <c r="L639" s="181">
        <f t="shared" si="33"/>
        <v>0</v>
      </c>
      <c r="M639" s="229" t="str">
        <f t="shared" si="31"/>
        <v/>
      </c>
      <c r="N639" s="232"/>
    </row>
    <row r="640" spans="1:14" ht="15" thickBot="1">
      <c r="A640" s="170"/>
      <c r="B640" s="171"/>
      <c r="C640" s="172"/>
      <c r="D640" s="173"/>
      <c r="E640" s="174"/>
      <c r="F640" s="175"/>
      <c r="G640" s="176"/>
      <c r="H640" s="177"/>
      <c r="I640" s="178"/>
      <c r="J640" s="179" t="str">
        <f t="shared" si="32"/>
        <v/>
      </c>
      <c r="K640" s="180"/>
      <c r="L640" s="181">
        <f t="shared" si="33"/>
        <v>0</v>
      </c>
      <c r="M640" s="229" t="str">
        <f t="shared" si="31"/>
        <v/>
      </c>
      <c r="N640" s="232"/>
    </row>
    <row r="641" spans="1:14" ht="15" thickBot="1">
      <c r="A641" s="170"/>
      <c r="B641" s="171"/>
      <c r="C641" s="172"/>
      <c r="D641" s="173"/>
      <c r="E641" s="174"/>
      <c r="F641" s="175"/>
      <c r="G641" s="176"/>
      <c r="H641" s="177"/>
      <c r="I641" s="178"/>
      <c r="J641" s="179" t="str">
        <f t="shared" si="32"/>
        <v/>
      </c>
      <c r="K641" s="180"/>
      <c r="L641" s="181">
        <f t="shared" si="33"/>
        <v>0</v>
      </c>
      <c r="M641" s="229" t="str">
        <f t="shared" si="31"/>
        <v/>
      </c>
      <c r="N641" s="232"/>
    </row>
    <row r="642" spans="1:14" ht="15" thickBot="1">
      <c r="A642" s="170"/>
      <c r="B642" s="171"/>
      <c r="C642" s="172"/>
      <c r="D642" s="173"/>
      <c r="E642" s="174"/>
      <c r="F642" s="175"/>
      <c r="G642" s="176"/>
      <c r="H642" s="177"/>
      <c r="I642" s="178"/>
      <c r="J642" s="179" t="str">
        <f t="shared" si="32"/>
        <v/>
      </c>
      <c r="K642" s="180"/>
      <c r="L642" s="181">
        <f t="shared" si="33"/>
        <v>0</v>
      </c>
      <c r="M642" s="229" t="str">
        <f t="shared" si="31"/>
        <v/>
      </c>
      <c r="N642" s="232"/>
    </row>
    <row r="643" spans="1:14" ht="15" thickBot="1">
      <c r="A643" s="170"/>
      <c r="B643" s="171"/>
      <c r="C643" s="172"/>
      <c r="D643" s="173"/>
      <c r="E643" s="174"/>
      <c r="F643" s="175"/>
      <c r="G643" s="176"/>
      <c r="H643" s="177"/>
      <c r="I643" s="178"/>
      <c r="J643" s="179" t="str">
        <f t="shared" si="32"/>
        <v/>
      </c>
      <c r="K643" s="180"/>
      <c r="L643" s="181">
        <f t="shared" si="33"/>
        <v>0</v>
      </c>
      <c r="M643" s="229" t="str">
        <f t="shared" si="31"/>
        <v/>
      </c>
      <c r="N643" s="232"/>
    </row>
    <row r="644" spans="1:14" ht="15" thickBot="1">
      <c r="A644" s="170"/>
      <c r="B644" s="171"/>
      <c r="C644" s="172"/>
      <c r="D644" s="173"/>
      <c r="E644" s="174"/>
      <c r="F644" s="175"/>
      <c r="G644" s="176"/>
      <c r="H644" s="177"/>
      <c r="I644" s="178"/>
      <c r="J644" s="179" t="str">
        <f t="shared" si="32"/>
        <v/>
      </c>
      <c r="K644" s="180"/>
      <c r="L644" s="181">
        <f t="shared" si="33"/>
        <v>0</v>
      </c>
      <c r="M644" s="229" t="str">
        <f t="shared" si="31"/>
        <v/>
      </c>
      <c r="N644" s="232"/>
    </row>
    <row r="645" spans="1:14" ht="15" thickBot="1">
      <c r="A645" s="170"/>
      <c r="B645" s="171"/>
      <c r="C645" s="172"/>
      <c r="D645" s="173"/>
      <c r="E645" s="174"/>
      <c r="F645" s="175"/>
      <c r="G645" s="176"/>
      <c r="H645" s="177"/>
      <c r="I645" s="178"/>
      <c r="J645" s="179" t="str">
        <f t="shared" si="32"/>
        <v/>
      </c>
      <c r="K645" s="180"/>
      <c r="L645" s="181">
        <f t="shared" si="33"/>
        <v>0</v>
      </c>
      <c r="M645" s="229" t="str">
        <f t="shared" si="31"/>
        <v/>
      </c>
      <c r="N645" s="232"/>
    </row>
    <row r="646" spans="1:14" ht="15" thickBot="1">
      <c r="A646" s="170"/>
      <c r="B646" s="171"/>
      <c r="C646" s="172"/>
      <c r="D646" s="173"/>
      <c r="E646" s="174"/>
      <c r="F646" s="175"/>
      <c r="G646" s="176"/>
      <c r="H646" s="177"/>
      <c r="I646" s="178"/>
      <c r="J646" s="179" t="str">
        <f t="shared" si="32"/>
        <v/>
      </c>
      <c r="K646" s="180"/>
      <c r="L646" s="181">
        <f t="shared" si="33"/>
        <v>0</v>
      </c>
      <c r="M646" s="229" t="str">
        <f t="shared" si="31"/>
        <v/>
      </c>
      <c r="N646" s="232"/>
    </row>
    <row r="647" spans="1:14" ht="15" thickBot="1">
      <c r="A647" s="170"/>
      <c r="B647" s="171"/>
      <c r="C647" s="172"/>
      <c r="D647" s="173"/>
      <c r="E647" s="174"/>
      <c r="F647" s="175"/>
      <c r="G647" s="176"/>
      <c r="H647" s="177"/>
      <c r="I647" s="178"/>
      <c r="J647" s="179" t="str">
        <f t="shared" si="32"/>
        <v/>
      </c>
      <c r="K647" s="180"/>
      <c r="L647" s="181">
        <f t="shared" si="33"/>
        <v>0</v>
      </c>
      <c r="M647" s="229" t="str">
        <f t="shared" si="31"/>
        <v/>
      </c>
      <c r="N647" s="232"/>
    </row>
    <row r="648" spans="1:14" ht="15" thickBot="1">
      <c r="A648" s="170"/>
      <c r="B648" s="171"/>
      <c r="C648" s="172"/>
      <c r="D648" s="173"/>
      <c r="E648" s="174"/>
      <c r="F648" s="175"/>
      <c r="G648" s="176"/>
      <c r="H648" s="177"/>
      <c r="I648" s="178"/>
      <c r="J648" s="179" t="str">
        <f t="shared" si="32"/>
        <v/>
      </c>
      <c r="K648" s="180"/>
      <c r="L648" s="181">
        <f t="shared" si="33"/>
        <v>0</v>
      </c>
      <c r="M648" s="229" t="str">
        <f t="shared" si="31"/>
        <v/>
      </c>
      <c r="N648" s="232"/>
    </row>
    <row r="649" spans="1:14" ht="15" thickBot="1">
      <c r="A649" s="170"/>
      <c r="B649" s="171"/>
      <c r="C649" s="172"/>
      <c r="D649" s="173"/>
      <c r="E649" s="174"/>
      <c r="F649" s="175"/>
      <c r="G649" s="176"/>
      <c r="H649" s="177"/>
      <c r="I649" s="178"/>
      <c r="J649" s="179" t="str">
        <f t="shared" si="32"/>
        <v/>
      </c>
      <c r="K649" s="180"/>
      <c r="L649" s="181">
        <f t="shared" si="33"/>
        <v>0</v>
      </c>
      <c r="M649" s="229" t="str">
        <f t="shared" si="31"/>
        <v/>
      </c>
      <c r="N649" s="232"/>
    </row>
    <row r="650" spans="1:14" ht="15" thickBot="1">
      <c r="A650" s="170"/>
      <c r="B650" s="171"/>
      <c r="C650" s="172"/>
      <c r="D650" s="173"/>
      <c r="E650" s="174"/>
      <c r="F650" s="175"/>
      <c r="G650" s="176"/>
      <c r="H650" s="177"/>
      <c r="I650" s="178"/>
      <c r="J650" s="179" t="str">
        <f t="shared" si="32"/>
        <v/>
      </c>
      <c r="K650" s="180"/>
      <c r="L650" s="181">
        <f t="shared" si="33"/>
        <v>0</v>
      </c>
      <c r="M650" s="229" t="str">
        <f t="shared" si="31"/>
        <v/>
      </c>
      <c r="N650" s="232"/>
    </row>
    <row r="651" spans="1:14" ht="15" thickBot="1">
      <c r="A651" s="170"/>
      <c r="B651" s="171"/>
      <c r="C651" s="172"/>
      <c r="D651" s="173"/>
      <c r="E651" s="174"/>
      <c r="F651" s="175"/>
      <c r="G651" s="176"/>
      <c r="H651" s="177"/>
      <c r="I651" s="178"/>
      <c r="J651" s="179" t="str">
        <f t="shared" si="32"/>
        <v/>
      </c>
      <c r="K651" s="180"/>
      <c r="L651" s="181">
        <f t="shared" si="33"/>
        <v>0</v>
      </c>
      <c r="M651" s="229" t="str">
        <f t="shared" si="31"/>
        <v/>
      </c>
      <c r="N651" s="232"/>
    </row>
    <row r="652" spans="1:14" ht="15" thickBot="1">
      <c r="A652" s="170"/>
      <c r="B652" s="171"/>
      <c r="C652" s="172"/>
      <c r="D652" s="173"/>
      <c r="E652" s="174"/>
      <c r="F652" s="175"/>
      <c r="G652" s="176"/>
      <c r="H652" s="177"/>
      <c r="I652" s="178"/>
      <c r="J652" s="179" t="str">
        <f t="shared" si="32"/>
        <v/>
      </c>
      <c r="K652" s="180"/>
      <c r="L652" s="181">
        <f t="shared" si="33"/>
        <v>0</v>
      </c>
      <c r="M652" s="229" t="str">
        <f t="shared" si="31"/>
        <v/>
      </c>
      <c r="N652" s="232"/>
    </row>
    <row r="653" spans="1:14" ht="15" thickBot="1">
      <c r="A653" s="170"/>
      <c r="B653" s="171"/>
      <c r="C653" s="172"/>
      <c r="D653" s="173"/>
      <c r="E653" s="174"/>
      <c r="F653" s="175"/>
      <c r="G653" s="176"/>
      <c r="H653" s="177"/>
      <c r="I653" s="178"/>
      <c r="J653" s="179" t="str">
        <f t="shared" si="32"/>
        <v/>
      </c>
      <c r="K653" s="180"/>
      <c r="L653" s="181">
        <f t="shared" si="33"/>
        <v>0</v>
      </c>
      <c r="M653" s="229" t="str">
        <f t="shared" si="31"/>
        <v/>
      </c>
      <c r="N653" s="232"/>
    </row>
    <row r="654" spans="1:14" ht="15" thickBot="1">
      <c r="A654" s="170"/>
      <c r="B654" s="171"/>
      <c r="C654" s="172"/>
      <c r="D654" s="173"/>
      <c r="E654" s="174"/>
      <c r="F654" s="175"/>
      <c r="G654" s="176"/>
      <c r="H654" s="177"/>
      <c r="I654" s="178"/>
      <c r="J654" s="179" t="str">
        <f t="shared" si="32"/>
        <v/>
      </c>
      <c r="K654" s="180"/>
      <c r="L654" s="181">
        <f t="shared" si="33"/>
        <v>0</v>
      </c>
      <c r="M654" s="229" t="str">
        <f t="shared" ref="M654:M717" si="34">IF(J654 &lt;&gt; "", J654 * L654, "")</f>
        <v/>
      </c>
      <c r="N654" s="232"/>
    </row>
    <row r="655" spans="1:14" ht="15" thickBot="1">
      <c r="A655" s="170"/>
      <c r="B655" s="171"/>
      <c r="C655" s="172"/>
      <c r="D655" s="173"/>
      <c r="E655" s="174"/>
      <c r="F655" s="175"/>
      <c r="G655" s="176"/>
      <c r="H655" s="177"/>
      <c r="I655" s="178"/>
      <c r="J655" s="179" t="str">
        <f t="shared" si="32"/>
        <v/>
      </c>
      <c r="K655" s="180"/>
      <c r="L655" s="181">
        <f t="shared" si="33"/>
        <v>0</v>
      </c>
      <c r="M655" s="229" t="str">
        <f t="shared" si="34"/>
        <v/>
      </c>
      <c r="N655" s="232"/>
    </row>
    <row r="656" spans="1:14" ht="15" thickBot="1">
      <c r="A656" s="170"/>
      <c r="B656" s="171"/>
      <c r="C656" s="172"/>
      <c r="D656" s="173"/>
      <c r="E656" s="174"/>
      <c r="F656" s="175"/>
      <c r="G656" s="176"/>
      <c r="H656" s="177"/>
      <c r="I656" s="178"/>
      <c r="J656" s="179" t="str">
        <f t="shared" si="32"/>
        <v/>
      </c>
      <c r="K656" s="180"/>
      <c r="L656" s="181">
        <f t="shared" si="33"/>
        <v>0</v>
      </c>
      <c r="M656" s="229" t="str">
        <f t="shared" si="34"/>
        <v/>
      </c>
      <c r="N656" s="232"/>
    </row>
    <row r="657" spans="1:14" ht="15" thickBot="1">
      <c r="A657" s="170"/>
      <c r="B657" s="171"/>
      <c r="C657" s="172"/>
      <c r="D657" s="173"/>
      <c r="E657" s="174"/>
      <c r="F657" s="175"/>
      <c r="G657" s="176"/>
      <c r="H657" s="177"/>
      <c r="I657" s="178"/>
      <c r="J657" s="179" t="str">
        <f t="shared" si="32"/>
        <v/>
      </c>
      <c r="K657" s="180"/>
      <c r="L657" s="181">
        <f t="shared" si="33"/>
        <v>0</v>
      </c>
      <c r="M657" s="229" t="str">
        <f t="shared" si="34"/>
        <v/>
      </c>
      <c r="N657" s="232"/>
    </row>
    <row r="658" spans="1:14" ht="15" thickBot="1">
      <c r="A658" s="170"/>
      <c r="B658" s="171"/>
      <c r="C658" s="172"/>
      <c r="D658" s="173"/>
      <c r="E658" s="174"/>
      <c r="F658" s="175"/>
      <c r="G658" s="176"/>
      <c r="H658" s="177"/>
      <c r="I658" s="178"/>
      <c r="J658" s="179" t="str">
        <f t="shared" si="32"/>
        <v/>
      </c>
      <c r="K658" s="180"/>
      <c r="L658" s="181">
        <f t="shared" si="33"/>
        <v>0</v>
      </c>
      <c r="M658" s="229" t="str">
        <f t="shared" si="34"/>
        <v/>
      </c>
      <c r="N658" s="232"/>
    </row>
    <row r="659" spans="1:14" ht="15" thickBot="1">
      <c r="A659" s="170"/>
      <c r="B659" s="171"/>
      <c r="C659" s="172"/>
      <c r="D659" s="173"/>
      <c r="E659" s="174"/>
      <c r="F659" s="175"/>
      <c r="G659" s="176"/>
      <c r="H659" s="177"/>
      <c r="I659" s="178"/>
      <c r="J659" s="179" t="str">
        <f t="shared" si="32"/>
        <v/>
      </c>
      <c r="K659" s="180"/>
      <c r="L659" s="181">
        <f t="shared" si="33"/>
        <v>0</v>
      </c>
      <c r="M659" s="229" t="str">
        <f t="shared" si="34"/>
        <v/>
      </c>
      <c r="N659" s="232"/>
    </row>
    <row r="660" spans="1:14" ht="15" thickBot="1">
      <c r="A660" s="170"/>
      <c r="B660" s="171"/>
      <c r="C660" s="172"/>
      <c r="D660" s="173"/>
      <c r="E660" s="174"/>
      <c r="F660" s="175"/>
      <c r="G660" s="176"/>
      <c r="H660" s="177"/>
      <c r="I660" s="178"/>
      <c r="J660" s="179" t="str">
        <f t="shared" si="32"/>
        <v/>
      </c>
      <c r="K660" s="180"/>
      <c r="L660" s="181">
        <f t="shared" si="33"/>
        <v>0</v>
      </c>
      <c r="M660" s="229" t="str">
        <f t="shared" si="34"/>
        <v/>
      </c>
      <c r="N660" s="232"/>
    </row>
    <row r="661" spans="1:14" ht="15" thickBot="1">
      <c r="A661" s="170"/>
      <c r="B661" s="171"/>
      <c r="C661" s="172"/>
      <c r="D661" s="173"/>
      <c r="E661" s="174"/>
      <c r="F661" s="175"/>
      <c r="G661" s="176"/>
      <c r="H661" s="177"/>
      <c r="I661" s="178"/>
      <c r="J661" s="179" t="str">
        <f t="shared" si="32"/>
        <v/>
      </c>
      <c r="K661" s="180"/>
      <c r="L661" s="181">
        <f t="shared" si="33"/>
        <v>0</v>
      </c>
      <c r="M661" s="229" t="str">
        <f t="shared" si="34"/>
        <v/>
      </c>
      <c r="N661" s="232"/>
    </row>
    <row r="662" spans="1:14" ht="15" thickBot="1">
      <c r="A662" s="170"/>
      <c r="B662" s="171"/>
      <c r="C662" s="172"/>
      <c r="D662" s="173"/>
      <c r="E662" s="174"/>
      <c r="F662" s="175"/>
      <c r="G662" s="176"/>
      <c r="H662" s="177"/>
      <c r="I662" s="178"/>
      <c r="J662" s="179" t="str">
        <f t="shared" si="32"/>
        <v/>
      </c>
      <c r="K662" s="180"/>
      <c r="L662" s="181">
        <f t="shared" si="33"/>
        <v>0</v>
      </c>
      <c r="M662" s="229" t="str">
        <f t="shared" si="34"/>
        <v/>
      </c>
      <c r="N662" s="232"/>
    </row>
    <row r="663" spans="1:14" ht="15" thickBot="1">
      <c r="A663" s="170"/>
      <c r="B663" s="171"/>
      <c r="C663" s="172"/>
      <c r="D663" s="173"/>
      <c r="E663" s="174"/>
      <c r="F663" s="175"/>
      <c r="G663" s="176"/>
      <c r="H663" s="177"/>
      <c r="I663" s="178"/>
      <c r="J663" s="179" t="str">
        <f t="shared" si="32"/>
        <v/>
      </c>
      <c r="K663" s="180"/>
      <c r="L663" s="181">
        <f t="shared" si="33"/>
        <v>0</v>
      </c>
      <c r="M663" s="229" t="str">
        <f t="shared" si="34"/>
        <v/>
      </c>
      <c r="N663" s="232"/>
    </row>
    <row r="664" spans="1:14" ht="15" thickBot="1">
      <c r="A664" s="170"/>
      <c r="B664" s="171"/>
      <c r="C664" s="172"/>
      <c r="D664" s="173"/>
      <c r="E664" s="174"/>
      <c r="F664" s="175"/>
      <c r="G664" s="176"/>
      <c r="H664" s="177"/>
      <c r="I664" s="178"/>
      <c r="J664" s="179" t="str">
        <f t="shared" si="32"/>
        <v/>
      </c>
      <c r="K664" s="180"/>
      <c r="L664" s="181">
        <f t="shared" si="33"/>
        <v>0</v>
      </c>
      <c r="M664" s="229" t="str">
        <f t="shared" si="34"/>
        <v/>
      </c>
      <c r="N664" s="232"/>
    </row>
    <row r="665" spans="1:14" ht="15" thickBot="1">
      <c r="A665" s="170"/>
      <c r="B665" s="171"/>
      <c r="C665" s="172"/>
      <c r="D665" s="173"/>
      <c r="E665" s="174"/>
      <c r="F665" s="175"/>
      <c r="G665" s="176"/>
      <c r="H665" s="177"/>
      <c r="I665" s="178"/>
      <c r="J665" s="179" t="str">
        <f t="shared" si="32"/>
        <v/>
      </c>
      <c r="K665" s="180"/>
      <c r="L665" s="181">
        <f t="shared" si="33"/>
        <v>0</v>
      </c>
      <c r="M665" s="229" t="str">
        <f t="shared" si="34"/>
        <v/>
      </c>
      <c r="N665" s="232"/>
    </row>
    <row r="666" spans="1:14" ht="15" thickBot="1">
      <c r="A666" s="170"/>
      <c r="B666" s="171"/>
      <c r="C666" s="172"/>
      <c r="D666" s="173"/>
      <c r="E666" s="174"/>
      <c r="F666" s="175"/>
      <c r="G666" s="176"/>
      <c r="H666" s="177"/>
      <c r="I666" s="178"/>
      <c r="J666" s="179" t="str">
        <f t="shared" si="32"/>
        <v/>
      </c>
      <c r="K666" s="180"/>
      <c r="L666" s="181">
        <f t="shared" si="33"/>
        <v>0</v>
      </c>
      <c r="M666" s="229" t="str">
        <f t="shared" si="34"/>
        <v/>
      </c>
      <c r="N666" s="232"/>
    </row>
    <row r="667" spans="1:14" ht="15" thickBot="1">
      <c r="A667" s="170"/>
      <c r="B667" s="171"/>
      <c r="C667" s="172"/>
      <c r="D667" s="173"/>
      <c r="E667" s="174"/>
      <c r="F667" s="175"/>
      <c r="G667" s="176"/>
      <c r="H667" s="177"/>
      <c r="I667" s="178"/>
      <c r="J667" s="179" t="str">
        <f t="shared" si="32"/>
        <v/>
      </c>
      <c r="K667" s="180"/>
      <c r="L667" s="181">
        <f t="shared" si="33"/>
        <v>0</v>
      </c>
      <c r="M667" s="229" t="str">
        <f t="shared" si="34"/>
        <v/>
      </c>
      <c r="N667" s="232"/>
    </row>
    <row r="668" spans="1:14" ht="15" thickBot="1">
      <c r="A668" s="170"/>
      <c r="B668" s="171"/>
      <c r="C668" s="172"/>
      <c r="D668" s="173"/>
      <c r="E668" s="174"/>
      <c r="F668" s="175"/>
      <c r="G668" s="176"/>
      <c r="H668" s="177"/>
      <c r="I668" s="178"/>
      <c r="J668" s="179" t="str">
        <f t="shared" si="32"/>
        <v/>
      </c>
      <c r="K668" s="180"/>
      <c r="L668" s="181">
        <f t="shared" si="33"/>
        <v>0</v>
      </c>
      <c r="M668" s="229" t="str">
        <f t="shared" si="34"/>
        <v/>
      </c>
      <c r="N668" s="232"/>
    </row>
    <row r="669" spans="1:14" ht="15" thickBot="1">
      <c r="A669" s="170"/>
      <c r="B669" s="171"/>
      <c r="C669" s="172"/>
      <c r="D669" s="173"/>
      <c r="E669" s="174"/>
      <c r="F669" s="175"/>
      <c r="G669" s="176"/>
      <c r="H669" s="177"/>
      <c r="I669" s="178"/>
      <c r="J669" s="179" t="str">
        <f t="shared" si="32"/>
        <v/>
      </c>
      <c r="K669" s="180"/>
      <c r="L669" s="181">
        <f t="shared" si="33"/>
        <v>0</v>
      </c>
      <c r="M669" s="229" t="str">
        <f t="shared" si="34"/>
        <v/>
      </c>
      <c r="N669" s="232"/>
    </row>
    <row r="670" spans="1:14" ht="15" thickBot="1">
      <c r="A670" s="170"/>
      <c r="B670" s="171"/>
      <c r="C670" s="172"/>
      <c r="D670" s="173"/>
      <c r="E670" s="174"/>
      <c r="F670" s="175"/>
      <c r="G670" s="176"/>
      <c r="H670" s="177"/>
      <c r="I670" s="178"/>
      <c r="J670" s="179" t="str">
        <f t="shared" si="32"/>
        <v/>
      </c>
      <c r="K670" s="180"/>
      <c r="L670" s="181">
        <f t="shared" si="33"/>
        <v>0</v>
      </c>
      <c r="M670" s="229" t="str">
        <f t="shared" si="34"/>
        <v/>
      </c>
      <c r="N670" s="232"/>
    </row>
    <row r="671" spans="1:14" ht="15" thickBot="1">
      <c r="A671" s="170"/>
      <c r="B671" s="171"/>
      <c r="C671" s="172"/>
      <c r="D671" s="173"/>
      <c r="E671" s="174"/>
      <c r="F671" s="175"/>
      <c r="G671" s="176"/>
      <c r="H671" s="177"/>
      <c r="I671" s="178"/>
      <c r="J671" s="179" t="str">
        <f t="shared" si="32"/>
        <v/>
      </c>
      <c r="K671" s="180"/>
      <c r="L671" s="181">
        <f t="shared" si="33"/>
        <v>0</v>
      </c>
      <c r="M671" s="229" t="str">
        <f t="shared" si="34"/>
        <v/>
      </c>
      <c r="N671" s="232"/>
    </row>
    <row r="672" spans="1:14" ht="15" thickBot="1">
      <c r="A672" s="170"/>
      <c r="B672" s="171"/>
      <c r="C672" s="172"/>
      <c r="D672" s="173"/>
      <c r="E672" s="174"/>
      <c r="F672" s="175"/>
      <c r="G672" s="176"/>
      <c r="H672" s="177"/>
      <c r="I672" s="178"/>
      <c r="J672" s="179" t="str">
        <f t="shared" si="32"/>
        <v/>
      </c>
      <c r="K672" s="180"/>
      <c r="L672" s="181">
        <f t="shared" si="33"/>
        <v>0</v>
      </c>
      <c r="M672" s="229" t="str">
        <f t="shared" si="34"/>
        <v/>
      </c>
      <c r="N672" s="232"/>
    </row>
    <row r="673" spans="1:14" ht="15" thickBot="1">
      <c r="A673" s="170"/>
      <c r="B673" s="171"/>
      <c r="C673" s="172"/>
      <c r="D673" s="173"/>
      <c r="E673" s="174"/>
      <c r="F673" s="175"/>
      <c r="G673" s="176"/>
      <c r="H673" s="177"/>
      <c r="I673" s="178"/>
      <c r="J673" s="179" t="str">
        <f t="shared" si="32"/>
        <v/>
      </c>
      <c r="K673" s="180"/>
      <c r="L673" s="181">
        <f t="shared" si="33"/>
        <v>0</v>
      </c>
      <c r="M673" s="229" t="str">
        <f t="shared" si="34"/>
        <v/>
      </c>
      <c r="N673" s="232"/>
    </row>
    <row r="674" spans="1:14" ht="15" thickBot="1">
      <c r="A674" s="170"/>
      <c r="B674" s="171"/>
      <c r="C674" s="172"/>
      <c r="D674" s="173"/>
      <c r="E674" s="174"/>
      <c r="F674" s="175"/>
      <c r="G674" s="176"/>
      <c r="H674" s="177"/>
      <c r="I674" s="178"/>
      <c r="J674" s="179" t="str">
        <f t="shared" si="32"/>
        <v/>
      </c>
      <c r="K674" s="180"/>
      <c r="L674" s="181">
        <f t="shared" si="33"/>
        <v>0</v>
      </c>
      <c r="M674" s="229" t="str">
        <f t="shared" si="34"/>
        <v/>
      </c>
      <c r="N674" s="232"/>
    </row>
    <row r="675" spans="1:14" ht="15" thickBot="1">
      <c r="A675" s="170"/>
      <c r="B675" s="171"/>
      <c r="C675" s="172"/>
      <c r="D675" s="173"/>
      <c r="E675" s="174"/>
      <c r="F675" s="175"/>
      <c r="G675" s="176"/>
      <c r="H675" s="177"/>
      <c r="I675" s="178"/>
      <c r="J675" s="179" t="str">
        <f t="shared" si="32"/>
        <v/>
      </c>
      <c r="K675" s="180"/>
      <c r="L675" s="181">
        <f t="shared" si="33"/>
        <v>0</v>
      </c>
      <c r="M675" s="229" t="str">
        <f t="shared" si="34"/>
        <v/>
      </c>
      <c r="N675" s="232"/>
    </row>
    <row r="676" spans="1:14" ht="15" thickBot="1">
      <c r="A676" s="170"/>
      <c r="B676" s="171"/>
      <c r="C676" s="172"/>
      <c r="D676" s="173"/>
      <c r="E676" s="174"/>
      <c r="F676" s="175"/>
      <c r="G676" s="176"/>
      <c r="H676" s="177"/>
      <c r="I676" s="178"/>
      <c r="J676" s="179" t="str">
        <f t="shared" si="32"/>
        <v/>
      </c>
      <c r="K676" s="180"/>
      <c r="L676" s="181">
        <f t="shared" si="33"/>
        <v>0</v>
      </c>
      <c r="M676" s="229" t="str">
        <f t="shared" si="34"/>
        <v/>
      </c>
      <c r="N676" s="232"/>
    </row>
    <row r="677" spans="1:14" ht="15" thickBot="1">
      <c r="A677" s="170"/>
      <c r="B677" s="171"/>
      <c r="C677" s="172"/>
      <c r="D677" s="173"/>
      <c r="E677" s="174"/>
      <c r="F677" s="175"/>
      <c r="G677" s="176"/>
      <c r="H677" s="177"/>
      <c r="I677" s="178"/>
      <c r="J677" s="179" t="str">
        <f t="shared" si="32"/>
        <v/>
      </c>
      <c r="K677" s="180"/>
      <c r="L677" s="181">
        <f t="shared" si="33"/>
        <v>0</v>
      </c>
      <c r="M677" s="229" t="str">
        <f t="shared" si="34"/>
        <v/>
      </c>
      <c r="N677" s="232"/>
    </row>
    <row r="678" spans="1:14" ht="15" thickBot="1">
      <c r="A678" s="170"/>
      <c r="B678" s="171"/>
      <c r="C678" s="172"/>
      <c r="D678" s="173"/>
      <c r="E678" s="174"/>
      <c r="F678" s="175"/>
      <c r="G678" s="176"/>
      <c r="H678" s="177"/>
      <c r="I678" s="178"/>
      <c r="J678" s="179" t="str">
        <f t="shared" si="32"/>
        <v/>
      </c>
      <c r="K678" s="180"/>
      <c r="L678" s="181">
        <f t="shared" si="33"/>
        <v>0</v>
      </c>
      <c r="M678" s="229" t="str">
        <f t="shared" si="34"/>
        <v/>
      </c>
      <c r="N678" s="232"/>
    </row>
    <row r="679" spans="1:14" ht="15" thickBot="1">
      <c r="A679" s="170"/>
      <c r="B679" s="171"/>
      <c r="C679" s="172"/>
      <c r="D679" s="173"/>
      <c r="E679" s="174"/>
      <c r="F679" s="175"/>
      <c r="G679" s="176"/>
      <c r="H679" s="177"/>
      <c r="I679" s="178"/>
      <c r="J679" s="179" t="str">
        <f t="shared" si="32"/>
        <v/>
      </c>
      <c r="K679" s="180"/>
      <c r="L679" s="181">
        <f t="shared" si="33"/>
        <v>0</v>
      </c>
      <c r="M679" s="229" t="str">
        <f t="shared" si="34"/>
        <v/>
      </c>
      <c r="N679" s="232"/>
    </row>
    <row r="680" spans="1:14" ht="15" thickBot="1">
      <c r="A680" s="170"/>
      <c r="B680" s="171"/>
      <c r="C680" s="172"/>
      <c r="D680" s="173"/>
      <c r="E680" s="174"/>
      <c r="F680" s="175"/>
      <c r="G680" s="176"/>
      <c r="H680" s="177"/>
      <c r="I680" s="178"/>
      <c r="J680" s="179" t="str">
        <f t="shared" si="32"/>
        <v/>
      </c>
      <c r="K680" s="180"/>
      <c r="L680" s="181">
        <f t="shared" si="33"/>
        <v>0</v>
      </c>
      <c r="M680" s="229" t="str">
        <f t="shared" si="34"/>
        <v/>
      </c>
      <c r="N680" s="232"/>
    </row>
    <row r="681" spans="1:14" ht="15" thickBot="1">
      <c r="A681" s="170"/>
      <c r="B681" s="171"/>
      <c r="C681" s="172"/>
      <c r="D681" s="173"/>
      <c r="E681" s="174"/>
      <c r="F681" s="175"/>
      <c r="G681" s="176"/>
      <c r="H681" s="177"/>
      <c r="I681" s="178"/>
      <c r="J681" s="179" t="str">
        <f t="shared" si="32"/>
        <v/>
      </c>
      <c r="K681" s="180"/>
      <c r="L681" s="181">
        <f t="shared" si="33"/>
        <v>0</v>
      </c>
      <c r="M681" s="229" t="str">
        <f t="shared" si="34"/>
        <v/>
      </c>
      <c r="N681" s="232"/>
    </row>
    <row r="682" spans="1:14" ht="15" thickBot="1">
      <c r="A682" s="170"/>
      <c r="B682" s="171"/>
      <c r="C682" s="172"/>
      <c r="D682" s="173"/>
      <c r="E682" s="174"/>
      <c r="F682" s="175"/>
      <c r="G682" s="176"/>
      <c r="H682" s="177"/>
      <c r="I682" s="178"/>
      <c r="J682" s="179" t="str">
        <f t="shared" si="32"/>
        <v/>
      </c>
      <c r="K682" s="180"/>
      <c r="L682" s="181">
        <f t="shared" si="33"/>
        <v>0</v>
      </c>
      <c r="M682" s="229" t="str">
        <f t="shared" si="34"/>
        <v/>
      </c>
      <c r="N682" s="232"/>
    </row>
    <row r="683" spans="1:14" ht="15" thickBot="1">
      <c r="A683" s="170"/>
      <c r="B683" s="171"/>
      <c r="C683" s="172"/>
      <c r="D683" s="173"/>
      <c r="E683" s="174"/>
      <c r="F683" s="175"/>
      <c r="G683" s="176"/>
      <c r="H683" s="177"/>
      <c r="I683" s="178"/>
      <c r="J683" s="179" t="str">
        <f t="shared" si="32"/>
        <v/>
      </c>
      <c r="K683" s="180"/>
      <c r="L683" s="181">
        <f t="shared" si="33"/>
        <v>0</v>
      </c>
      <c r="M683" s="229" t="str">
        <f t="shared" si="34"/>
        <v/>
      </c>
      <c r="N683" s="232"/>
    </row>
    <row r="684" spans="1:14" ht="15" thickBot="1">
      <c r="A684" s="170"/>
      <c r="B684" s="171"/>
      <c r="C684" s="172"/>
      <c r="D684" s="173"/>
      <c r="E684" s="174"/>
      <c r="F684" s="175"/>
      <c r="G684" s="176"/>
      <c r="H684" s="177"/>
      <c r="I684" s="178"/>
      <c r="J684" s="179" t="str">
        <f t="shared" si="32"/>
        <v/>
      </c>
      <c r="K684" s="180"/>
      <c r="L684" s="181">
        <f t="shared" si="33"/>
        <v>0</v>
      </c>
      <c r="M684" s="229" t="str">
        <f t="shared" si="34"/>
        <v/>
      </c>
      <c r="N684" s="232"/>
    </row>
    <row r="685" spans="1:14" ht="15" thickBot="1">
      <c r="A685" s="170"/>
      <c r="B685" s="171"/>
      <c r="C685" s="172"/>
      <c r="D685" s="173"/>
      <c r="E685" s="174"/>
      <c r="F685" s="175"/>
      <c r="G685" s="176"/>
      <c r="H685" s="177"/>
      <c r="I685" s="178"/>
      <c r="J685" s="179" t="str">
        <f t="shared" si="32"/>
        <v/>
      </c>
      <c r="K685" s="180"/>
      <c r="L685" s="181">
        <f t="shared" si="33"/>
        <v>0</v>
      </c>
      <c r="M685" s="229" t="str">
        <f t="shared" si="34"/>
        <v/>
      </c>
      <c r="N685" s="232"/>
    </row>
    <row r="686" spans="1:14" ht="15" thickBot="1">
      <c r="A686" s="170"/>
      <c r="B686" s="171"/>
      <c r="C686" s="172"/>
      <c r="D686" s="173"/>
      <c r="E686" s="174"/>
      <c r="F686" s="175"/>
      <c r="G686" s="176"/>
      <c r="H686" s="177"/>
      <c r="I686" s="178"/>
      <c r="J686" s="179" t="str">
        <f t="shared" si="32"/>
        <v/>
      </c>
      <c r="K686" s="180"/>
      <c r="L686" s="181">
        <f t="shared" si="33"/>
        <v>0</v>
      </c>
      <c r="M686" s="229" t="str">
        <f t="shared" si="34"/>
        <v/>
      </c>
      <c r="N686" s="232"/>
    </row>
    <row r="687" spans="1:14" ht="15" thickBot="1">
      <c r="A687" s="170"/>
      <c r="B687" s="171"/>
      <c r="C687" s="172"/>
      <c r="D687" s="173"/>
      <c r="E687" s="174"/>
      <c r="F687" s="175"/>
      <c r="G687" s="176"/>
      <c r="H687" s="177"/>
      <c r="I687" s="178"/>
      <c r="J687" s="179" t="str">
        <f t="shared" si="32"/>
        <v/>
      </c>
      <c r="K687" s="180"/>
      <c r="L687" s="181">
        <f t="shared" si="33"/>
        <v>0</v>
      </c>
      <c r="M687" s="229" t="str">
        <f t="shared" si="34"/>
        <v/>
      </c>
      <c r="N687" s="232"/>
    </row>
    <row r="688" spans="1:14" ht="15" thickBot="1">
      <c r="A688" s="170"/>
      <c r="B688" s="171"/>
      <c r="C688" s="172"/>
      <c r="D688" s="173"/>
      <c r="E688" s="174"/>
      <c r="F688" s="175"/>
      <c r="G688" s="176"/>
      <c r="H688" s="177"/>
      <c r="I688" s="178"/>
      <c r="J688" s="179" t="str">
        <f t="shared" si="32"/>
        <v/>
      </c>
      <c r="K688" s="180"/>
      <c r="L688" s="181">
        <f t="shared" si="33"/>
        <v>0</v>
      </c>
      <c r="M688" s="229" t="str">
        <f t="shared" si="34"/>
        <v/>
      </c>
      <c r="N688" s="232"/>
    </row>
    <row r="689" spans="1:14" ht="15" thickBot="1">
      <c r="A689" s="170"/>
      <c r="B689" s="171"/>
      <c r="C689" s="172"/>
      <c r="D689" s="173"/>
      <c r="E689" s="174"/>
      <c r="F689" s="175"/>
      <c r="G689" s="176"/>
      <c r="H689" s="177"/>
      <c r="I689" s="178"/>
      <c r="J689" s="179" t="str">
        <f t="shared" si="32"/>
        <v/>
      </c>
      <c r="K689" s="180"/>
      <c r="L689" s="181">
        <f t="shared" si="33"/>
        <v>0</v>
      </c>
      <c r="M689" s="229" t="str">
        <f t="shared" si="34"/>
        <v/>
      </c>
      <c r="N689" s="232"/>
    </row>
    <row r="690" spans="1:14" ht="15" thickBot="1">
      <c r="A690" s="170"/>
      <c r="B690" s="171"/>
      <c r="C690" s="172"/>
      <c r="D690" s="173"/>
      <c r="E690" s="174"/>
      <c r="F690" s="175"/>
      <c r="G690" s="176"/>
      <c r="H690" s="177"/>
      <c r="I690" s="178"/>
      <c r="J690" s="179" t="str">
        <f t="shared" si="32"/>
        <v/>
      </c>
      <c r="K690" s="180"/>
      <c r="L690" s="181">
        <f t="shared" si="33"/>
        <v>0</v>
      </c>
      <c r="M690" s="229" t="str">
        <f t="shared" si="34"/>
        <v/>
      </c>
      <c r="N690" s="232"/>
    </row>
    <row r="691" spans="1:14" ht="15" thickBot="1">
      <c r="A691" s="170"/>
      <c r="B691" s="171"/>
      <c r="C691" s="172"/>
      <c r="D691" s="173"/>
      <c r="E691" s="174"/>
      <c r="F691" s="175"/>
      <c r="G691" s="176"/>
      <c r="H691" s="177"/>
      <c r="I691" s="178"/>
      <c r="J691" s="179" t="str">
        <f t="shared" si="32"/>
        <v/>
      </c>
      <c r="K691" s="180"/>
      <c r="L691" s="181">
        <f t="shared" si="33"/>
        <v>0</v>
      </c>
      <c r="M691" s="229" t="str">
        <f t="shared" si="34"/>
        <v/>
      </c>
      <c r="N691" s="232"/>
    </row>
    <row r="692" spans="1:14" ht="15" thickBot="1">
      <c r="A692" s="170"/>
      <c r="B692" s="171"/>
      <c r="C692" s="172"/>
      <c r="D692" s="173"/>
      <c r="E692" s="174"/>
      <c r="F692" s="175"/>
      <c r="G692" s="176"/>
      <c r="H692" s="177"/>
      <c r="I692" s="178"/>
      <c r="J692" s="179" t="str">
        <f t="shared" si="32"/>
        <v/>
      </c>
      <c r="K692" s="180"/>
      <c r="L692" s="181">
        <f t="shared" si="33"/>
        <v>0</v>
      </c>
      <c r="M692" s="229" t="str">
        <f t="shared" si="34"/>
        <v/>
      </c>
      <c r="N692" s="232"/>
    </row>
    <row r="693" spans="1:14" ht="15" thickBot="1">
      <c r="A693" s="170"/>
      <c r="B693" s="171"/>
      <c r="C693" s="172"/>
      <c r="D693" s="173"/>
      <c r="E693" s="174"/>
      <c r="F693" s="175"/>
      <c r="G693" s="176"/>
      <c r="H693" s="177"/>
      <c r="I693" s="178"/>
      <c r="J693" s="179" t="str">
        <f t="shared" si="32"/>
        <v/>
      </c>
      <c r="K693" s="180"/>
      <c r="L693" s="181">
        <f t="shared" si="33"/>
        <v>0</v>
      </c>
      <c r="M693" s="229" t="str">
        <f t="shared" si="34"/>
        <v/>
      </c>
      <c r="N693" s="232"/>
    </row>
    <row r="694" spans="1:14" ht="15" thickBot="1">
      <c r="A694" s="170"/>
      <c r="B694" s="171"/>
      <c r="C694" s="172"/>
      <c r="D694" s="173"/>
      <c r="E694" s="174"/>
      <c r="F694" s="175"/>
      <c r="G694" s="176"/>
      <c r="H694" s="177"/>
      <c r="I694" s="178"/>
      <c r="J694" s="179" t="str">
        <f t="shared" si="32"/>
        <v/>
      </c>
      <c r="K694" s="180"/>
      <c r="L694" s="181">
        <f t="shared" si="33"/>
        <v>0</v>
      </c>
      <c r="M694" s="229" t="str">
        <f t="shared" si="34"/>
        <v/>
      </c>
      <c r="N694" s="232"/>
    </row>
    <row r="695" spans="1:14" ht="15" thickBot="1">
      <c r="A695" s="170"/>
      <c r="B695" s="171"/>
      <c r="C695" s="172"/>
      <c r="D695" s="173"/>
      <c r="E695" s="174"/>
      <c r="F695" s="175"/>
      <c r="G695" s="176"/>
      <c r="H695" s="177"/>
      <c r="I695" s="178"/>
      <c r="J695" s="179" t="str">
        <f t="shared" si="32"/>
        <v/>
      </c>
      <c r="K695" s="180"/>
      <c r="L695" s="181">
        <f t="shared" si="33"/>
        <v>0</v>
      </c>
      <c r="M695" s="229" t="str">
        <f t="shared" si="34"/>
        <v/>
      </c>
      <c r="N695" s="232"/>
    </row>
    <row r="696" spans="1:14" ht="15" thickBot="1">
      <c r="A696" s="170"/>
      <c r="B696" s="171"/>
      <c r="C696" s="172"/>
      <c r="D696" s="173"/>
      <c r="E696" s="174"/>
      <c r="F696" s="175"/>
      <c r="G696" s="176"/>
      <c r="H696" s="177"/>
      <c r="I696" s="178"/>
      <c r="J696" s="179" t="str">
        <f t="shared" si="32"/>
        <v/>
      </c>
      <c r="K696" s="180"/>
      <c r="L696" s="181">
        <f t="shared" si="33"/>
        <v>0</v>
      </c>
      <c r="M696" s="229" t="str">
        <f t="shared" si="34"/>
        <v/>
      </c>
      <c r="N696" s="232"/>
    </row>
    <row r="697" spans="1:14" ht="15" thickBot="1">
      <c r="A697" s="170"/>
      <c r="B697" s="171"/>
      <c r="C697" s="172"/>
      <c r="D697" s="173"/>
      <c r="E697" s="174"/>
      <c r="F697" s="175"/>
      <c r="G697" s="176"/>
      <c r="H697" s="177"/>
      <c r="I697" s="178"/>
      <c r="J697" s="179" t="str">
        <f t="shared" ref="J697:J760" si="35">IF(H697 &gt; 0, I697 / H697, "")</f>
        <v/>
      </c>
      <c r="K697" s="180"/>
      <c r="L697" s="181">
        <f t="shared" ref="L697:L760" si="36">MAX(0, H697 - K697)</f>
        <v>0</v>
      </c>
      <c r="M697" s="229" t="str">
        <f t="shared" si="34"/>
        <v/>
      </c>
      <c r="N697" s="232"/>
    </row>
    <row r="698" spans="1:14" ht="15" thickBot="1">
      <c r="A698" s="170"/>
      <c r="B698" s="171"/>
      <c r="C698" s="172"/>
      <c r="D698" s="173"/>
      <c r="E698" s="174"/>
      <c r="F698" s="175"/>
      <c r="G698" s="176"/>
      <c r="H698" s="177"/>
      <c r="I698" s="178"/>
      <c r="J698" s="179" t="str">
        <f t="shared" si="35"/>
        <v/>
      </c>
      <c r="K698" s="180"/>
      <c r="L698" s="181">
        <f t="shared" si="36"/>
        <v>0</v>
      </c>
      <c r="M698" s="229" t="str">
        <f t="shared" si="34"/>
        <v/>
      </c>
      <c r="N698" s="232"/>
    </row>
    <row r="699" spans="1:14" ht="15" thickBot="1">
      <c r="A699" s="170"/>
      <c r="B699" s="171"/>
      <c r="C699" s="172"/>
      <c r="D699" s="173"/>
      <c r="E699" s="174"/>
      <c r="F699" s="175"/>
      <c r="G699" s="176"/>
      <c r="H699" s="177"/>
      <c r="I699" s="178"/>
      <c r="J699" s="179" t="str">
        <f t="shared" si="35"/>
        <v/>
      </c>
      <c r="K699" s="180"/>
      <c r="L699" s="181">
        <f t="shared" si="36"/>
        <v>0</v>
      </c>
      <c r="M699" s="229" t="str">
        <f t="shared" si="34"/>
        <v/>
      </c>
      <c r="N699" s="232"/>
    </row>
    <row r="700" spans="1:14" ht="15" thickBot="1">
      <c r="A700" s="170"/>
      <c r="B700" s="171"/>
      <c r="C700" s="172"/>
      <c r="D700" s="173"/>
      <c r="E700" s="174"/>
      <c r="F700" s="175"/>
      <c r="G700" s="176"/>
      <c r="H700" s="177"/>
      <c r="I700" s="178"/>
      <c r="J700" s="179" t="str">
        <f t="shared" si="35"/>
        <v/>
      </c>
      <c r="K700" s="180"/>
      <c r="L700" s="181">
        <f t="shared" si="36"/>
        <v>0</v>
      </c>
      <c r="M700" s="229" t="str">
        <f t="shared" si="34"/>
        <v/>
      </c>
      <c r="N700" s="232"/>
    </row>
    <row r="701" spans="1:14" ht="15" thickBot="1">
      <c r="A701" s="170"/>
      <c r="B701" s="171"/>
      <c r="C701" s="172"/>
      <c r="D701" s="173"/>
      <c r="E701" s="174"/>
      <c r="F701" s="175"/>
      <c r="G701" s="176"/>
      <c r="H701" s="177"/>
      <c r="I701" s="178"/>
      <c r="J701" s="179" t="str">
        <f t="shared" si="35"/>
        <v/>
      </c>
      <c r="K701" s="180"/>
      <c r="L701" s="181">
        <f t="shared" si="36"/>
        <v>0</v>
      </c>
      <c r="M701" s="229" t="str">
        <f t="shared" si="34"/>
        <v/>
      </c>
      <c r="N701" s="232"/>
    </row>
    <row r="702" spans="1:14" ht="15" thickBot="1">
      <c r="A702" s="170"/>
      <c r="B702" s="171"/>
      <c r="C702" s="172"/>
      <c r="D702" s="173"/>
      <c r="E702" s="174"/>
      <c r="F702" s="175"/>
      <c r="G702" s="176"/>
      <c r="H702" s="177"/>
      <c r="I702" s="178"/>
      <c r="J702" s="179" t="str">
        <f t="shared" si="35"/>
        <v/>
      </c>
      <c r="K702" s="180"/>
      <c r="L702" s="181">
        <f t="shared" si="36"/>
        <v>0</v>
      </c>
      <c r="M702" s="229" t="str">
        <f t="shared" si="34"/>
        <v/>
      </c>
      <c r="N702" s="232"/>
    </row>
    <row r="703" spans="1:14" ht="15" thickBot="1">
      <c r="A703" s="170"/>
      <c r="B703" s="171"/>
      <c r="C703" s="172"/>
      <c r="D703" s="173"/>
      <c r="E703" s="174"/>
      <c r="F703" s="175"/>
      <c r="G703" s="176"/>
      <c r="H703" s="177"/>
      <c r="I703" s="178"/>
      <c r="J703" s="179" t="str">
        <f t="shared" si="35"/>
        <v/>
      </c>
      <c r="K703" s="180"/>
      <c r="L703" s="181">
        <f t="shared" si="36"/>
        <v>0</v>
      </c>
      <c r="M703" s="229" t="str">
        <f t="shared" si="34"/>
        <v/>
      </c>
      <c r="N703" s="232"/>
    </row>
    <row r="704" spans="1:14" ht="15" thickBot="1">
      <c r="A704" s="170"/>
      <c r="B704" s="171"/>
      <c r="C704" s="172"/>
      <c r="D704" s="173"/>
      <c r="E704" s="174"/>
      <c r="F704" s="175"/>
      <c r="G704" s="176"/>
      <c r="H704" s="177"/>
      <c r="I704" s="178"/>
      <c r="J704" s="179" t="str">
        <f t="shared" si="35"/>
        <v/>
      </c>
      <c r="K704" s="180"/>
      <c r="L704" s="181">
        <f t="shared" si="36"/>
        <v>0</v>
      </c>
      <c r="M704" s="229" t="str">
        <f t="shared" si="34"/>
        <v/>
      </c>
      <c r="N704" s="232"/>
    </row>
    <row r="705" spans="1:14" ht="15" thickBot="1">
      <c r="A705" s="170"/>
      <c r="B705" s="171"/>
      <c r="C705" s="172"/>
      <c r="D705" s="173"/>
      <c r="E705" s="174"/>
      <c r="F705" s="175"/>
      <c r="G705" s="176"/>
      <c r="H705" s="177"/>
      <c r="I705" s="178"/>
      <c r="J705" s="179" t="str">
        <f t="shared" si="35"/>
        <v/>
      </c>
      <c r="K705" s="180"/>
      <c r="L705" s="181">
        <f t="shared" si="36"/>
        <v>0</v>
      </c>
      <c r="M705" s="229" t="str">
        <f t="shared" si="34"/>
        <v/>
      </c>
      <c r="N705" s="232"/>
    </row>
    <row r="706" spans="1:14" ht="15" thickBot="1">
      <c r="A706" s="170"/>
      <c r="B706" s="171"/>
      <c r="C706" s="172"/>
      <c r="D706" s="173"/>
      <c r="E706" s="174"/>
      <c r="F706" s="175"/>
      <c r="G706" s="176"/>
      <c r="H706" s="177"/>
      <c r="I706" s="178"/>
      <c r="J706" s="179" t="str">
        <f t="shared" si="35"/>
        <v/>
      </c>
      <c r="K706" s="180"/>
      <c r="L706" s="181">
        <f t="shared" si="36"/>
        <v>0</v>
      </c>
      <c r="M706" s="229" t="str">
        <f t="shared" si="34"/>
        <v/>
      </c>
      <c r="N706" s="232"/>
    </row>
    <row r="707" spans="1:14" ht="15" thickBot="1">
      <c r="A707" s="170"/>
      <c r="B707" s="171"/>
      <c r="C707" s="172"/>
      <c r="D707" s="173"/>
      <c r="E707" s="174"/>
      <c r="F707" s="175"/>
      <c r="G707" s="176"/>
      <c r="H707" s="177"/>
      <c r="I707" s="178"/>
      <c r="J707" s="179" t="str">
        <f t="shared" si="35"/>
        <v/>
      </c>
      <c r="K707" s="180"/>
      <c r="L707" s="181">
        <f t="shared" si="36"/>
        <v>0</v>
      </c>
      <c r="M707" s="229" t="str">
        <f t="shared" si="34"/>
        <v/>
      </c>
      <c r="N707" s="232"/>
    </row>
    <row r="708" spans="1:14" ht="15" thickBot="1">
      <c r="A708" s="170"/>
      <c r="B708" s="171"/>
      <c r="C708" s="172"/>
      <c r="D708" s="173"/>
      <c r="E708" s="174"/>
      <c r="F708" s="175"/>
      <c r="G708" s="176"/>
      <c r="H708" s="177"/>
      <c r="I708" s="178"/>
      <c r="J708" s="179" t="str">
        <f t="shared" si="35"/>
        <v/>
      </c>
      <c r="K708" s="180"/>
      <c r="L708" s="181">
        <f t="shared" si="36"/>
        <v>0</v>
      </c>
      <c r="M708" s="229" t="str">
        <f t="shared" si="34"/>
        <v/>
      </c>
      <c r="N708" s="232"/>
    </row>
    <row r="709" spans="1:14" ht="15" thickBot="1">
      <c r="A709" s="170"/>
      <c r="B709" s="171"/>
      <c r="C709" s="172"/>
      <c r="D709" s="173"/>
      <c r="E709" s="174"/>
      <c r="F709" s="175"/>
      <c r="G709" s="176"/>
      <c r="H709" s="177"/>
      <c r="I709" s="178"/>
      <c r="J709" s="179" t="str">
        <f t="shared" si="35"/>
        <v/>
      </c>
      <c r="K709" s="180"/>
      <c r="L709" s="181">
        <f t="shared" si="36"/>
        <v>0</v>
      </c>
      <c r="M709" s="229" t="str">
        <f t="shared" si="34"/>
        <v/>
      </c>
      <c r="N709" s="232"/>
    </row>
    <row r="710" spans="1:14" ht="15" thickBot="1">
      <c r="A710" s="170"/>
      <c r="B710" s="171"/>
      <c r="C710" s="172"/>
      <c r="D710" s="173"/>
      <c r="E710" s="174"/>
      <c r="F710" s="175"/>
      <c r="G710" s="176"/>
      <c r="H710" s="177"/>
      <c r="I710" s="178"/>
      <c r="J710" s="179" t="str">
        <f t="shared" si="35"/>
        <v/>
      </c>
      <c r="K710" s="180"/>
      <c r="L710" s="181">
        <f t="shared" si="36"/>
        <v>0</v>
      </c>
      <c r="M710" s="229" t="str">
        <f t="shared" si="34"/>
        <v/>
      </c>
      <c r="N710" s="232"/>
    </row>
    <row r="711" spans="1:14" ht="15" thickBot="1">
      <c r="A711" s="170"/>
      <c r="B711" s="171"/>
      <c r="C711" s="172"/>
      <c r="D711" s="173"/>
      <c r="E711" s="174"/>
      <c r="F711" s="175"/>
      <c r="G711" s="176"/>
      <c r="H711" s="177"/>
      <c r="I711" s="178"/>
      <c r="J711" s="179" t="str">
        <f t="shared" si="35"/>
        <v/>
      </c>
      <c r="K711" s="180"/>
      <c r="L711" s="181">
        <f t="shared" si="36"/>
        <v>0</v>
      </c>
      <c r="M711" s="229" t="str">
        <f t="shared" si="34"/>
        <v/>
      </c>
      <c r="N711" s="232"/>
    </row>
    <row r="712" spans="1:14" ht="15" thickBot="1">
      <c r="A712" s="170"/>
      <c r="B712" s="171"/>
      <c r="C712" s="172"/>
      <c r="D712" s="173"/>
      <c r="E712" s="174"/>
      <c r="F712" s="175"/>
      <c r="G712" s="176"/>
      <c r="H712" s="177"/>
      <c r="I712" s="178"/>
      <c r="J712" s="179" t="str">
        <f t="shared" si="35"/>
        <v/>
      </c>
      <c r="K712" s="180"/>
      <c r="L712" s="181">
        <f t="shared" si="36"/>
        <v>0</v>
      </c>
      <c r="M712" s="229" t="str">
        <f t="shared" si="34"/>
        <v/>
      </c>
      <c r="N712" s="232"/>
    </row>
    <row r="713" spans="1:14" ht="15" thickBot="1">
      <c r="A713" s="170"/>
      <c r="B713" s="171"/>
      <c r="C713" s="172"/>
      <c r="D713" s="173"/>
      <c r="E713" s="174"/>
      <c r="F713" s="175"/>
      <c r="G713" s="176"/>
      <c r="H713" s="177"/>
      <c r="I713" s="178"/>
      <c r="J713" s="179" t="str">
        <f t="shared" si="35"/>
        <v/>
      </c>
      <c r="K713" s="180"/>
      <c r="L713" s="181">
        <f t="shared" si="36"/>
        <v>0</v>
      </c>
      <c r="M713" s="229" t="str">
        <f t="shared" si="34"/>
        <v/>
      </c>
      <c r="N713" s="232"/>
    </row>
    <row r="714" spans="1:14" ht="15" thickBot="1">
      <c r="A714" s="170"/>
      <c r="B714" s="171"/>
      <c r="C714" s="172"/>
      <c r="D714" s="173"/>
      <c r="E714" s="174"/>
      <c r="F714" s="175"/>
      <c r="G714" s="176"/>
      <c r="H714" s="177"/>
      <c r="I714" s="178"/>
      <c r="J714" s="179" t="str">
        <f t="shared" si="35"/>
        <v/>
      </c>
      <c r="K714" s="180"/>
      <c r="L714" s="181">
        <f t="shared" si="36"/>
        <v>0</v>
      </c>
      <c r="M714" s="229" t="str">
        <f t="shared" si="34"/>
        <v/>
      </c>
      <c r="N714" s="232"/>
    </row>
    <row r="715" spans="1:14" ht="15" thickBot="1">
      <c r="A715" s="170"/>
      <c r="B715" s="171"/>
      <c r="C715" s="172"/>
      <c r="D715" s="173"/>
      <c r="E715" s="174"/>
      <c r="F715" s="175"/>
      <c r="G715" s="176"/>
      <c r="H715" s="177"/>
      <c r="I715" s="178"/>
      <c r="J715" s="179" t="str">
        <f t="shared" si="35"/>
        <v/>
      </c>
      <c r="K715" s="180"/>
      <c r="L715" s="181">
        <f t="shared" si="36"/>
        <v>0</v>
      </c>
      <c r="M715" s="229" t="str">
        <f t="shared" si="34"/>
        <v/>
      </c>
      <c r="N715" s="232"/>
    </row>
    <row r="716" spans="1:14" ht="15" thickBot="1">
      <c r="A716" s="170"/>
      <c r="B716" s="171"/>
      <c r="C716" s="172"/>
      <c r="D716" s="173"/>
      <c r="E716" s="174"/>
      <c r="F716" s="175"/>
      <c r="G716" s="176"/>
      <c r="H716" s="177"/>
      <c r="I716" s="178"/>
      <c r="J716" s="179" t="str">
        <f t="shared" si="35"/>
        <v/>
      </c>
      <c r="K716" s="180"/>
      <c r="L716" s="181">
        <f t="shared" si="36"/>
        <v>0</v>
      </c>
      <c r="M716" s="229" t="str">
        <f t="shared" si="34"/>
        <v/>
      </c>
      <c r="N716" s="232"/>
    </row>
    <row r="717" spans="1:14" ht="15" thickBot="1">
      <c r="A717" s="170"/>
      <c r="B717" s="171"/>
      <c r="C717" s="172"/>
      <c r="D717" s="173"/>
      <c r="E717" s="174"/>
      <c r="F717" s="175"/>
      <c r="G717" s="176"/>
      <c r="H717" s="177"/>
      <c r="I717" s="178"/>
      <c r="J717" s="179" t="str">
        <f t="shared" si="35"/>
        <v/>
      </c>
      <c r="K717" s="180"/>
      <c r="L717" s="181">
        <f t="shared" si="36"/>
        <v>0</v>
      </c>
      <c r="M717" s="229" t="str">
        <f t="shared" si="34"/>
        <v/>
      </c>
      <c r="N717" s="232"/>
    </row>
    <row r="718" spans="1:14" ht="15" thickBot="1">
      <c r="A718" s="170"/>
      <c r="B718" s="171"/>
      <c r="C718" s="172"/>
      <c r="D718" s="173"/>
      <c r="E718" s="174"/>
      <c r="F718" s="175"/>
      <c r="G718" s="176"/>
      <c r="H718" s="177"/>
      <c r="I718" s="178"/>
      <c r="J718" s="179" t="str">
        <f t="shared" si="35"/>
        <v/>
      </c>
      <c r="K718" s="180"/>
      <c r="L718" s="181">
        <f t="shared" si="36"/>
        <v>0</v>
      </c>
      <c r="M718" s="229" t="str">
        <f t="shared" ref="M718:M781" si="37">IF(J718 &lt;&gt; "", J718 * L718, "")</f>
        <v/>
      </c>
      <c r="N718" s="232"/>
    </row>
    <row r="719" spans="1:14" ht="15" thickBot="1">
      <c r="A719" s="170"/>
      <c r="B719" s="171"/>
      <c r="C719" s="172"/>
      <c r="D719" s="173"/>
      <c r="E719" s="174"/>
      <c r="F719" s="175"/>
      <c r="G719" s="176"/>
      <c r="H719" s="177"/>
      <c r="I719" s="178"/>
      <c r="J719" s="179" t="str">
        <f t="shared" si="35"/>
        <v/>
      </c>
      <c r="K719" s="180"/>
      <c r="L719" s="181">
        <f t="shared" si="36"/>
        <v>0</v>
      </c>
      <c r="M719" s="229" t="str">
        <f t="shared" si="37"/>
        <v/>
      </c>
      <c r="N719" s="232"/>
    </row>
    <row r="720" spans="1:14" ht="15" thickBot="1">
      <c r="A720" s="170"/>
      <c r="B720" s="171"/>
      <c r="C720" s="172"/>
      <c r="D720" s="173"/>
      <c r="E720" s="174"/>
      <c r="F720" s="175"/>
      <c r="G720" s="176"/>
      <c r="H720" s="177"/>
      <c r="I720" s="178"/>
      <c r="J720" s="179" t="str">
        <f t="shared" si="35"/>
        <v/>
      </c>
      <c r="K720" s="180"/>
      <c r="L720" s="181">
        <f t="shared" si="36"/>
        <v>0</v>
      </c>
      <c r="M720" s="229" t="str">
        <f t="shared" si="37"/>
        <v/>
      </c>
      <c r="N720" s="232"/>
    </row>
    <row r="721" spans="1:14" ht="15" thickBot="1">
      <c r="A721" s="170"/>
      <c r="B721" s="171"/>
      <c r="C721" s="172"/>
      <c r="D721" s="173"/>
      <c r="E721" s="174"/>
      <c r="F721" s="175"/>
      <c r="G721" s="176"/>
      <c r="H721" s="177"/>
      <c r="I721" s="178"/>
      <c r="J721" s="179" t="str">
        <f t="shared" si="35"/>
        <v/>
      </c>
      <c r="K721" s="180"/>
      <c r="L721" s="181">
        <f t="shared" si="36"/>
        <v>0</v>
      </c>
      <c r="M721" s="229" t="str">
        <f t="shared" si="37"/>
        <v/>
      </c>
      <c r="N721" s="232"/>
    </row>
    <row r="722" spans="1:14" ht="15" thickBot="1">
      <c r="A722" s="170"/>
      <c r="B722" s="171"/>
      <c r="C722" s="172"/>
      <c r="D722" s="173"/>
      <c r="E722" s="174"/>
      <c r="F722" s="175"/>
      <c r="G722" s="176"/>
      <c r="H722" s="177"/>
      <c r="I722" s="178"/>
      <c r="J722" s="179" t="str">
        <f t="shared" si="35"/>
        <v/>
      </c>
      <c r="K722" s="180"/>
      <c r="L722" s="181">
        <f t="shared" si="36"/>
        <v>0</v>
      </c>
      <c r="M722" s="229" t="str">
        <f t="shared" si="37"/>
        <v/>
      </c>
      <c r="N722" s="232"/>
    </row>
    <row r="723" spans="1:14" ht="15" thickBot="1">
      <c r="A723" s="170"/>
      <c r="B723" s="171"/>
      <c r="C723" s="172"/>
      <c r="D723" s="173"/>
      <c r="E723" s="174"/>
      <c r="F723" s="175"/>
      <c r="G723" s="176"/>
      <c r="H723" s="177"/>
      <c r="I723" s="178"/>
      <c r="J723" s="179" t="str">
        <f t="shared" si="35"/>
        <v/>
      </c>
      <c r="K723" s="180"/>
      <c r="L723" s="181">
        <f t="shared" si="36"/>
        <v>0</v>
      </c>
      <c r="M723" s="229" t="str">
        <f t="shared" si="37"/>
        <v/>
      </c>
      <c r="N723" s="232"/>
    </row>
    <row r="724" spans="1:14" ht="15" thickBot="1">
      <c r="A724" s="170"/>
      <c r="B724" s="171"/>
      <c r="C724" s="172"/>
      <c r="D724" s="173"/>
      <c r="E724" s="174"/>
      <c r="F724" s="175"/>
      <c r="G724" s="176"/>
      <c r="H724" s="177"/>
      <c r="I724" s="178"/>
      <c r="J724" s="179" t="str">
        <f t="shared" si="35"/>
        <v/>
      </c>
      <c r="K724" s="180"/>
      <c r="L724" s="181">
        <f t="shared" si="36"/>
        <v>0</v>
      </c>
      <c r="M724" s="229" t="str">
        <f t="shared" si="37"/>
        <v/>
      </c>
      <c r="N724" s="232"/>
    </row>
    <row r="725" spans="1:14" ht="15" thickBot="1">
      <c r="A725" s="170"/>
      <c r="B725" s="171"/>
      <c r="C725" s="172"/>
      <c r="D725" s="173"/>
      <c r="E725" s="174"/>
      <c r="F725" s="175"/>
      <c r="G725" s="176"/>
      <c r="H725" s="177"/>
      <c r="I725" s="178"/>
      <c r="J725" s="179" t="str">
        <f t="shared" si="35"/>
        <v/>
      </c>
      <c r="K725" s="180"/>
      <c r="L725" s="181">
        <f t="shared" si="36"/>
        <v>0</v>
      </c>
      <c r="M725" s="229" t="str">
        <f t="shared" si="37"/>
        <v/>
      </c>
      <c r="N725" s="232"/>
    </row>
    <row r="726" spans="1:14" ht="15" thickBot="1">
      <c r="A726" s="170"/>
      <c r="B726" s="171"/>
      <c r="C726" s="172"/>
      <c r="D726" s="173"/>
      <c r="E726" s="174"/>
      <c r="F726" s="175"/>
      <c r="G726" s="176"/>
      <c r="H726" s="177"/>
      <c r="I726" s="178"/>
      <c r="J726" s="179" t="str">
        <f t="shared" si="35"/>
        <v/>
      </c>
      <c r="K726" s="180"/>
      <c r="L726" s="181">
        <f t="shared" si="36"/>
        <v>0</v>
      </c>
      <c r="M726" s="229" t="str">
        <f t="shared" si="37"/>
        <v/>
      </c>
      <c r="N726" s="232"/>
    </row>
    <row r="727" spans="1:14" ht="15" thickBot="1">
      <c r="A727" s="170"/>
      <c r="B727" s="171"/>
      <c r="C727" s="172"/>
      <c r="D727" s="173"/>
      <c r="E727" s="174"/>
      <c r="F727" s="175"/>
      <c r="G727" s="176"/>
      <c r="H727" s="177"/>
      <c r="I727" s="178"/>
      <c r="J727" s="179" t="str">
        <f t="shared" si="35"/>
        <v/>
      </c>
      <c r="K727" s="180"/>
      <c r="L727" s="181">
        <f t="shared" si="36"/>
        <v>0</v>
      </c>
      <c r="M727" s="229" t="str">
        <f t="shared" si="37"/>
        <v/>
      </c>
      <c r="N727" s="232"/>
    </row>
    <row r="728" spans="1:14" ht="15" thickBot="1">
      <c r="A728" s="170"/>
      <c r="B728" s="171"/>
      <c r="C728" s="172"/>
      <c r="D728" s="173"/>
      <c r="E728" s="174"/>
      <c r="F728" s="175"/>
      <c r="G728" s="176"/>
      <c r="H728" s="177"/>
      <c r="I728" s="178"/>
      <c r="J728" s="179" t="str">
        <f t="shared" si="35"/>
        <v/>
      </c>
      <c r="K728" s="180"/>
      <c r="L728" s="181">
        <f t="shared" si="36"/>
        <v>0</v>
      </c>
      <c r="M728" s="229" t="str">
        <f t="shared" si="37"/>
        <v/>
      </c>
      <c r="N728" s="232"/>
    </row>
    <row r="729" spans="1:14" ht="15" thickBot="1">
      <c r="A729" s="170"/>
      <c r="B729" s="171"/>
      <c r="C729" s="172"/>
      <c r="D729" s="173"/>
      <c r="E729" s="174"/>
      <c r="F729" s="175"/>
      <c r="G729" s="176"/>
      <c r="H729" s="177"/>
      <c r="I729" s="178"/>
      <c r="J729" s="179" t="str">
        <f t="shared" si="35"/>
        <v/>
      </c>
      <c r="K729" s="180"/>
      <c r="L729" s="181">
        <f t="shared" si="36"/>
        <v>0</v>
      </c>
      <c r="M729" s="229" t="str">
        <f t="shared" si="37"/>
        <v/>
      </c>
      <c r="N729" s="232"/>
    </row>
    <row r="730" spans="1:14" ht="15" thickBot="1">
      <c r="A730" s="170"/>
      <c r="B730" s="171"/>
      <c r="C730" s="172"/>
      <c r="D730" s="173"/>
      <c r="E730" s="174"/>
      <c r="F730" s="175"/>
      <c r="G730" s="176"/>
      <c r="H730" s="177"/>
      <c r="I730" s="178"/>
      <c r="J730" s="179" t="str">
        <f t="shared" si="35"/>
        <v/>
      </c>
      <c r="K730" s="180"/>
      <c r="L730" s="181">
        <f t="shared" si="36"/>
        <v>0</v>
      </c>
      <c r="M730" s="229" t="str">
        <f t="shared" si="37"/>
        <v/>
      </c>
      <c r="N730" s="232"/>
    </row>
    <row r="731" spans="1:14" ht="15" thickBot="1">
      <c r="A731" s="170"/>
      <c r="B731" s="171"/>
      <c r="C731" s="172"/>
      <c r="D731" s="173"/>
      <c r="E731" s="174"/>
      <c r="F731" s="175"/>
      <c r="G731" s="176"/>
      <c r="H731" s="177"/>
      <c r="I731" s="178"/>
      <c r="J731" s="179" t="str">
        <f t="shared" si="35"/>
        <v/>
      </c>
      <c r="K731" s="180"/>
      <c r="L731" s="181">
        <f t="shared" si="36"/>
        <v>0</v>
      </c>
      <c r="M731" s="229" t="str">
        <f t="shared" si="37"/>
        <v/>
      </c>
      <c r="N731" s="232"/>
    </row>
    <row r="732" spans="1:14" ht="15" thickBot="1">
      <c r="A732" s="170"/>
      <c r="B732" s="171"/>
      <c r="C732" s="172"/>
      <c r="D732" s="173"/>
      <c r="E732" s="174"/>
      <c r="F732" s="175"/>
      <c r="G732" s="176"/>
      <c r="H732" s="177"/>
      <c r="I732" s="178"/>
      <c r="J732" s="179" t="str">
        <f t="shared" si="35"/>
        <v/>
      </c>
      <c r="K732" s="180"/>
      <c r="L732" s="181">
        <f t="shared" si="36"/>
        <v>0</v>
      </c>
      <c r="M732" s="229" t="str">
        <f t="shared" si="37"/>
        <v/>
      </c>
      <c r="N732" s="232"/>
    </row>
    <row r="733" spans="1:14" ht="15" thickBot="1">
      <c r="A733" s="170"/>
      <c r="B733" s="171"/>
      <c r="C733" s="172"/>
      <c r="D733" s="173"/>
      <c r="E733" s="174"/>
      <c r="F733" s="175"/>
      <c r="G733" s="176"/>
      <c r="H733" s="177"/>
      <c r="I733" s="178"/>
      <c r="J733" s="179" t="str">
        <f t="shared" si="35"/>
        <v/>
      </c>
      <c r="K733" s="180"/>
      <c r="L733" s="181">
        <f t="shared" si="36"/>
        <v>0</v>
      </c>
      <c r="M733" s="229" t="str">
        <f t="shared" si="37"/>
        <v/>
      </c>
      <c r="N733" s="232"/>
    </row>
    <row r="734" spans="1:14" ht="15" thickBot="1">
      <c r="A734" s="170"/>
      <c r="B734" s="171"/>
      <c r="C734" s="172"/>
      <c r="D734" s="173"/>
      <c r="E734" s="174"/>
      <c r="F734" s="175"/>
      <c r="G734" s="176"/>
      <c r="H734" s="177"/>
      <c r="I734" s="178"/>
      <c r="J734" s="179" t="str">
        <f t="shared" si="35"/>
        <v/>
      </c>
      <c r="K734" s="180"/>
      <c r="L734" s="181">
        <f t="shared" si="36"/>
        <v>0</v>
      </c>
      <c r="M734" s="229" t="str">
        <f t="shared" si="37"/>
        <v/>
      </c>
      <c r="N734" s="232"/>
    </row>
    <row r="735" spans="1:14" ht="15" thickBot="1">
      <c r="A735" s="170"/>
      <c r="B735" s="171"/>
      <c r="C735" s="172"/>
      <c r="D735" s="173"/>
      <c r="E735" s="174"/>
      <c r="F735" s="175"/>
      <c r="G735" s="176"/>
      <c r="H735" s="177"/>
      <c r="I735" s="178"/>
      <c r="J735" s="179" t="str">
        <f t="shared" si="35"/>
        <v/>
      </c>
      <c r="K735" s="180"/>
      <c r="L735" s="181">
        <f t="shared" si="36"/>
        <v>0</v>
      </c>
      <c r="M735" s="229" t="str">
        <f t="shared" si="37"/>
        <v/>
      </c>
      <c r="N735" s="232"/>
    </row>
    <row r="736" spans="1:14" ht="15" thickBot="1">
      <c r="A736" s="170"/>
      <c r="B736" s="171"/>
      <c r="C736" s="172"/>
      <c r="D736" s="173"/>
      <c r="E736" s="174"/>
      <c r="F736" s="175"/>
      <c r="G736" s="176"/>
      <c r="H736" s="177"/>
      <c r="I736" s="178"/>
      <c r="J736" s="179" t="str">
        <f t="shared" si="35"/>
        <v/>
      </c>
      <c r="K736" s="180"/>
      <c r="L736" s="181">
        <f t="shared" si="36"/>
        <v>0</v>
      </c>
      <c r="M736" s="229" t="str">
        <f t="shared" si="37"/>
        <v/>
      </c>
      <c r="N736" s="232"/>
    </row>
    <row r="737" spans="1:14" ht="15" thickBot="1">
      <c r="A737" s="170"/>
      <c r="B737" s="171"/>
      <c r="C737" s="172"/>
      <c r="D737" s="173"/>
      <c r="E737" s="174"/>
      <c r="F737" s="175"/>
      <c r="G737" s="176"/>
      <c r="H737" s="177"/>
      <c r="I737" s="178"/>
      <c r="J737" s="179" t="str">
        <f t="shared" si="35"/>
        <v/>
      </c>
      <c r="K737" s="180"/>
      <c r="L737" s="181">
        <f t="shared" si="36"/>
        <v>0</v>
      </c>
      <c r="M737" s="229" t="str">
        <f t="shared" si="37"/>
        <v/>
      </c>
      <c r="N737" s="232"/>
    </row>
    <row r="738" spans="1:14" ht="15" thickBot="1">
      <c r="A738" s="170"/>
      <c r="B738" s="171"/>
      <c r="C738" s="172"/>
      <c r="D738" s="173"/>
      <c r="E738" s="174"/>
      <c r="F738" s="175"/>
      <c r="G738" s="176"/>
      <c r="H738" s="177"/>
      <c r="I738" s="178"/>
      <c r="J738" s="179" t="str">
        <f t="shared" si="35"/>
        <v/>
      </c>
      <c r="K738" s="180"/>
      <c r="L738" s="181">
        <f t="shared" si="36"/>
        <v>0</v>
      </c>
      <c r="M738" s="229" t="str">
        <f t="shared" si="37"/>
        <v/>
      </c>
      <c r="N738" s="232"/>
    </row>
    <row r="739" spans="1:14" ht="15" thickBot="1">
      <c r="A739" s="170"/>
      <c r="B739" s="171"/>
      <c r="C739" s="172"/>
      <c r="D739" s="173"/>
      <c r="E739" s="174"/>
      <c r="F739" s="175"/>
      <c r="G739" s="176"/>
      <c r="H739" s="177"/>
      <c r="I739" s="178"/>
      <c r="J739" s="179" t="str">
        <f t="shared" si="35"/>
        <v/>
      </c>
      <c r="K739" s="180"/>
      <c r="L739" s="181">
        <f t="shared" si="36"/>
        <v>0</v>
      </c>
      <c r="M739" s="229" t="str">
        <f t="shared" si="37"/>
        <v/>
      </c>
      <c r="N739" s="232"/>
    </row>
    <row r="740" spans="1:14" ht="15" thickBot="1">
      <c r="A740" s="170"/>
      <c r="B740" s="171"/>
      <c r="C740" s="172"/>
      <c r="D740" s="173"/>
      <c r="E740" s="174"/>
      <c r="F740" s="175"/>
      <c r="G740" s="176"/>
      <c r="H740" s="177"/>
      <c r="I740" s="178"/>
      <c r="J740" s="179" t="str">
        <f t="shared" si="35"/>
        <v/>
      </c>
      <c r="K740" s="180"/>
      <c r="L740" s="181">
        <f t="shared" si="36"/>
        <v>0</v>
      </c>
      <c r="M740" s="229" t="str">
        <f t="shared" si="37"/>
        <v/>
      </c>
      <c r="N740" s="232"/>
    </row>
    <row r="741" spans="1:14" ht="15" thickBot="1">
      <c r="A741" s="170"/>
      <c r="B741" s="171"/>
      <c r="C741" s="172"/>
      <c r="D741" s="173"/>
      <c r="E741" s="174"/>
      <c r="F741" s="175"/>
      <c r="G741" s="176"/>
      <c r="H741" s="177"/>
      <c r="I741" s="178"/>
      <c r="J741" s="179" t="str">
        <f t="shared" si="35"/>
        <v/>
      </c>
      <c r="K741" s="180"/>
      <c r="L741" s="181">
        <f t="shared" si="36"/>
        <v>0</v>
      </c>
      <c r="M741" s="229" t="str">
        <f t="shared" si="37"/>
        <v/>
      </c>
      <c r="N741" s="232"/>
    </row>
    <row r="742" spans="1:14" ht="15" thickBot="1">
      <c r="A742" s="170"/>
      <c r="B742" s="171"/>
      <c r="C742" s="172"/>
      <c r="D742" s="173"/>
      <c r="E742" s="174"/>
      <c r="F742" s="175"/>
      <c r="G742" s="176"/>
      <c r="H742" s="177"/>
      <c r="I742" s="178"/>
      <c r="J742" s="179" t="str">
        <f t="shared" si="35"/>
        <v/>
      </c>
      <c r="K742" s="180"/>
      <c r="L742" s="181">
        <f t="shared" si="36"/>
        <v>0</v>
      </c>
      <c r="M742" s="229" t="str">
        <f t="shared" si="37"/>
        <v/>
      </c>
      <c r="N742" s="232"/>
    </row>
    <row r="743" spans="1:14" ht="15" thickBot="1">
      <c r="A743" s="170"/>
      <c r="B743" s="171"/>
      <c r="C743" s="172"/>
      <c r="D743" s="173"/>
      <c r="E743" s="174"/>
      <c r="F743" s="175"/>
      <c r="G743" s="176"/>
      <c r="H743" s="177"/>
      <c r="I743" s="178"/>
      <c r="J743" s="179" t="str">
        <f t="shared" si="35"/>
        <v/>
      </c>
      <c r="K743" s="180"/>
      <c r="L743" s="181">
        <f t="shared" si="36"/>
        <v>0</v>
      </c>
      <c r="M743" s="229" t="str">
        <f t="shared" si="37"/>
        <v/>
      </c>
      <c r="N743" s="232"/>
    </row>
    <row r="744" spans="1:14" ht="15" thickBot="1">
      <c r="A744" s="170"/>
      <c r="B744" s="171"/>
      <c r="C744" s="172"/>
      <c r="D744" s="173"/>
      <c r="E744" s="174"/>
      <c r="F744" s="175"/>
      <c r="G744" s="176"/>
      <c r="H744" s="177"/>
      <c r="I744" s="178"/>
      <c r="J744" s="179" t="str">
        <f t="shared" si="35"/>
        <v/>
      </c>
      <c r="K744" s="180"/>
      <c r="L744" s="181">
        <f t="shared" si="36"/>
        <v>0</v>
      </c>
      <c r="M744" s="229" t="str">
        <f t="shared" si="37"/>
        <v/>
      </c>
      <c r="N744" s="232"/>
    </row>
    <row r="745" spans="1:14" ht="15" thickBot="1">
      <c r="A745" s="170"/>
      <c r="B745" s="171"/>
      <c r="C745" s="172"/>
      <c r="D745" s="173"/>
      <c r="E745" s="174"/>
      <c r="F745" s="175"/>
      <c r="G745" s="176"/>
      <c r="H745" s="177"/>
      <c r="I745" s="178"/>
      <c r="J745" s="179" t="str">
        <f t="shared" si="35"/>
        <v/>
      </c>
      <c r="K745" s="180"/>
      <c r="L745" s="181">
        <f t="shared" si="36"/>
        <v>0</v>
      </c>
      <c r="M745" s="229" t="str">
        <f t="shared" si="37"/>
        <v/>
      </c>
      <c r="N745" s="232"/>
    </row>
    <row r="746" spans="1:14" ht="15" thickBot="1">
      <c r="A746" s="170"/>
      <c r="B746" s="171"/>
      <c r="C746" s="172"/>
      <c r="D746" s="173"/>
      <c r="E746" s="174"/>
      <c r="F746" s="175"/>
      <c r="G746" s="176"/>
      <c r="H746" s="177"/>
      <c r="I746" s="178"/>
      <c r="J746" s="179" t="str">
        <f t="shared" si="35"/>
        <v/>
      </c>
      <c r="K746" s="180"/>
      <c r="L746" s="181">
        <f t="shared" si="36"/>
        <v>0</v>
      </c>
      <c r="M746" s="229" t="str">
        <f t="shared" si="37"/>
        <v/>
      </c>
      <c r="N746" s="232"/>
    </row>
    <row r="747" spans="1:14" ht="15" thickBot="1">
      <c r="A747" s="170"/>
      <c r="B747" s="171"/>
      <c r="C747" s="172"/>
      <c r="D747" s="173"/>
      <c r="E747" s="174"/>
      <c r="F747" s="175"/>
      <c r="G747" s="176"/>
      <c r="H747" s="177"/>
      <c r="I747" s="178"/>
      <c r="J747" s="179" t="str">
        <f t="shared" si="35"/>
        <v/>
      </c>
      <c r="K747" s="180"/>
      <c r="L747" s="181">
        <f t="shared" si="36"/>
        <v>0</v>
      </c>
      <c r="M747" s="229" t="str">
        <f t="shared" si="37"/>
        <v/>
      </c>
      <c r="N747" s="232"/>
    </row>
    <row r="748" spans="1:14" ht="15" thickBot="1">
      <c r="A748" s="170"/>
      <c r="B748" s="171"/>
      <c r="C748" s="172"/>
      <c r="D748" s="173"/>
      <c r="E748" s="174"/>
      <c r="F748" s="175"/>
      <c r="G748" s="176"/>
      <c r="H748" s="177"/>
      <c r="I748" s="178"/>
      <c r="J748" s="179" t="str">
        <f t="shared" si="35"/>
        <v/>
      </c>
      <c r="K748" s="180"/>
      <c r="L748" s="181">
        <f t="shared" si="36"/>
        <v>0</v>
      </c>
      <c r="M748" s="229" t="str">
        <f t="shared" si="37"/>
        <v/>
      </c>
      <c r="N748" s="232"/>
    </row>
    <row r="749" spans="1:14" ht="15" thickBot="1">
      <c r="A749" s="170"/>
      <c r="B749" s="171"/>
      <c r="C749" s="172"/>
      <c r="D749" s="173"/>
      <c r="E749" s="174"/>
      <c r="F749" s="175"/>
      <c r="G749" s="176"/>
      <c r="H749" s="177"/>
      <c r="I749" s="178"/>
      <c r="J749" s="179" t="str">
        <f t="shared" si="35"/>
        <v/>
      </c>
      <c r="K749" s="180"/>
      <c r="L749" s="181">
        <f t="shared" si="36"/>
        <v>0</v>
      </c>
      <c r="M749" s="229" t="str">
        <f t="shared" si="37"/>
        <v/>
      </c>
      <c r="N749" s="232"/>
    </row>
    <row r="750" spans="1:14" ht="15" thickBot="1">
      <c r="A750" s="170"/>
      <c r="B750" s="171"/>
      <c r="C750" s="172"/>
      <c r="D750" s="173"/>
      <c r="E750" s="174"/>
      <c r="F750" s="175"/>
      <c r="G750" s="176"/>
      <c r="H750" s="177"/>
      <c r="I750" s="178"/>
      <c r="J750" s="179" t="str">
        <f t="shared" si="35"/>
        <v/>
      </c>
      <c r="K750" s="180"/>
      <c r="L750" s="181">
        <f t="shared" si="36"/>
        <v>0</v>
      </c>
      <c r="M750" s="229" t="str">
        <f t="shared" si="37"/>
        <v/>
      </c>
      <c r="N750" s="232"/>
    </row>
    <row r="751" spans="1:14" ht="15" thickBot="1">
      <c r="A751" s="170"/>
      <c r="B751" s="171"/>
      <c r="C751" s="172"/>
      <c r="D751" s="173"/>
      <c r="E751" s="174"/>
      <c r="F751" s="175"/>
      <c r="G751" s="176"/>
      <c r="H751" s="177"/>
      <c r="I751" s="178"/>
      <c r="J751" s="179" t="str">
        <f t="shared" si="35"/>
        <v/>
      </c>
      <c r="K751" s="180"/>
      <c r="L751" s="181">
        <f t="shared" si="36"/>
        <v>0</v>
      </c>
      <c r="M751" s="229" t="str">
        <f t="shared" si="37"/>
        <v/>
      </c>
      <c r="N751" s="232"/>
    </row>
    <row r="752" spans="1:14" ht="15" thickBot="1">
      <c r="A752" s="170"/>
      <c r="B752" s="171"/>
      <c r="C752" s="172"/>
      <c r="D752" s="173"/>
      <c r="E752" s="174"/>
      <c r="F752" s="175"/>
      <c r="G752" s="176"/>
      <c r="H752" s="177"/>
      <c r="I752" s="178"/>
      <c r="J752" s="179" t="str">
        <f t="shared" si="35"/>
        <v/>
      </c>
      <c r="K752" s="180"/>
      <c r="L752" s="181">
        <f t="shared" si="36"/>
        <v>0</v>
      </c>
      <c r="M752" s="229" t="str">
        <f t="shared" si="37"/>
        <v/>
      </c>
      <c r="N752" s="232"/>
    </row>
    <row r="753" spans="1:14" ht="15" thickBot="1">
      <c r="A753" s="170"/>
      <c r="B753" s="171"/>
      <c r="C753" s="172"/>
      <c r="D753" s="173"/>
      <c r="E753" s="174"/>
      <c r="F753" s="175"/>
      <c r="G753" s="176"/>
      <c r="H753" s="177"/>
      <c r="I753" s="178"/>
      <c r="J753" s="179" t="str">
        <f t="shared" si="35"/>
        <v/>
      </c>
      <c r="K753" s="180"/>
      <c r="L753" s="181">
        <f t="shared" si="36"/>
        <v>0</v>
      </c>
      <c r="M753" s="229" t="str">
        <f t="shared" si="37"/>
        <v/>
      </c>
      <c r="N753" s="232"/>
    </row>
    <row r="754" spans="1:14" ht="15" thickBot="1">
      <c r="A754" s="170"/>
      <c r="B754" s="171"/>
      <c r="C754" s="172"/>
      <c r="D754" s="173"/>
      <c r="E754" s="174"/>
      <c r="F754" s="175"/>
      <c r="G754" s="176"/>
      <c r="H754" s="177"/>
      <c r="I754" s="178"/>
      <c r="J754" s="179" t="str">
        <f t="shared" si="35"/>
        <v/>
      </c>
      <c r="K754" s="180"/>
      <c r="L754" s="181">
        <f t="shared" si="36"/>
        <v>0</v>
      </c>
      <c r="M754" s="229" t="str">
        <f t="shared" si="37"/>
        <v/>
      </c>
      <c r="N754" s="232"/>
    </row>
    <row r="755" spans="1:14" ht="15" thickBot="1">
      <c r="A755" s="170"/>
      <c r="B755" s="171"/>
      <c r="C755" s="172"/>
      <c r="D755" s="173"/>
      <c r="E755" s="174"/>
      <c r="F755" s="175"/>
      <c r="G755" s="176"/>
      <c r="H755" s="177"/>
      <c r="I755" s="178"/>
      <c r="J755" s="179" t="str">
        <f t="shared" si="35"/>
        <v/>
      </c>
      <c r="K755" s="180"/>
      <c r="L755" s="181">
        <f t="shared" si="36"/>
        <v>0</v>
      </c>
      <c r="M755" s="229" t="str">
        <f t="shared" si="37"/>
        <v/>
      </c>
      <c r="N755" s="232"/>
    </row>
    <row r="756" spans="1:14" ht="15" thickBot="1">
      <c r="A756" s="170"/>
      <c r="B756" s="171"/>
      <c r="C756" s="172"/>
      <c r="D756" s="173"/>
      <c r="E756" s="174"/>
      <c r="F756" s="175"/>
      <c r="G756" s="176"/>
      <c r="H756" s="177"/>
      <c r="I756" s="178"/>
      <c r="J756" s="179" t="str">
        <f t="shared" si="35"/>
        <v/>
      </c>
      <c r="K756" s="180"/>
      <c r="L756" s="181">
        <f t="shared" si="36"/>
        <v>0</v>
      </c>
      <c r="M756" s="229" t="str">
        <f t="shared" si="37"/>
        <v/>
      </c>
      <c r="N756" s="232"/>
    </row>
    <row r="757" spans="1:14" ht="15" thickBot="1">
      <c r="A757" s="170"/>
      <c r="B757" s="171"/>
      <c r="C757" s="172"/>
      <c r="D757" s="173"/>
      <c r="E757" s="174"/>
      <c r="F757" s="175"/>
      <c r="G757" s="176"/>
      <c r="H757" s="177"/>
      <c r="I757" s="178"/>
      <c r="J757" s="179" t="str">
        <f t="shared" si="35"/>
        <v/>
      </c>
      <c r="K757" s="180"/>
      <c r="L757" s="181">
        <f t="shared" si="36"/>
        <v>0</v>
      </c>
      <c r="M757" s="229" t="str">
        <f t="shared" si="37"/>
        <v/>
      </c>
      <c r="N757" s="232"/>
    </row>
    <row r="758" spans="1:14" ht="15" thickBot="1">
      <c r="A758" s="170"/>
      <c r="B758" s="171"/>
      <c r="C758" s="172"/>
      <c r="D758" s="173"/>
      <c r="E758" s="174"/>
      <c r="F758" s="175"/>
      <c r="G758" s="176"/>
      <c r="H758" s="177"/>
      <c r="I758" s="178"/>
      <c r="J758" s="179" t="str">
        <f t="shared" si="35"/>
        <v/>
      </c>
      <c r="K758" s="180"/>
      <c r="L758" s="181">
        <f t="shared" si="36"/>
        <v>0</v>
      </c>
      <c r="M758" s="229" t="str">
        <f t="shared" si="37"/>
        <v/>
      </c>
      <c r="N758" s="232"/>
    </row>
    <row r="759" spans="1:14" ht="15" thickBot="1">
      <c r="A759" s="170"/>
      <c r="B759" s="171"/>
      <c r="C759" s="172"/>
      <c r="D759" s="173"/>
      <c r="E759" s="174"/>
      <c r="F759" s="175"/>
      <c r="G759" s="176"/>
      <c r="H759" s="177"/>
      <c r="I759" s="178"/>
      <c r="J759" s="179" t="str">
        <f t="shared" si="35"/>
        <v/>
      </c>
      <c r="K759" s="180"/>
      <c r="L759" s="181">
        <f t="shared" si="36"/>
        <v>0</v>
      </c>
      <c r="M759" s="229" t="str">
        <f t="shared" si="37"/>
        <v/>
      </c>
      <c r="N759" s="232"/>
    </row>
    <row r="760" spans="1:14" ht="15" thickBot="1">
      <c r="A760" s="170"/>
      <c r="B760" s="171"/>
      <c r="C760" s="172"/>
      <c r="D760" s="173"/>
      <c r="E760" s="174"/>
      <c r="F760" s="175"/>
      <c r="G760" s="176"/>
      <c r="H760" s="177"/>
      <c r="I760" s="178"/>
      <c r="J760" s="179" t="str">
        <f t="shared" si="35"/>
        <v/>
      </c>
      <c r="K760" s="180"/>
      <c r="L760" s="181">
        <f t="shared" si="36"/>
        <v>0</v>
      </c>
      <c r="M760" s="229" t="str">
        <f t="shared" si="37"/>
        <v/>
      </c>
      <c r="N760" s="232"/>
    </row>
    <row r="761" spans="1:14" ht="15" thickBot="1">
      <c r="A761" s="170"/>
      <c r="B761" s="171"/>
      <c r="C761" s="172"/>
      <c r="D761" s="173"/>
      <c r="E761" s="174"/>
      <c r="F761" s="175"/>
      <c r="G761" s="176"/>
      <c r="H761" s="177"/>
      <c r="I761" s="178"/>
      <c r="J761" s="179" t="str">
        <f t="shared" ref="J761:J824" si="38">IF(H761 &gt; 0, I761 / H761, "")</f>
        <v/>
      </c>
      <c r="K761" s="180"/>
      <c r="L761" s="181">
        <f t="shared" ref="L761:L824" si="39">MAX(0, H761 - K761)</f>
        <v>0</v>
      </c>
      <c r="M761" s="229" t="str">
        <f t="shared" si="37"/>
        <v/>
      </c>
      <c r="N761" s="232"/>
    </row>
    <row r="762" spans="1:14" ht="15" thickBot="1">
      <c r="A762" s="170"/>
      <c r="B762" s="171"/>
      <c r="C762" s="172"/>
      <c r="D762" s="173"/>
      <c r="E762" s="174"/>
      <c r="F762" s="175"/>
      <c r="G762" s="176"/>
      <c r="H762" s="177"/>
      <c r="I762" s="178"/>
      <c r="J762" s="179" t="str">
        <f t="shared" si="38"/>
        <v/>
      </c>
      <c r="K762" s="180"/>
      <c r="L762" s="181">
        <f t="shared" si="39"/>
        <v>0</v>
      </c>
      <c r="M762" s="229" t="str">
        <f t="shared" si="37"/>
        <v/>
      </c>
      <c r="N762" s="232"/>
    </row>
    <row r="763" spans="1:14" ht="15" thickBot="1">
      <c r="A763" s="170"/>
      <c r="B763" s="171"/>
      <c r="C763" s="172"/>
      <c r="D763" s="173"/>
      <c r="E763" s="174"/>
      <c r="F763" s="175"/>
      <c r="G763" s="176"/>
      <c r="H763" s="177"/>
      <c r="I763" s="178"/>
      <c r="J763" s="179" t="str">
        <f t="shared" si="38"/>
        <v/>
      </c>
      <c r="K763" s="180"/>
      <c r="L763" s="181">
        <f t="shared" si="39"/>
        <v>0</v>
      </c>
      <c r="M763" s="229" t="str">
        <f t="shared" si="37"/>
        <v/>
      </c>
      <c r="N763" s="232"/>
    </row>
    <row r="764" spans="1:14" ht="15" thickBot="1">
      <c r="A764" s="170"/>
      <c r="B764" s="171"/>
      <c r="C764" s="172"/>
      <c r="D764" s="173"/>
      <c r="E764" s="174"/>
      <c r="F764" s="175"/>
      <c r="G764" s="176"/>
      <c r="H764" s="177"/>
      <c r="I764" s="178"/>
      <c r="J764" s="179" t="str">
        <f t="shared" si="38"/>
        <v/>
      </c>
      <c r="K764" s="180"/>
      <c r="L764" s="181">
        <f t="shared" si="39"/>
        <v>0</v>
      </c>
      <c r="M764" s="229" t="str">
        <f t="shared" si="37"/>
        <v/>
      </c>
      <c r="N764" s="232"/>
    </row>
    <row r="765" spans="1:14" ht="15" thickBot="1">
      <c r="A765" s="170"/>
      <c r="B765" s="171"/>
      <c r="C765" s="172"/>
      <c r="D765" s="173"/>
      <c r="E765" s="174"/>
      <c r="F765" s="175"/>
      <c r="G765" s="176"/>
      <c r="H765" s="177"/>
      <c r="I765" s="178"/>
      <c r="J765" s="179" t="str">
        <f t="shared" si="38"/>
        <v/>
      </c>
      <c r="K765" s="180"/>
      <c r="L765" s="181">
        <f t="shared" si="39"/>
        <v>0</v>
      </c>
      <c r="M765" s="229" t="str">
        <f t="shared" si="37"/>
        <v/>
      </c>
      <c r="N765" s="232"/>
    </row>
    <row r="766" spans="1:14" ht="15" thickBot="1">
      <c r="A766" s="170"/>
      <c r="B766" s="171"/>
      <c r="C766" s="172"/>
      <c r="D766" s="173"/>
      <c r="E766" s="174"/>
      <c r="F766" s="175"/>
      <c r="G766" s="176"/>
      <c r="H766" s="177"/>
      <c r="I766" s="178"/>
      <c r="J766" s="179" t="str">
        <f t="shared" si="38"/>
        <v/>
      </c>
      <c r="K766" s="180"/>
      <c r="L766" s="181">
        <f t="shared" si="39"/>
        <v>0</v>
      </c>
      <c r="M766" s="229" t="str">
        <f t="shared" si="37"/>
        <v/>
      </c>
      <c r="N766" s="232"/>
    </row>
    <row r="767" spans="1:14" ht="15" thickBot="1">
      <c r="A767" s="170"/>
      <c r="B767" s="171"/>
      <c r="C767" s="172"/>
      <c r="D767" s="173"/>
      <c r="E767" s="174"/>
      <c r="F767" s="175"/>
      <c r="G767" s="176"/>
      <c r="H767" s="177"/>
      <c r="I767" s="178"/>
      <c r="J767" s="179" t="str">
        <f t="shared" si="38"/>
        <v/>
      </c>
      <c r="K767" s="180"/>
      <c r="L767" s="181">
        <f t="shared" si="39"/>
        <v>0</v>
      </c>
      <c r="M767" s="229" t="str">
        <f t="shared" si="37"/>
        <v/>
      </c>
      <c r="N767" s="232"/>
    </row>
    <row r="768" spans="1:14" ht="15" thickBot="1">
      <c r="A768" s="170"/>
      <c r="B768" s="171"/>
      <c r="C768" s="172"/>
      <c r="D768" s="173"/>
      <c r="E768" s="174"/>
      <c r="F768" s="175"/>
      <c r="G768" s="176"/>
      <c r="H768" s="177"/>
      <c r="I768" s="178"/>
      <c r="J768" s="179" t="str">
        <f t="shared" si="38"/>
        <v/>
      </c>
      <c r="K768" s="180"/>
      <c r="L768" s="181">
        <f t="shared" si="39"/>
        <v>0</v>
      </c>
      <c r="M768" s="229" t="str">
        <f t="shared" si="37"/>
        <v/>
      </c>
      <c r="N768" s="232"/>
    </row>
    <row r="769" spans="1:14" ht="15" thickBot="1">
      <c r="A769" s="170"/>
      <c r="B769" s="171"/>
      <c r="C769" s="172"/>
      <c r="D769" s="173"/>
      <c r="E769" s="174"/>
      <c r="F769" s="175"/>
      <c r="G769" s="176"/>
      <c r="H769" s="177"/>
      <c r="I769" s="178"/>
      <c r="J769" s="179" t="str">
        <f t="shared" si="38"/>
        <v/>
      </c>
      <c r="K769" s="180"/>
      <c r="L769" s="181">
        <f t="shared" si="39"/>
        <v>0</v>
      </c>
      <c r="M769" s="229" t="str">
        <f t="shared" si="37"/>
        <v/>
      </c>
      <c r="N769" s="232"/>
    </row>
    <row r="770" spans="1:14" ht="15" thickBot="1">
      <c r="A770" s="170"/>
      <c r="B770" s="171"/>
      <c r="C770" s="172"/>
      <c r="D770" s="173"/>
      <c r="E770" s="174"/>
      <c r="F770" s="175"/>
      <c r="G770" s="176"/>
      <c r="H770" s="177"/>
      <c r="I770" s="178"/>
      <c r="J770" s="179" t="str">
        <f t="shared" si="38"/>
        <v/>
      </c>
      <c r="K770" s="180"/>
      <c r="L770" s="181">
        <f t="shared" si="39"/>
        <v>0</v>
      </c>
      <c r="M770" s="229" t="str">
        <f t="shared" si="37"/>
        <v/>
      </c>
      <c r="N770" s="232"/>
    </row>
    <row r="771" spans="1:14" ht="15" thickBot="1">
      <c r="A771" s="170"/>
      <c r="B771" s="171"/>
      <c r="C771" s="172"/>
      <c r="D771" s="173"/>
      <c r="E771" s="174"/>
      <c r="F771" s="175"/>
      <c r="G771" s="176"/>
      <c r="H771" s="177"/>
      <c r="I771" s="178"/>
      <c r="J771" s="179" t="str">
        <f t="shared" si="38"/>
        <v/>
      </c>
      <c r="K771" s="180"/>
      <c r="L771" s="181">
        <f t="shared" si="39"/>
        <v>0</v>
      </c>
      <c r="M771" s="229" t="str">
        <f t="shared" si="37"/>
        <v/>
      </c>
      <c r="N771" s="232"/>
    </row>
    <row r="772" spans="1:14" ht="15" thickBot="1">
      <c r="A772" s="170"/>
      <c r="B772" s="171"/>
      <c r="C772" s="172"/>
      <c r="D772" s="173"/>
      <c r="E772" s="174"/>
      <c r="F772" s="175"/>
      <c r="G772" s="176"/>
      <c r="H772" s="177"/>
      <c r="I772" s="178"/>
      <c r="J772" s="179" t="str">
        <f t="shared" si="38"/>
        <v/>
      </c>
      <c r="K772" s="180"/>
      <c r="L772" s="181">
        <f t="shared" si="39"/>
        <v>0</v>
      </c>
      <c r="M772" s="229" t="str">
        <f t="shared" si="37"/>
        <v/>
      </c>
      <c r="N772" s="232"/>
    </row>
    <row r="773" spans="1:14" ht="15" thickBot="1">
      <c r="A773" s="170"/>
      <c r="B773" s="171"/>
      <c r="C773" s="172"/>
      <c r="D773" s="173"/>
      <c r="E773" s="174"/>
      <c r="F773" s="175"/>
      <c r="G773" s="176"/>
      <c r="H773" s="177"/>
      <c r="I773" s="178"/>
      <c r="J773" s="179" t="str">
        <f t="shared" si="38"/>
        <v/>
      </c>
      <c r="K773" s="180"/>
      <c r="L773" s="181">
        <f t="shared" si="39"/>
        <v>0</v>
      </c>
      <c r="M773" s="229" t="str">
        <f t="shared" si="37"/>
        <v/>
      </c>
      <c r="N773" s="232"/>
    </row>
    <row r="774" spans="1:14" ht="15" thickBot="1">
      <c r="A774" s="170"/>
      <c r="B774" s="171"/>
      <c r="C774" s="172"/>
      <c r="D774" s="173"/>
      <c r="E774" s="174"/>
      <c r="F774" s="175"/>
      <c r="G774" s="176"/>
      <c r="H774" s="177"/>
      <c r="I774" s="178"/>
      <c r="J774" s="179" t="str">
        <f t="shared" si="38"/>
        <v/>
      </c>
      <c r="K774" s="180"/>
      <c r="L774" s="181">
        <f t="shared" si="39"/>
        <v>0</v>
      </c>
      <c r="M774" s="229" t="str">
        <f t="shared" si="37"/>
        <v/>
      </c>
      <c r="N774" s="232"/>
    </row>
    <row r="775" spans="1:14" ht="15" thickBot="1">
      <c r="A775" s="170"/>
      <c r="B775" s="171"/>
      <c r="C775" s="172"/>
      <c r="D775" s="173"/>
      <c r="E775" s="174"/>
      <c r="F775" s="175"/>
      <c r="G775" s="176"/>
      <c r="H775" s="177"/>
      <c r="I775" s="178"/>
      <c r="J775" s="179" t="str">
        <f t="shared" si="38"/>
        <v/>
      </c>
      <c r="K775" s="180"/>
      <c r="L775" s="181">
        <f t="shared" si="39"/>
        <v>0</v>
      </c>
      <c r="M775" s="229" t="str">
        <f t="shared" si="37"/>
        <v/>
      </c>
      <c r="N775" s="232"/>
    </row>
    <row r="776" spans="1:14" ht="15" thickBot="1">
      <c r="A776" s="170"/>
      <c r="B776" s="171"/>
      <c r="C776" s="172"/>
      <c r="D776" s="173"/>
      <c r="E776" s="174"/>
      <c r="F776" s="175"/>
      <c r="G776" s="176"/>
      <c r="H776" s="177"/>
      <c r="I776" s="178"/>
      <c r="J776" s="179" t="str">
        <f t="shared" si="38"/>
        <v/>
      </c>
      <c r="K776" s="180"/>
      <c r="L776" s="181">
        <f t="shared" si="39"/>
        <v>0</v>
      </c>
      <c r="M776" s="229" t="str">
        <f t="shared" si="37"/>
        <v/>
      </c>
      <c r="N776" s="232"/>
    </row>
    <row r="777" spans="1:14" ht="15" thickBot="1">
      <c r="A777" s="170"/>
      <c r="B777" s="171"/>
      <c r="C777" s="172"/>
      <c r="D777" s="173"/>
      <c r="E777" s="174"/>
      <c r="F777" s="175"/>
      <c r="G777" s="176"/>
      <c r="H777" s="177"/>
      <c r="I777" s="178"/>
      <c r="J777" s="179" t="str">
        <f t="shared" si="38"/>
        <v/>
      </c>
      <c r="K777" s="180"/>
      <c r="L777" s="181">
        <f t="shared" si="39"/>
        <v>0</v>
      </c>
      <c r="M777" s="229" t="str">
        <f t="shared" si="37"/>
        <v/>
      </c>
      <c r="N777" s="232"/>
    </row>
    <row r="778" spans="1:14" ht="15" thickBot="1">
      <c r="A778" s="170"/>
      <c r="B778" s="171"/>
      <c r="C778" s="172"/>
      <c r="D778" s="173"/>
      <c r="E778" s="174"/>
      <c r="F778" s="175"/>
      <c r="G778" s="176"/>
      <c r="H778" s="177"/>
      <c r="I778" s="178"/>
      <c r="J778" s="179" t="str">
        <f t="shared" si="38"/>
        <v/>
      </c>
      <c r="K778" s="180"/>
      <c r="L778" s="181">
        <f t="shared" si="39"/>
        <v>0</v>
      </c>
      <c r="M778" s="229" t="str">
        <f t="shared" si="37"/>
        <v/>
      </c>
      <c r="N778" s="232"/>
    </row>
    <row r="779" spans="1:14" ht="15" thickBot="1">
      <c r="A779" s="170"/>
      <c r="B779" s="171"/>
      <c r="C779" s="172"/>
      <c r="D779" s="173"/>
      <c r="E779" s="174"/>
      <c r="F779" s="175"/>
      <c r="G779" s="176"/>
      <c r="H779" s="177"/>
      <c r="I779" s="178"/>
      <c r="J779" s="179" t="str">
        <f t="shared" si="38"/>
        <v/>
      </c>
      <c r="K779" s="180"/>
      <c r="L779" s="181">
        <f t="shared" si="39"/>
        <v>0</v>
      </c>
      <c r="M779" s="229" t="str">
        <f t="shared" si="37"/>
        <v/>
      </c>
      <c r="N779" s="232"/>
    </row>
    <row r="780" spans="1:14" ht="15" thickBot="1">
      <c r="A780" s="170"/>
      <c r="B780" s="171"/>
      <c r="C780" s="172"/>
      <c r="D780" s="173"/>
      <c r="E780" s="174"/>
      <c r="F780" s="175"/>
      <c r="G780" s="176"/>
      <c r="H780" s="177"/>
      <c r="I780" s="178"/>
      <c r="J780" s="179" t="str">
        <f t="shared" si="38"/>
        <v/>
      </c>
      <c r="K780" s="180"/>
      <c r="L780" s="181">
        <f t="shared" si="39"/>
        <v>0</v>
      </c>
      <c r="M780" s="229" t="str">
        <f t="shared" si="37"/>
        <v/>
      </c>
      <c r="N780" s="232"/>
    </row>
    <row r="781" spans="1:14" ht="15" thickBot="1">
      <c r="A781" s="170"/>
      <c r="B781" s="171"/>
      <c r="C781" s="172"/>
      <c r="D781" s="173"/>
      <c r="E781" s="174"/>
      <c r="F781" s="175"/>
      <c r="G781" s="176"/>
      <c r="H781" s="177"/>
      <c r="I781" s="178"/>
      <c r="J781" s="179" t="str">
        <f t="shared" si="38"/>
        <v/>
      </c>
      <c r="K781" s="180"/>
      <c r="L781" s="181">
        <f t="shared" si="39"/>
        <v>0</v>
      </c>
      <c r="M781" s="229" t="str">
        <f t="shared" si="37"/>
        <v/>
      </c>
      <c r="N781" s="232"/>
    </row>
    <row r="782" spans="1:14" ht="15" thickBot="1">
      <c r="A782" s="170"/>
      <c r="B782" s="171"/>
      <c r="C782" s="172"/>
      <c r="D782" s="173"/>
      <c r="E782" s="174"/>
      <c r="F782" s="175"/>
      <c r="G782" s="176"/>
      <c r="H782" s="177"/>
      <c r="I782" s="178"/>
      <c r="J782" s="179" t="str">
        <f t="shared" si="38"/>
        <v/>
      </c>
      <c r="K782" s="180"/>
      <c r="L782" s="181">
        <f t="shared" si="39"/>
        <v>0</v>
      </c>
      <c r="M782" s="229" t="str">
        <f t="shared" ref="M782:M845" si="40">IF(J782 &lt;&gt; "", J782 * L782, "")</f>
        <v/>
      </c>
      <c r="N782" s="232"/>
    </row>
    <row r="783" spans="1:14" ht="15" thickBot="1">
      <c r="A783" s="170"/>
      <c r="B783" s="171"/>
      <c r="C783" s="172"/>
      <c r="D783" s="173"/>
      <c r="E783" s="174"/>
      <c r="F783" s="175"/>
      <c r="G783" s="176"/>
      <c r="H783" s="177"/>
      <c r="I783" s="178"/>
      <c r="J783" s="179" t="str">
        <f t="shared" si="38"/>
        <v/>
      </c>
      <c r="K783" s="180"/>
      <c r="L783" s="181">
        <f t="shared" si="39"/>
        <v>0</v>
      </c>
      <c r="M783" s="229" t="str">
        <f t="shared" si="40"/>
        <v/>
      </c>
      <c r="N783" s="232"/>
    </row>
    <row r="784" spans="1:14" ht="15" thickBot="1">
      <c r="A784" s="170"/>
      <c r="B784" s="171"/>
      <c r="C784" s="172"/>
      <c r="D784" s="173"/>
      <c r="E784" s="174"/>
      <c r="F784" s="175"/>
      <c r="G784" s="176"/>
      <c r="H784" s="177"/>
      <c r="I784" s="178"/>
      <c r="J784" s="179" t="str">
        <f t="shared" si="38"/>
        <v/>
      </c>
      <c r="K784" s="180"/>
      <c r="L784" s="181">
        <f t="shared" si="39"/>
        <v>0</v>
      </c>
      <c r="M784" s="229" t="str">
        <f t="shared" si="40"/>
        <v/>
      </c>
      <c r="N784" s="232"/>
    </row>
    <row r="785" spans="1:14" ht="15" thickBot="1">
      <c r="A785" s="170"/>
      <c r="B785" s="171"/>
      <c r="C785" s="172"/>
      <c r="D785" s="173"/>
      <c r="E785" s="174"/>
      <c r="F785" s="175"/>
      <c r="G785" s="176"/>
      <c r="H785" s="177"/>
      <c r="I785" s="178"/>
      <c r="J785" s="179" t="str">
        <f t="shared" si="38"/>
        <v/>
      </c>
      <c r="K785" s="180"/>
      <c r="L785" s="181">
        <f t="shared" si="39"/>
        <v>0</v>
      </c>
      <c r="M785" s="229" t="str">
        <f t="shared" si="40"/>
        <v/>
      </c>
      <c r="N785" s="232"/>
    </row>
    <row r="786" spans="1:14" ht="15" thickBot="1">
      <c r="A786" s="170"/>
      <c r="B786" s="171"/>
      <c r="C786" s="172"/>
      <c r="D786" s="173"/>
      <c r="E786" s="174"/>
      <c r="F786" s="175"/>
      <c r="G786" s="176"/>
      <c r="H786" s="177"/>
      <c r="I786" s="178"/>
      <c r="J786" s="179" t="str">
        <f t="shared" si="38"/>
        <v/>
      </c>
      <c r="K786" s="180"/>
      <c r="L786" s="181">
        <f t="shared" si="39"/>
        <v>0</v>
      </c>
      <c r="M786" s="229" t="str">
        <f t="shared" si="40"/>
        <v/>
      </c>
      <c r="N786" s="232"/>
    </row>
    <row r="787" spans="1:14" ht="15" thickBot="1">
      <c r="A787" s="170"/>
      <c r="B787" s="171"/>
      <c r="C787" s="172"/>
      <c r="D787" s="173"/>
      <c r="E787" s="174"/>
      <c r="F787" s="175"/>
      <c r="G787" s="176"/>
      <c r="H787" s="177"/>
      <c r="I787" s="178"/>
      <c r="J787" s="179" t="str">
        <f t="shared" si="38"/>
        <v/>
      </c>
      <c r="K787" s="180"/>
      <c r="L787" s="181">
        <f t="shared" si="39"/>
        <v>0</v>
      </c>
      <c r="M787" s="229" t="str">
        <f t="shared" si="40"/>
        <v/>
      </c>
      <c r="N787" s="232"/>
    </row>
    <row r="788" spans="1:14" ht="15" thickBot="1">
      <c r="A788" s="170"/>
      <c r="B788" s="171"/>
      <c r="C788" s="172"/>
      <c r="D788" s="173"/>
      <c r="E788" s="174"/>
      <c r="F788" s="175"/>
      <c r="G788" s="176"/>
      <c r="H788" s="177"/>
      <c r="I788" s="178"/>
      <c r="J788" s="179" t="str">
        <f t="shared" si="38"/>
        <v/>
      </c>
      <c r="K788" s="180"/>
      <c r="L788" s="181">
        <f t="shared" si="39"/>
        <v>0</v>
      </c>
      <c r="M788" s="229" t="str">
        <f t="shared" si="40"/>
        <v/>
      </c>
      <c r="N788" s="232"/>
    </row>
    <row r="789" spans="1:14" ht="15" thickBot="1">
      <c r="A789" s="170"/>
      <c r="B789" s="171"/>
      <c r="C789" s="172"/>
      <c r="D789" s="173"/>
      <c r="E789" s="174"/>
      <c r="F789" s="175"/>
      <c r="G789" s="176"/>
      <c r="H789" s="177"/>
      <c r="I789" s="178"/>
      <c r="J789" s="179" t="str">
        <f t="shared" si="38"/>
        <v/>
      </c>
      <c r="K789" s="180"/>
      <c r="L789" s="181">
        <f t="shared" si="39"/>
        <v>0</v>
      </c>
      <c r="M789" s="229" t="str">
        <f t="shared" si="40"/>
        <v/>
      </c>
      <c r="N789" s="232"/>
    </row>
    <row r="790" spans="1:14" ht="15" thickBot="1">
      <c r="A790" s="170"/>
      <c r="B790" s="171"/>
      <c r="C790" s="172"/>
      <c r="D790" s="173"/>
      <c r="E790" s="174"/>
      <c r="F790" s="175"/>
      <c r="G790" s="176"/>
      <c r="H790" s="177"/>
      <c r="I790" s="178"/>
      <c r="J790" s="179" t="str">
        <f t="shared" si="38"/>
        <v/>
      </c>
      <c r="K790" s="180"/>
      <c r="L790" s="181">
        <f t="shared" si="39"/>
        <v>0</v>
      </c>
      <c r="M790" s="229" t="str">
        <f t="shared" si="40"/>
        <v/>
      </c>
      <c r="N790" s="232"/>
    </row>
    <row r="791" spans="1:14" ht="15" thickBot="1">
      <c r="A791" s="170"/>
      <c r="B791" s="171"/>
      <c r="C791" s="172"/>
      <c r="D791" s="173"/>
      <c r="E791" s="174"/>
      <c r="F791" s="175"/>
      <c r="G791" s="176"/>
      <c r="H791" s="177"/>
      <c r="I791" s="178"/>
      <c r="J791" s="179" t="str">
        <f t="shared" si="38"/>
        <v/>
      </c>
      <c r="K791" s="180"/>
      <c r="L791" s="181">
        <f t="shared" si="39"/>
        <v>0</v>
      </c>
      <c r="M791" s="229" t="str">
        <f t="shared" si="40"/>
        <v/>
      </c>
      <c r="N791" s="232"/>
    </row>
    <row r="792" spans="1:14" ht="15" thickBot="1">
      <c r="A792" s="170"/>
      <c r="B792" s="171"/>
      <c r="C792" s="172"/>
      <c r="D792" s="173"/>
      <c r="E792" s="174"/>
      <c r="F792" s="175"/>
      <c r="G792" s="176"/>
      <c r="H792" s="177"/>
      <c r="I792" s="178"/>
      <c r="J792" s="179" t="str">
        <f t="shared" si="38"/>
        <v/>
      </c>
      <c r="K792" s="180"/>
      <c r="L792" s="181">
        <f t="shared" si="39"/>
        <v>0</v>
      </c>
      <c r="M792" s="229" t="str">
        <f t="shared" si="40"/>
        <v/>
      </c>
      <c r="N792" s="232"/>
    </row>
    <row r="793" spans="1:14" ht="15" thickBot="1">
      <c r="A793" s="170"/>
      <c r="B793" s="171"/>
      <c r="C793" s="172"/>
      <c r="D793" s="173"/>
      <c r="E793" s="174"/>
      <c r="F793" s="175"/>
      <c r="G793" s="176"/>
      <c r="H793" s="177"/>
      <c r="I793" s="178"/>
      <c r="J793" s="179" t="str">
        <f t="shared" si="38"/>
        <v/>
      </c>
      <c r="K793" s="180"/>
      <c r="L793" s="181">
        <f t="shared" si="39"/>
        <v>0</v>
      </c>
      <c r="M793" s="229" t="str">
        <f t="shared" si="40"/>
        <v/>
      </c>
      <c r="N793" s="232"/>
    </row>
    <row r="794" spans="1:14" ht="15" thickBot="1">
      <c r="A794" s="170"/>
      <c r="B794" s="171"/>
      <c r="C794" s="172"/>
      <c r="D794" s="173"/>
      <c r="E794" s="174"/>
      <c r="F794" s="175"/>
      <c r="G794" s="176"/>
      <c r="H794" s="177"/>
      <c r="I794" s="178"/>
      <c r="J794" s="179" t="str">
        <f t="shared" si="38"/>
        <v/>
      </c>
      <c r="K794" s="180"/>
      <c r="L794" s="181">
        <f t="shared" si="39"/>
        <v>0</v>
      </c>
      <c r="M794" s="229" t="str">
        <f t="shared" si="40"/>
        <v/>
      </c>
      <c r="N794" s="232"/>
    </row>
    <row r="795" spans="1:14" ht="15" thickBot="1">
      <c r="A795" s="170"/>
      <c r="B795" s="171"/>
      <c r="C795" s="172"/>
      <c r="D795" s="173"/>
      <c r="E795" s="174"/>
      <c r="F795" s="175"/>
      <c r="G795" s="176"/>
      <c r="H795" s="177"/>
      <c r="I795" s="178"/>
      <c r="J795" s="179" t="str">
        <f t="shared" si="38"/>
        <v/>
      </c>
      <c r="K795" s="180"/>
      <c r="L795" s="181">
        <f t="shared" si="39"/>
        <v>0</v>
      </c>
      <c r="M795" s="229" t="str">
        <f t="shared" si="40"/>
        <v/>
      </c>
      <c r="N795" s="232"/>
    </row>
    <row r="796" spans="1:14" ht="15" thickBot="1">
      <c r="A796" s="170"/>
      <c r="B796" s="171"/>
      <c r="C796" s="172"/>
      <c r="D796" s="173"/>
      <c r="E796" s="174"/>
      <c r="F796" s="175"/>
      <c r="G796" s="176"/>
      <c r="H796" s="177"/>
      <c r="I796" s="178"/>
      <c r="J796" s="179" t="str">
        <f t="shared" si="38"/>
        <v/>
      </c>
      <c r="K796" s="180"/>
      <c r="L796" s="181">
        <f t="shared" si="39"/>
        <v>0</v>
      </c>
      <c r="M796" s="229" t="str">
        <f t="shared" si="40"/>
        <v/>
      </c>
      <c r="N796" s="232"/>
    </row>
    <row r="797" spans="1:14" ht="15" thickBot="1">
      <c r="A797" s="170"/>
      <c r="B797" s="171"/>
      <c r="C797" s="172"/>
      <c r="D797" s="173"/>
      <c r="E797" s="174"/>
      <c r="F797" s="175"/>
      <c r="G797" s="176"/>
      <c r="H797" s="177"/>
      <c r="I797" s="178"/>
      <c r="J797" s="179" t="str">
        <f t="shared" si="38"/>
        <v/>
      </c>
      <c r="K797" s="180"/>
      <c r="L797" s="181">
        <f t="shared" si="39"/>
        <v>0</v>
      </c>
      <c r="M797" s="229" t="str">
        <f t="shared" si="40"/>
        <v/>
      </c>
      <c r="N797" s="232"/>
    </row>
    <row r="798" spans="1:14" ht="15" thickBot="1">
      <c r="A798" s="170"/>
      <c r="B798" s="171"/>
      <c r="C798" s="172"/>
      <c r="D798" s="173"/>
      <c r="E798" s="174"/>
      <c r="F798" s="175"/>
      <c r="G798" s="176"/>
      <c r="H798" s="177"/>
      <c r="I798" s="178"/>
      <c r="J798" s="179" t="str">
        <f t="shared" si="38"/>
        <v/>
      </c>
      <c r="K798" s="180"/>
      <c r="L798" s="181">
        <f t="shared" si="39"/>
        <v>0</v>
      </c>
      <c r="M798" s="229" t="str">
        <f t="shared" si="40"/>
        <v/>
      </c>
      <c r="N798" s="232"/>
    </row>
    <row r="799" spans="1:14" ht="15" thickBot="1">
      <c r="A799" s="170"/>
      <c r="B799" s="171"/>
      <c r="C799" s="172"/>
      <c r="D799" s="173"/>
      <c r="E799" s="174"/>
      <c r="F799" s="175"/>
      <c r="G799" s="176"/>
      <c r="H799" s="177"/>
      <c r="I799" s="178"/>
      <c r="J799" s="179" t="str">
        <f t="shared" si="38"/>
        <v/>
      </c>
      <c r="K799" s="180"/>
      <c r="L799" s="181">
        <f t="shared" si="39"/>
        <v>0</v>
      </c>
      <c r="M799" s="229" t="str">
        <f t="shared" si="40"/>
        <v/>
      </c>
      <c r="N799" s="232"/>
    </row>
    <row r="800" spans="1:14" ht="15" thickBot="1">
      <c r="A800" s="170"/>
      <c r="B800" s="171"/>
      <c r="C800" s="172"/>
      <c r="D800" s="173"/>
      <c r="E800" s="174"/>
      <c r="F800" s="175"/>
      <c r="G800" s="176"/>
      <c r="H800" s="177"/>
      <c r="I800" s="178"/>
      <c r="J800" s="179" t="str">
        <f t="shared" si="38"/>
        <v/>
      </c>
      <c r="K800" s="180"/>
      <c r="L800" s="181">
        <f t="shared" si="39"/>
        <v>0</v>
      </c>
      <c r="M800" s="229" t="str">
        <f t="shared" si="40"/>
        <v/>
      </c>
      <c r="N800" s="232"/>
    </row>
    <row r="801" spans="1:14" ht="15" thickBot="1">
      <c r="A801" s="170"/>
      <c r="B801" s="171"/>
      <c r="C801" s="172"/>
      <c r="D801" s="173"/>
      <c r="E801" s="174"/>
      <c r="F801" s="175"/>
      <c r="G801" s="176"/>
      <c r="H801" s="177"/>
      <c r="I801" s="178"/>
      <c r="J801" s="179" t="str">
        <f t="shared" si="38"/>
        <v/>
      </c>
      <c r="K801" s="180"/>
      <c r="L801" s="181">
        <f t="shared" si="39"/>
        <v>0</v>
      </c>
      <c r="M801" s="229" t="str">
        <f t="shared" si="40"/>
        <v/>
      </c>
      <c r="N801" s="232"/>
    </row>
    <row r="802" spans="1:14" ht="15" thickBot="1">
      <c r="A802" s="170"/>
      <c r="B802" s="171"/>
      <c r="C802" s="172"/>
      <c r="D802" s="173"/>
      <c r="E802" s="174"/>
      <c r="F802" s="175"/>
      <c r="G802" s="176"/>
      <c r="H802" s="177"/>
      <c r="I802" s="178"/>
      <c r="J802" s="179" t="str">
        <f t="shared" si="38"/>
        <v/>
      </c>
      <c r="K802" s="180"/>
      <c r="L802" s="181">
        <f t="shared" si="39"/>
        <v>0</v>
      </c>
      <c r="M802" s="229" t="str">
        <f t="shared" si="40"/>
        <v/>
      </c>
      <c r="N802" s="232"/>
    </row>
    <row r="803" spans="1:14" ht="15" thickBot="1">
      <c r="A803" s="170"/>
      <c r="B803" s="171"/>
      <c r="C803" s="172"/>
      <c r="D803" s="173"/>
      <c r="E803" s="174"/>
      <c r="F803" s="175"/>
      <c r="G803" s="176"/>
      <c r="H803" s="177"/>
      <c r="I803" s="178"/>
      <c r="J803" s="179" t="str">
        <f t="shared" si="38"/>
        <v/>
      </c>
      <c r="K803" s="180"/>
      <c r="L803" s="181">
        <f t="shared" si="39"/>
        <v>0</v>
      </c>
      <c r="M803" s="229" t="str">
        <f t="shared" si="40"/>
        <v/>
      </c>
      <c r="N803" s="232"/>
    </row>
    <row r="804" spans="1:14" ht="15" thickBot="1">
      <c r="A804" s="170"/>
      <c r="B804" s="171"/>
      <c r="C804" s="172"/>
      <c r="D804" s="173"/>
      <c r="E804" s="174"/>
      <c r="F804" s="175"/>
      <c r="G804" s="176"/>
      <c r="H804" s="177"/>
      <c r="I804" s="178"/>
      <c r="J804" s="179" t="str">
        <f t="shared" si="38"/>
        <v/>
      </c>
      <c r="K804" s="180"/>
      <c r="L804" s="181">
        <f t="shared" si="39"/>
        <v>0</v>
      </c>
      <c r="M804" s="229" t="str">
        <f t="shared" si="40"/>
        <v/>
      </c>
      <c r="N804" s="232"/>
    </row>
    <row r="805" spans="1:14" ht="15" thickBot="1">
      <c r="A805" s="170"/>
      <c r="B805" s="171"/>
      <c r="C805" s="172"/>
      <c r="D805" s="173"/>
      <c r="E805" s="174"/>
      <c r="F805" s="175"/>
      <c r="G805" s="176"/>
      <c r="H805" s="177"/>
      <c r="I805" s="178"/>
      <c r="J805" s="179" t="str">
        <f t="shared" si="38"/>
        <v/>
      </c>
      <c r="K805" s="180"/>
      <c r="L805" s="181">
        <f t="shared" si="39"/>
        <v>0</v>
      </c>
      <c r="M805" s="229" t="str">
        <f t="shared" si="40"/>
        <v/>
      </c>
      <c r="N805" s="232"/>
    </row>
    <row r="806" spans="1:14" ht="15" thickBot="1">
      <c r="A806" s="170"/>
      <c r="B806" s="171"/>
      <c r="C806" s="172"/>
      <c r="D806" s="173"/>
      <c r="E806" s="174"/>
      <c r="F806" s="175"/>
      <c r="G806" s="176"/>
      <c r="H806" s="177"/>
      <c r="I806" s="178"/>
      <c r="J806" s="179" t="str">
        <f t="shared" si="38"/>
        <v/>
      </c>
      <c r="K806" s="180"/>
      <c r="L806" s="181">
        <f t="shared" si="39"/>
        <v>0</v>
      </c>
      <c r="M806" s="229" t="str">
        <f t="shared" si="40"/>
        <v/>
      </c>
      <c r="N806" s="232"/>
    </row>
    <row r="807" spans="1:14" ht="15" thickBot="1">
      <c r="A807" s="170"/>
      <c r="B807" s="171"/>
      <c r="C807" s="172"/>
      <c r="D807" s="173"/>
      <c r="E807" s="174"/>
      <c r="F807" s="175"/>
      <c r="G807" s="176"/>
      <c r="H807" s="177"/>
      <c r="I807" s="178"/>
      <c r="J807" s="179" t="str">
        <f t="shared" si="38"/>
        <v/>
      </c>
      <c r="K807" s="180"/>
      <c r="L807" s="181">
        <f t="shared" si="39"/>
        <v>0</v>
      </c>
      <c r="M807" s="229" t="str">
        <f t="shared" si="40"/>
        <v/>
      </c>
      <c r="N807" s="232"/>
    </row>
    <row r="808" spans="1:14" ht="15" thickBot="1">
      <c r="A808" s="170"/>
      <c r="B808" s="171"/>
      <c r="C808" s="172"/>
      <c r="D808" s="173"/>
      <c r="E808" s="174"/>
      <c r="F808" s="175"/>
      <c r="G808" s="176"/>
      <c r="H808" s="177"/>
      <c r="I808" s="178"/>
      <c r="J808" s="179" t="str">
        <f t="shared" si="38"/>
        <v/>
      </c>
      <c r="K808" s="180"/>
      <c r="L808" s="181">
        <f t="shared" si="39"/>
        <v>0</v>
      </c>
      <c r="M808" s="229" t="str">
        <f t="shared" si="40"/>
        <v/>
      </c>
      <c r="N808" s="232"/>
    </row>
    <row r="809" spans="1:14" ht="15" thickBot="1">
      <c r="A809" s="170"/>
      <c r="B809" s="171"/>
      <c r="C809" s="172"/>
      <c r="D809" s="173"/>
      <c r="E809" s="174"/>
      <c r="F809" s="175"/>
      <c r="G809" s="176"/>
      <c r="H809" s="177"/>
      <c r="I809" s="178"/>
      <c r="J809" s="179" t="str">
        <f t="shared" si="38"/>
        <v/>
      </c>
      <c r="K809" s="180"/>
      <c r="L809" s="181">
        <f t="shared" si="39"/>
        <v>0</v>
      </c>
      <c r="M809" s="229" t="str">
        <f t="shared" si="40"/>
        <v/>
      </c>
      <c r="N809" s="232"/>
    </row>
    <row r="810" spans="1:14" ht="15" thickBot="1">
      <c r="A810" s="170"/>
      <c r="B810" s="171"/>
      <c r="C810" s="172"/>
      <c r="D810" s="173"/>
      <c r="E810" s="174"/>
      <c r="F810" s="175"/>
      <c r="G810" s="176"/>
      <c r="H810" s="177"/>
      <c r="I810" s="178"/>
      <c r="J810" s="179" t="str">
        <f t="shared" si="38"/>
        <v/>
      </c>
      <c r="K810" s="180"/>
      <c r="L810" s="181">
        <f t="shared" si="39"/>
        <v>0</v>
      </c>
      <c r="M810" s="229" t="str">
        <f t="shared" si="40"/>
        <v/>
      </c>
      <c r="N810" s="232"/>
    </row>
    <row r="811" spans="1:14" ht="15" thickBot="1">
      <c r="A811" s="170"/>
      <c r="B811" s="171"/>
      <c r="C811" s="172"/>
      <c r="D811" s="173"/>
      <c r="E811" s="174"/>
      <c r="F811" s="175"/>
      <c r="G811" s="176"/>
      <c r="H811" s="177"/>
      <c r="I811" s="178"/>
      <c r="J811" s="179" t="str">
        <f t="shared" si="38"/>
        <v/>
      </c>
      <c r="K811" s="180"/>
      <c r="L811" s="181">
        <f t="shared" si="39"/>
        <v>0</v>
      </c>
      <c r="M811" s="229" t="str">
        <f t="shared" si="40"/>
        <v/>
      </c>
      <c r="N811" s="232"/>
    </row>
    <row r="812" spans="1:14" ht="15" thickBot="1">
      <c r="A812" s="170"/>
      <c r="B812" s="171"/>
      <c r="C812" s="172"/>
      <c r="D812" s="173"/>
      <c r="E812" s="174"/>
      <c r="F812" s="175"/>
      <c r="G812" s="176"/>
      <c r="H812" s="177"/>
      <c r="I812" s="178"/>
      <c r="J812" s="179" t="str">
        <f t="shared" si="38"/>
        <v/>
      </c>
      <c r="K812" s="180"/>
      <c r="L812" s="181">
        <f t="shared" si="39"/>
        <v>0</v>
      </c>
      <c r="M812" s="229" t="str">
        <f t="shared" si="40"/>
        <v/>
      </c>
      <c r="N812" s="232"/>
    </row>
    <row r="813" spans="1:14" ht="15" thickBot="1">
      <c r="A813" s="170"/>
      <c r="B813" s="171"/>
      <c r="C813" s="172"/>
      <c r="D813" s="173"/>
      <c r="E813" s="174"/>
      <c r="F813" s="175"/>
      <c r="G813" s="176"/>
      <c r="H813" s="177"/>
      <c r="I813" s="178"/>
      <c r="J813" s="179" t="str">
        <f t="shared" si="38"/>
        <v/>
      </c>
      <c r="K813" s="180"/>
      <c r="L813" s="181">
        <f t="shared" si="39"/>
        <v>0</v>
      </c>
      <c r="M813" s="229" t="str">
        <f t="shared" si="40"/>
        <v/>
      </c>
      <c r="N813" s="232"/>
    </row>
    <row r="814" spans="1:14" ht="15" thickBot="1">
      <c r="A814" s="170"/>
      <c r="B814" s="171"/>
      <c r="C814" s="172"/>
      <c r="D814" s="173"/>
      <c r="E814" s="174"/>
      <c r="F814" s="175"/>
      <c r="G814" s="176"/>
      <c r="H814" s="177"/>
      <c r="I814" s="178"/>
      <c r="J814" s="179" t="str">
        <f t="shared" si="38"/>
        <v/>
      </c>
      <c r="K814" s="180"/>
      <c r="L814" s="181">
        <f t="shared" si="39"/>
        <v>0</v>
      </c>
      <c r="M814" s="229" t="str">
        <f t="shared" si="40"/>
        <v/>
      </c>
      <c r="N814" s="232"/>
    </row>
    <row r="815" spans="1:14" ht="15" thickBot="1">
      <c r="A815" s="170"/>
      <c r="B815" s="171"/>
      <c r="C815" s="172"/>
      <c r="D815" s="173"/>
      <c r="E815" s="174"/>
      <c r="F815" s="175"/>
      <c r="G815" s="176"/>
      <c r="H815" s="177"/>
      <c r="I815" s="178"/>
      <c r="J815" s="179" t="str">
        <f t="shared" si="38"/>
        <v/>
      </c>
      <c r="K815" s="180"/>
      <c r="L815" s="181">
        <f t="shared" si="39"/>
        <v>0</v>
      </c>
      <c r="M815" s="229" t="str">
        <f t="shared" si="40"/>
        <v/>
      </c>
      <c r="N815" s="232"/>
    </row>
    <row r="816" spans="1:14" ht="15" thickBot="1">
      <c r="A816" s="170"/>
      <c r="B816" s="171"/>
      <c r="C816" s="172"/>
      <c r="D816" s="173"/>
      <c r="E816" s="174"/>
      <c r="F816" s="175"/>
      <c r="G816" s="176"/>
      <c r="H816" s="177"/>
      <c r="I816" s="178"/>
      <c r="J816" s="179" t="str">
        <f t="shared" si="38"/>
        <v/>
      </c>
      <c r="K816" s="180"/>
      <c r="L816" s="181">
        <f t="shared" si="39"/>
        <v>0</v>
      </c>
      <c r="M816" s="229" t="str">
        <f t="shared" si="40"/>
        <v/>
      </c>
      <c r="N816" s="232"/>
    </row>
    <row r="817" spans="1:14" ht="15" thickBot="1">
      <c r="A817" s="170"/>
      <c r="B817" s="171"/>
      <c r="C817" s="172"/>
      <c r="D817" s="173"/>
      <c r="E817" s="174"/>
      <c r="F817" s="175"/>
      <c r="G817" s="176"/>
      <c r="H817" s="177"/>
      <c r="I817" s="178"/>
      <c r="J817" s="179" t="str">
        <f t="shared" si="38"/>
        <v/>
      </c>
      <c r="K817" s="180"/>
      <c r="L817" s="181">
        <f t="shared" si="39"/>
        <v>0</v>
      </c>
      <c r="M817" s="229" t="str">
        <f t="shared" si="40"/>
        <v/>
      </c>
      <c r="N817" s="232"/>
    </row>
    <row r="818" spans="1:14" ht="15" thickBot="1">
      <c r="A818" s="170"/>
      <c r="B818" s="171"/>
      <c r="C818" s="172"/>
      <c r="D818" s="173"/>
      <c r="E818" s="174"/>
      <c r="F818" s="175"/>
      <c r="G818" s="176"/>
      <c r="H818" s="177"/>
      <c r="I818" s="178"/>
      <c r="J818" s="179" t="str">
        <f t="shared" si="38"/>
        <v/>
      </c>
      <c r="K818" s="180"/>
      <c r="L818" s="181">
        <f t="shared" si="39"/>
        <v>0</v>
      </c>
      <c r="M818" s="229" t="str">
        <f t="shared" si="40"/>
        <v/>
      </c>
      <c r="N818" s="232"/>
    </row>
    <row r="819" spans="1:14" ht="15" thickBot="1">
      <c r="A819" s="170"/>
      <c r="B819" s="171"/>
      <c r="C819" s="172"/>
      <c r="D819" s="173"/>
      <c r="E819" s="174"/>
      <c r="F819" s="175"/>
      <c r="G819" s="176"/>
      <c r="H819" s="177"/>
      <c r="I819" s="178"/>
      <c r="J819" s="179" t="str">
        <f t="shared" si="38"/>
        <v/>
      </c>
      <c r="K819" s="180"/>
      <c r="L819" s="181">
        <f t="shared" si="39"/>
        <v>0</v>
      </c>
      <c r="M819" s="229" t="str">
        <f t="shared" si="40"/>
        <v/>
      </c>
      <c r="N819" s="232"/>
    </row>
    <row r="820" spans="1:14" ht="15" thickBot="1">
      <c r="A820" s="170"/>
      <c r="B820" s="171"/>
      <c r="C820" s="172"/>
      <c r="D820" s="173"/>
      <c r="E820" s="174"/>
      <c r="F820" s="175"/>
      <c r="G820" s="176"/>
      <c r="H820" s="177"/>
      <c r="I820" s="178"/>
      <c r="J820" s="179" t="str">
        <f t="shared" si="38"/>
        <v/>
      </c>
      <c r="K820" s="180"/>
      <c r="L820" s="181">
        <f t="shared" si="39"/>
        <v>0</v>
      </c>
      <c r="M820" s="229" t="str">
        <f t="shared" si="40"/>
        <v/>
      </c>
      <c r="N820" s="232"/>
    </row>
    <row r="821" spans="1:14" ht="15" thickBot="1">
      <c r="A821" s="170"/>
      <c r="B821" s="171"/>
      <c r="C821" s="172"/>
      <c r="D821" s="173"/>
      <c r="E821" s="174"/>
      <c r="F821" s="175"/>
      <c r="G821" s="176"/>
      <c r="H821" s="177"/>
      <c r="I821" s="178"/>
      <c r="J821" s="179" t="str">
        <f t="shared" si="38"/>
        <v/>
      </c>
      <c r="K821" s="180"/>
      <c r="L821" s="181">
        <f t="shared" si="39"/>
        <v>0</v>
      </c>
      <c r="M821" s="229" t="str">
        <f t="shared" si="40"/>
        <v/>
      </c>
      <c r="N821" s="232"/>
    </row>
    <row r="822" spans="1:14" ht="15" thickBot="1">
      <c r="A822" s="170"/>
      <c r="B822" s="171"/>
      <c r="C822" s="172"/>
      <c r="D822" s="173"/>
      <c r="E822" s="174"/>
      <c r="F822" s="175"/>
      <c r="G822" s="176"/>
      <c r="H822" s="177"/>
      <c r="I822" s="178"/>
      <c r="J822" s="179" t="str">
        <f t="shared" si="38"/>
        <v/>
      </c>
      <c r="K822" s="180"/>
      <c r="L822" s="181">
        <f t="shared" si="39"/>
        <v>0</v>
      </c>
      <c r="M822" s="229" t="str">
        <f t="shared" si="40"/>
        <v/>
      </c>
      <c r="N822" s="232"/>
    </row>
    <row r="823" spans="1:14" ht="15" thickBot="1">
      <c r="A823" s="170"/>
      <c r="B823" s="171"/>
      <c r="C823" s="172"/>
      <c r="D823" s="173"/>
      <c r="E823" s="174"/>
      <c r="F823" s="175"/>
      <c r="G823" s="176"/>
      <c r="H823" s="177"/>
      <c r="I823" s="178"/>
      <c r="J823" s="179" t="str">
        <f t="shared" si="38"/>
        <v/>
      </c>
      <c r="K823" s="180"/>
      <c r="L823" s="181">
        <f t="shared" si="39"/>
        <v>0</v>
      </c>
      <c r="M823" s="229" t="str">
        <f t="shared" si="40"/>
        <v/>
      </c>
      <c r="N823" s="232"/>
    </row>
    <row r="824" spans="1:14" ht="15" thickBot="1">
      <c r="A824" s="170"/>
      <c r="B824" s="171"/>
      <c r="C824" s="172"/>
      <c r="D824" s="173"/>
      <c r="E824" s="174"/>
      <c r="F824" s="175"/>
      <c r="G824" s="176"/>
      <c r="H824" s="177"/>
      <c r="I824" s="178"/>
      <c r="J824" s="179" t="str">
        <f t="shared" si="38"/>
        <v/>
      </c>
      <c r="K824" s="180"/>
      <c r="L824" s="181">
        <f t="shared" si="39"/>
        <v>0</v>
      </c>
      <c r="M824" s="229" t="str">
        <f t="shared" si="40"/>
        <v/>
      </c>
      <c r="N824" s="232"/>
    </row>
    <row r="825" spans="1:14" ht="15" thickBot="1">
      <c r="A825" s="170"/>
      <c r="B825" s="171"/>
      <c r="C825" s="172"/>
      <c r="D825" s="173"/>
      <c r="E825" s="174"/>
      <c r="F825" s="175"/>
      <c r="G825" s="176"/>
      <c r="H825" s="177"/>
      <c r="I825" s="178"/>
      <c r="J825" s="179" t="str">
        <f t="shared" ref="J825:J888" si="41">IF(H825 &gt; 0, I825 / H825, "")</f>
        <v/>
      </c>
      <c r="K825" s="180"/>
      <c r="L825" s="181">
        <f t="shared" ref="L825:L888" si="42">MAX(0, H825 - K825)</f>
        <v>0</v>
      </c>
      <c r="M825" s="229" t="str">
        <f t="shared" si="40"/>
        <v/>
      </c>
      <c r="N825" s="232"/>
    </row>
    <row r="826" spans="1:14" ht="15" thickBot="1">
      <c r="A826" s="170"/>
      <c r="B826" s="171"/>
      <c r="C826" s="172"/>
      <c r="D826" s="173"/>
      <c r="E826" s="174"/>
      <c r="F826" s="175"/>
      <c r="G826" s="176"/>
      <c r="H826" s="177"/>
      <c r="I826" s="178"/>
      <c r="J826" s="179" t="str">
        <f t="shared" si="41"/>
        <v/>
      </c>
      <c r="K826" s="180"/>
      <c r="L826" s="181">
        <f t="shared" si="42"/>
        <v>0</v>
      </c>
      <c r="M826" s="229" t="str">
        <f t="shared" si="40"/>
        <v/>
      </c>
      <c r="N826" s="232"/>
    </row>
    <row r="827" spans="1:14" ht="15" thickBot="1">
      <c r="A827" s="170"/>
      <c r="B827" s="171"/>
      <c r="C827" s="172"/>
      <c r="D827" s="173"/>
      <c r="E827" s="174"/>
      <c r="F827" s="175"/>
      <c r="G827" s="176"/>
      <c r="H827" s="177"/>
      <c r="I827" s="178"/>
      <c r="J827" s="179" t="str">
        <f t="shared" si="41"/>
        <v/>
      </c>
      <c r="K827" s="180"/>
      <c r="L827" s="181">
        <f t="shared" si="42"/>
        <v>0</v>
      </c>
      <c r="M827" s="229" t="str">
        <f t="shared" si="40"/>
        <v/>
      </c>
      <c r="N827" s="232"/>
    </row>
    <row r="828" spans="1:14" ht="15" thickBot="1">
      <c r="A828" s="170"/>
      <c r="B828" s="171"/>
      <c r="C828" s="172"/>
      <c r="D828" s="173"/>
      <c r="E828" s="174"/>
      <c r="F828" s="175"/>
      <c r="G828" s="176"/>
      <c r="H828" s="177"/>
      <c r="I828" s="178"/>
      <c r="J828" s="179" t="str">
        <f t="shared" si="41"/>
        <v/>
      </c>
      <c r="K828" s="180"/>
      <c r="L828" s="181">
        <f t="shared" si="42"/>
        <v>0</v>
      </c>
      <c r="M828" s="229" t="str">
        <f t="shared" si="40"/>
        <v/>
      </c>
      <c r="N828" s="232"/>
    </row>
    <row r="829" spans="1:14" ht="15" thickBot="1">
      <c r="A829" s="170"/>
      <c r="B829" s="171"/>
      <c r="C829" s="172"/>
      <c r="D829" s="173"/>
      <c r="E829" s="174"/>
      <c r="F829" s="175"/>
      <c r="G829" s="176"/>
      <c r="H829" s="177"/>
      <c r="I829" s="178"/>
      <c r="J829" s="179" t="str">
        <f t="shared" si="41"/>
        <v/>
      </c>
      <c r="K829" s="180"/>
      <c r="L829" s="181">
        <f t="shared" si="42"/>
        <v>0</v>
      </c>
      <c r="M829" s="229" t="str">
        <f t="shared" si="40"/>
        <v/>
      </c>
      <c r="N829" s="232"/>
    </row>
    <row r="830" spans="1:14" ht="15" thickBot="1">
      <c r="A830" s="170"/>
      <c r="B830" s="171"/>
      <c r="C830" s="172"/>
      <c r="D830" s="173"/>
      <c r="E830" s="174"/>
      <c r="F830" s="175"/>
      <c r="G830" s="176"/>
      <c r="H830" s="177"/>
      <c r="I830" s="178"/>
      <c r="J830" s="179" t="str">
        <f t="shared" si="41"/>
        <v/>
      </c>
      <c r="K830" s="180"/>
      <c r="L830" s="181">
        <f t="shared" si="42"/>
        <v>0</v>
      </c>
      <c r="M830" s="229" t="str">
        <f t="shared" si="40"/>
        <v/>
      </c>
      <c r="N830" s="232"/>
    </row>
    <row r="831" spans="1:14" ht="15" thickBot="1">
      <c r="A831" s="170"/>
      <c r="B831" s="171"/>
      <c r="C831" s="172"/>
      <c r="D831" s="173"/>
      <c r="E831" s="174"/>
      <c r="F831" s="175"/>
      <c r="G831" s="176"/>
      <c r="H831" s="177"/>
      <c r="I831" s="178"/>
      <c r="J831" s="179" t="str">
        <f t="shared" si="41"/>
        <v/>
      </c>
      <c r="K831" s="180"/>
      <c r="L831" s="181">
        <f t="shared" si="42"/>
        <v>0</v>
      </c>
      <c r="M831" s="229" t="str">
        <f t="shared" si="40"/>
        <v/>
      </c>
      <c r="N831" s="232"/>
    </row>
    <row r="832" spans="1:14" ht="15" thickBot="1">
      <c r="A832" s="170"/>
      <c r="B832" s="171"/>
      <c r="C832" s="172"/>
      <c r="D832" s="173"/>
      <c r="E832" s="174"/>
      <c r="F832" s="175"/>
      <c r="G832" s="176"/>
      <c r="H832" s="177"/>
      <c r="I832" s="178"/>
      <c r="J832" s="179" t="str">
        <f t="shared" si="41"/>
        <v/>
      </c>
      <c r="K832" s="180"/>
      <c r="L832" s="181">
        <f t="shared" si="42"/>
        <v>0</v>
      </c>
      <c r="M832" s="229" t="str">
        <f t="shared" si="40"/>
        <v/>
      </c>
      <c r="N832" s="232"/>
    </row>
    <row r="833" spans="1:14" ht="15" thickBot="1">
      <c r="A833" s="170"/>
      <c r="B833" s="171"/>
      <c r="C833" s="172"/>
      <c r="D833" s="173"/>
      <c r="E833" s="174"/>
      <c r="F833" s="175"/>
      <c r="G833" s="176"/>
      <c r="H833" s="177"/>
      <c r="I833" s="178"/>
      <c r="J833" s="179" t="str">
        <f t="shared" si="41"/>
        <v/>
      </c>
      <c r="K833" s="180"/>
      <c r="L833" s="181">
        <f t="shared" si="42"/>
        <v>0</v>
      </c>
      <c r="M833" s="229" t="str">
        <f t="shared" si="40"/>
        <v/>
      </c>
      <c r="N833" s="232"/>
    </row>
    <row r="834" spans="1:14" ht="15" thickBot="1">
      <c r="A834" s="170"/>
      <c r="B834" s="171"/>
      <c r="C834" s="172"/>
      <c r="D834" s="173"/>
      <c r="E834" s="174"/>
      <c r="F834" s="175"/>
      <c r="G834" s="176"/>
      <c r="H834" s="177"/>
      <c r="I834" s="178"/>
      <c r="J834" s="179" t="str">
        <f t="shared" si="41"/>
        <v/>
      </c>
      <c r="K834" s="180"/>
      <c r="L834" s="181">
        <f t="shared" si="42"/>
        <v>0</v>
      </c>
      <c r="M834" s="229" t="str">
        <f t="shared" si="40"/>
        <v/>
      </c>
      <c r="N834" s="232"/>
    </row>
    <row r="835" spans="1:14" ht="15" thickBot="1">
      <c r="A835" s="170"/>
      <c r="B835" s="171"/>
      <c r="C835" s="172"/>
      <c r="D835" s="173"/>
      <c r="E835" s="174"/>
      <c r="F835" s="175"/>
      <c r="G835" s="176"/>
      <c r="H835" s="177"/>
      <c r="I835" s="178"/>
      <c r="J835" s="179" t="str">
        <f t="shared" si="41"/>
        <v/>
      </c>
      <c r="K835" s="180"/>
      <c r="L835" s="181">
        <f t="shared" si="42"/>
        <v>0</v>
      </c>
      <c r="M835" s="229" t="str">
        <f t="shared" si="40"/>
        <v/>
      </c>
      <c r="N835" s="232"/>
    </row>
    <row r="836" spans="1:14" ht="15" thickBot="1">
      <c r="A836" s="170"/>
      <c r="B836" s="171"/>
      <c r="C836" s="172"/>
      <c r="D836" s="173"/>
      <c r="E836" s="174"/>
      <c r="F836" s="175"/>
      <c r="G836" s="176"/>
      <c r="H836" s="177"/>
      <c r="I836" s="178"/>
      <c r="J836" s="179" t="str">
        <f t="shared" si="41"/>
        <v/>
      </c>
      <c r="K836" s="180"/>
      <c r="L836" s="181">
        <f t="shared" si="42"/>
        <v>0</v>
      </c>
      <c r="M836" s="229" t="str">
        <f t="shared" si="40"/>
        <v/>
      </c>
      <c r="N836" s="232"/>
    </row>
    <row r="837" spans="1:14" ht="15" thickBot="1">
      <c r="A837" s="170"/>
      <c r="B837" s="171"/>
      <c r="C837" s="172"/>
      <c r="D837" s="173"/>
      <c r="E837" s="174"/>
      <c r="F837" s="175"/>
      <c r="G837" s="176"/>
      <c r="H837" s="177"/>
      <c r="I837" s="178"/>
      <c r="J837" s="179" t="str">
        <f t="shared" si="41"/>
        <v/>
      </c>
      <c r="K837" s="180"/>
      <c r="L837" s="181">
        <f t="shared" si="42"/>
        <v>0</v>
      </c>
      <c r="M837" s="229" t="str">
        <f t="shared" si="40"/>
        <v/>
      </c>
      <c r="N837" s="232"/>
    </row>
    <row r="838" spans="1:14" ht="15" thickBot="1">
      <c r="A838" s="170"/>
      <c r="B838" s="171"/>
      <c r="C838" s="172"/>
      <c r="D838" s="173"/>
      <c r="E838" s="174"/>
      <c r="F838" s="175"/>
      <c r="G838" s="176"/>
      <c r="H838" s="177"/>
      <c r="I838" s="178"/>
      <c r="J838" s="179" t="str">
        <f t="shared" si="41"/>
        <v/>
      </c>
      <c r="K838" s="180"/>
      <c r="L838" s="181">
        <f t="shared" si="42"/>
        <v>0</v>
      </c>
      <c r="M838" s="229" t="str">
        <f t="shared" si="40"/>
        <v/>
      </c>
      <c r="N838" s="232"/>
    </row>
    <row r="839" spans="1:14" ht="15" thickBot="1">
      <c r="A839" s="170"/>
      <c r="B839" s="171"/>
      <c r="C839" s="172"/>
      <c r="D839" s="173"/>
      <c r="E839" s="174"/>
      <c r="F839" s="175"/>
      <c r="G839" s="176"/>
      <c r="H839" s="177"/>
      <c r="I839" s="178"/>
      <c r="J839" s="179" t="str">
        <f t="shared" si="41"/>
        <v/>
      </c>
      <c r="K839" s="180"/>
      <c r="L839" s="181">
        <f t="shared" si="42"/>
        <v>0</v>
      </c>
      <c r="M839" s="229" t="str">
        <f t="shared" si="40"/>
        <v/>
      </c>
      <c r="N839" s="232"/>
    </row>
    <row r="840" spans="1:14" ht="15" thickBot="1">
      <c r="A840" s="170"/>
      <c r="B840" s="171"/>
      <c r="C840" s="172"/>
      <c r="D840" s="173"/>
      <c r="E840" s="174"/>
      <c r="F840" s="175"/>
      <c r="G840" s="176"/>
      <c r="H840" s="177"/>
      <c r="I840" s="178"/>
      <c r="J840" s="179" t="str">
        <f t="shared" si="41"/>
        <v/>
      </c>
      <c r="K840" s="180"/>
      <c r="L840" s="181">
        <f t="shared" si="42"/>
        <v>0</v>
      </c>
      <c r="M840" s="229" t="str">
        <f t="shared" si="40"/>
        <v/>
      </c>
      <c r="N840" s="232"/>
    </row>
    <row r="841" spans="1:14" ht="15" thickBot="1">
      <c r="A841" s="170"/>
      <c r="B841" s="171"/>
      <c r="C841" s="172"/>
      <c r="D841" s="173"/>
      <c r="E841" s="174"/>
      <c r="F841" s="175"/>
      <c r="G841" s="176"/>
      <c r="H841" s="177"/>
      <c r="I841" s="178"/>
      <c r="J841" s="179" t="str">
        <f t="shared" si="41"/>
        <v/>
      </c>
      <c r="K841" s="180"/>
      <c r="L841" s="181">
        <f t="shared" si="42"/>
        <v>0</v>
      </c>
      <c r="M841" s="229" t="str">
        <f t="shared" si="40"/>
        <v/>
      </c>
      <c r="N841" s="232"/>
    </row>
    <row r="842" spans="1:14" ht="15" thickBot="1">
      <c r="A842" s="170"/>
      <c r="B842" s="171"/>
      <c r="C842" s="172"/>
      <c r="D842" s="173"/>
      <c r="E842" s="174"/>
      <c r="F842" s="175"/>
      <c r="G842" s="176"/>
      <c r="H842" s="177"/>
      <c r="I842" s="178"/>
      <c r="J842" s="179" t="str">
        <f t="shared" si="41"/>
        <v/>
      </c>
      <c r="K842" s="180"/>
      <c r="L842" s="181">
        <f t="shared" si="42"/>
        <v>0</v>
      </c>
      <c r="M842" s="229" t="str">
        <f t="shared" si="40"/>
        <v/>
      </c>
      <c r="N842" s="232"/>
    </row>
    <row r="843" spans="1:14" ht="15" thickBot="1">
      <c r="A843" s="170"/>
      <c r="B843" s="171"/>
      <c r="C843" s="172"/>
      <c r="D843" s="173"/>
      <c r="E843" s="174"/>
      <c r="F843" s="175"/>
      <c r="G843" s="176"/>
      <c r="H843" s="177"/>
      <c r="I843" s="178"/>
      <c r="J843" s="179" t="str">
        <f t="shared" si="41"/>
        <v/>
      </c>
      <c r="K843" s="180"/>
      <c r="L843" s="181">
        <f t="shared" si="42"/>
        <v>0</v>
      </c>
      <c r="M843" s="229" t="str">
        <f t="shared" si="40"/>
        <v/>
      </c>
      <c r="N843" s="232"/>
    </row>
    <row r="844" spans="1:14" ht="15" thickBot="1">
      <c r="A844" s="170"/>
      <c r="B844" s="171"/>
      <c r="C844" s="172"/>
      <c r="D844" s="173"/>
      <c r="E844" s="174"/>
      <c r="F844" s="175"/>
      <c r="G844" s="176"/>
      <c r="H844" s="177"/>
      <c r="I844" s="178"/>
      <c r="J844" s="179" t="str">
        <f t="shared" si="41"/>
        <v/>
      </c>
      <c r="K844" s="180"/>
      <c r="L844" s="181">
        <f t="shared" si="42"/>
        <v>0</v>
      </c>
      <c r="M844" s="229" t="str">
        <f t="shared" si="40"/>
        <v/>
      </c>
      <c r="N844" s="232"/>
    </row>
    <row r="845" spans="1:14" ht="15" thickBot="1">
      <c r="A845" s="170"/>
      <c r="B845" s="171"/>
      <c r="C845" s="172"/>
      <c r="D845" s="173"/>
      <c r="E845" s="174"/>
      <c r="F845" s="175"/>
      <c r="G845" s="176"/>
      <c r="H845" s="177"/>
      <c r="I845" s="178"/>
      <c r="J845" s="179" t="str">
        <f t="shared" si="41"/>
        <v/>
      </c>
      <c r="K845" s="180"/>
      <c r="L845" s="181">
        <f t="shared" si="42"/>
        <v>0</v>
      </c>
      <c r="M845" s="229" t="str">
        <f t="shared" si="40"/>
        <v/>
      </c>
      <c r="N845" s="232"/>
    </row>
    <row r="846" spans="1:14" ht="15" thickBot="1">
      <c r="A846" s="170"/>
      <c r="B846" s="171"/>
      <c r="C846" s="172"/>
      <c r="D846" s="173"/>
      <c r="E846" s="174"/>
      <c r="F846" s="175"/>
      <c r="G846" s="176"/>
      <c r="H846" s="177"/>
      <c r="I846" s="178"/>
      <c r="J846" s="179" t="str">
        <f t="shared" si="41"/>
        <v/>
      </c>
      <c r="K846" s="180"/>
      <c r="L846" s="181">
        <f t="shared" si="42"/>
        <v>0</v>
      </c>
      <c r="M846" s="229" t="str">
        <f t="shared" ref="M846:M909" si="43">IF(J846 &lt;&gt; "", J846 * L846, "")</f>
        <v/>
      </c>
      <c r="N846" s="232"/>
    </row>
    <row r="847" spans="1:14" ht="15" thickBot="1">
      <c r="A847" s="170"/>
      <c r="B847" s="171"/>
      <c r="C847" s="172"/>
      <c r="D847" s="173"/>
      <c r="E847" s="174"/>
      <c r="F847" s="175"/>
      <c r="G847" s="176"/>
      <c r="H847" s="177"/>
      <c r="I847" s="178"/>
      <c r="J847" s="179" t="str">
        <f t="shared" si="41"/>
        <v/>
      </c>
      <c r="K847" s="180"/>
      <c r="L847" s="181">
        <f t="shared" si="42"/>
        <v>0</v>
      </c>
      <c r="M847" s="229" t="str">
        <f t="shared" si="43"/>
        <v/>
      </c>
      <c r="N847" s="232"/>
    </row>
    <row r="848" spans="1:14" ht="15" thickBot="1">
      <c r="A848" s="170"/>
      <c r="B848" s="171"/>
      <c r="C848" s="172"/>
      <c r="D848" s="173"/>
      <c r="E848" s="174"/>
      <c r="F848" s="175"/>
      <c r="G848" s="176"/>
      <c r="H848" s="177"/>
      <c r="I848" s="178"/>
      <c r="J848" s="179" t="str">
        <f t="shared" si="41"/>
        <v/>
      </c>
      <c r="K848" s="180"/>
      <c r="L848" s="181">
        <f t="shared" si="42"/>
        <v>0</v>
      </c>
      <c r="M848" s="229" t="str">
        <f t="shared" si="43"/>
        <v/>
      </c>
      <c r="N848" s="232"/>
    </row>
    <row r="849" spans="1:14" ht="15" thickBot="1">
      <c r="A849" s="170"/>
      <c r="B849" s="171"/>
      <c r="C849" s="172"/>
      <c r="D849" s="173"/>
      <c r="E849" s="174"/>
      <c r="F849" s="175"/>
      <c r="G849" s="176"/>
      <c r="H849" s="177"/>
      <c r="I849" s="178"/>
      <c r="J849" s="179" t="str">
        <f t="shared" si="41"/>
        <v/>
      </c>
      <c r="K849" s="180"/>
      <c r="L849" s="181">
        <f t="shared" si="42"/>
        <v>0</v>
      </c>
      <c r="M849" s="229" t="str">
        <f t="shared" si="43"/>
        <v/>
      </c>
      <c r="N849" s="232"/>
    </row>
    <row r="850" spans="1:14" ht="15" thickBot="1">
      <c r="A850" s="170"/>
      <c r="B850" s="171"/>
      <c r="C850" s="172"/>
      <c r="D850" s="173"/>
      <c r="E850" s="174"/>
      <c r="F850" s="175"/>
      <c r="G850" s="176"/>
      <c r="H850" s="177"/>
      <c r="I850" s="178"/>
      <c r="J850" s="179" t="str">
        <f t="shared" si="41"/>
        <v/>
      </c>
      <c r="K850" s="180"/>
      <c r="L850" s="181">
        <f t="shared" si="42"/>
        <v>0</v>
      </c>
      <c r="M850" s="229" t="str">
        <f t="shared" si="43"/>
        <v/>
      </c>
      <c r="N850" s="232"/>
    </row>
    <row r="851" spans="1:14" ht="15" thickBot="1">
      <c r="A851" s="170"/>
      <c r="B851" s="171"/>
      <c r="C851" s="172"/>
      <c r="D851" s="173"/>
      <c r="E851" s="174"/>
      <c r="F851" s="175"/>
      <c r="G851" s="176"/>
      <c r="H851" s="177"/>
      <c r="I851" s="178"/>
      <c r="J851" s="179" t="str">
        <f t="shared" si="41"/>
        <v/>
      </c>
      <c r="K851" s="180"/>
      <c r="L851" s="181">
        <f t="shared" si="42"/>
        <v>0</v>
      </c>
      <c r="M851" s="229" t="str">
        <f t="shared" si="43"/>
        <v/>
      </c>
      <c r="N851" s="232"/>
    </row>
    <row r="852" spans="1:14" ht="15" thickBot="1">
      <c r="A852" s="170"/>
      <c r="B852" s="171"/>
      <c r="C852" s="172"/>
      <c r="D852" s="173"/>
      <c r="E852" s="174"/>
      <c r="F852" s="175"/>
      <c r="G852" s="176"/>
      <c r="H852" s="177"/>
      <c r="I852" s="178"/>
      <c r="J852" s="179" t="str">
        <f t="shared" si="41"/>
        <v/>
      </c>
      <c r="K852" s="180"/>
      <c r="L852" s="181">
        <f t="shared" si="42"/>
        <v>0</v>
      </c>
      <c r="M852" s="229" t="str">
        <f t="shared" si="43"/>
        <v/>
      </c>
      <c r="N852" s="232"/>
    </row>
    <row r="853" spans="1:14" ht="15" thickBot="1">
      <c r="A853" s="170"/>
      <c r="B853" s="171"/>
      <c r="C853" s="172"/>
      <c r="D853" s="173"/>
      <c r="E853" s="174"/>
      <c r="F853" s="175"/>
      <c r="G853" s="176"/>
      <c r="H853" s="177"/>
      <c r="I853" s="178"/>
      <c r="J853" s="179" t="str">
        <f t="shared" si="41"/>
        <v/>
      </c>
      <c r="K853" s="180"/>
      <c r="L853" s="181">
        <f t="shared" si="42"/>
        <v>0</v>
      </c>
      <c r="M853" s="229" t="str">
        <f t="shared" si="43"/>
        <v/>
      </c>
      <c r="N853" s="232"/>
    </row>
    <row r="854" spans="1:14" ht="15" thickBot="1">
      <c r="A854" s="170"/>
      <c r="B854" s="171"/>
      <c r="C854" s="172"/>
      <c r="D854" s="173"/>
      <c r="E854" s="174"/>
      <c r="F854" s="175"/>
      <c r="G854" s="176"/>
      <c r="H854" s="177"/>
      <c r="I854" s="178"/>
      <c r="J854" s="179" t="str">
        <f t="shared" si="41"/>
        <v/>
      </c>
      <c r="K854" s="180"/>
      <c r="L854" s="181">
        <f t="shared" si="42"/>
        <v>0</v>
      </c>
      <c r="M854" s="229" t="str">
        <f t="shared" si="43"/>
        <v/>
      </c>
      <c r="N854" s="232"/>
    </row>
    <row r="855" spans="1:14" ht="15" thickBot="1">
      <c r="A855" s="170"/>
      <c r="B855" s="171"/>
      <c r="C855" s="172"/>
      <c r="D855" s="173"/>
      <c r="E855" s="174"/>
      <c r="F855" s="175"/>
      <c r="G855" s="176"/>
      <c r="H855" s="177"/>
      <c r="I855" s="178"/>
      <c r="J855" s="179" t="str">
        <f t="shared" si="41"/>
        <v/>
      </c>
      <c r="K855" s="180"/>
      <c r="L855" s="181">
        <f t="shared" si="42"/>
        <v>0</v>
      </c>
      <c r="M855" s="229" t="str">
        <f t="shared" si="43"/>
        <v/>
      </c>
      <c r="N855" s="232"/>
    </row>
    <row r="856" spans="1:14" ht="15" thickBot="1">
      <c r="A856" s="170"/>
      <c r="B856" s="171"/>
      <c r="C856" s="172"/>
      <c r="D856" s="173"/>
      <c r="E856" s="174"/>
      <c r="F856" s="175"/>
      <c r="G856" s="176"/>
      <c r="H856" s="177"/>
      <c r="I856" s="178"/>
      <c r="J856" s="179" t="str">
        <f t="shared" si="41"/>
        <v/>
      </c>
      <c r="K856" s="180"/>
      <c r="L856" s="181">
        <f t="shared" si="42"/>
        <v>0</v>
      </c>
      <c r="M856" s="229" t="str">
        <f t="shared" si="43"/>
        <v/>
      </c>
      <c r="N856" s="232"/>
    </row>
    <row r="857" spans="1:14" ht="15" thickBot="1">
      <c r="A857" s="170"/>
      <c r="B857" s="171"/>
      <c r="C857" s="172"/>
      <c r="D857" s="173"/>
      <c r="E857" s="174"/>
      <c r="F857" s="175"/>
      <c r="G857" s="176"/>
      <c r="H857" s="177"/>
      <c r="I857" s="178"/>
      <c r="J857" s="179" t="str">
        <f t="shared" si="41"/>
        <v/>
      </c>
      <c r="K857" s="180"/>
      <c r="L857" s="181">
        <f t="shared" si="42"/>
        <v>0</v>
      </c>
      <c r="M857" s="229" t="str">
        <f t="shared" si="43"/>
        <v/>
      </c>
      <c r="N857" s="232"/>
    </row>
    <row r="858" spans="1:14" ht="15" thickBot="1">
      <c r="A858" s="170"/>
      <c r="B858" s="171"/>
      <c r="C858" s="172"/>
      <c r="D858" s="173"/>
      <c r="E858" s="174"/>
      <c r="F858" s="175"/>
      <c r="G858" s="176"/>
      <c r="H858" s="177"/>
      <c r="I858" s="178"/>
      <c r="J858" s="179" t="str">
        <f t="shared" si="41"/>
        <v/>
      </c>
      <c r="K858" s="180"/>
      <c r="L858" s="181">
        <f t="shared" si="42"/>
        <v>0</v>
      </c>
      <c r="M858" s="229" t="str">
        <f t="shared" si="43"/>
        <v/>
      </c>
      <c r="N858" s="232"/>
    </row>
    <row r="859" spans="1:14" ht="15" thickBot="1">
      <c r="A859" s="170"/>
      <c r="B859" s="171"/>
      <c r="C859" s="172"/>
      <c r="D859" s="173"/>
      <c r="E859" s="174"/>
      <c r="F859" s="175"/>
      <c r="G859" s="176"/>
      <c r="H859" s="177"/>
      <c r="I859" s="178"/>
      <c r="J859" s="179" t="str">
        <f t="shared" si="41"/>
        <v/>
      </c>
      <c r="K859" s="180"/>
      <c r="L859" s="181">
        <f t="shared" si="42"/>
        <v>0</v>
      </c>
      <c r="M859" s="229" t="str">
        <f t="shared" si="43"/>
        <v/>
      </c>
      <c r="N859" s="232"/>
    </row>
    <row r="860" spans="1:14" ht="15" thickBot="1">
      <c r="A860" s="170"/>
      <c r="B860" s="171"/>
      <c r="C860" s="172"/>
      <c r="D860" s="173"/>
      <c r="E860" s="174"/>
      <c r="F860" s="175"/>
      <c r="G860" s="176"/>
      <c r="H860" s="177"/>
      <c r="I860" s="178"/>
      <c r="J860" s="179" t="str">
        <f t="shared" si="41"/>
        <v/>
      </c>
      <c r="K860" s="180"/>
      <c r="L860" s="181">
        <f t="shared" si="42"/>
        <v>0</v>
      </c>
      <c r="M860" s="229" t="str">
        <f t="shared" si="43"/>
        <v/>
      </c>
      <c r="N860" s="232"/>
    </row>
    <row r="861" spans="1:14" ht="15" thickBot="1">
      <c r="A861" s="170"/>
      <c r="B861" s="171"/>
      <c r="C861" s="172"/>
      <c r="D861" s="173"/>
      <c r="E861" s="174"/>
      <c r="F861" s="175"/>
      <c r="G861" s="176"/>
      <c r="H861" s="177"/>
      <c r="I861" s="178"/>
      <c r="J861" s="179" t="str">
        <f t="shared" si="41"/>
        <v/>
      </c>
      <c r="K861" s="180"/>
      <c r="L861" s="181">
        <f t="shared" si="42"/>
        <v>0</v>
      </c>
      <c r="M861" s="229" t="str">
        <f t="shared" si="43"/>
        <v/>
      </c>
      <c r="N861" s="232"/>
    </row>
    <row r="862" spans="1:14" ht="15" thickBot="1">
      <c r="A862" s="170"/>
      <c r="B862" s="171"/>
      <c r="C862" s="172"/>
      <c r="D862" s="173"/>
      <c r="E862" s="174"/>
      <c r="F862" s="175"/>
      <c r="G862" s="176"/>
      <c r="H862" s="177"/>
      <c r="I862" s="178"/>
      <c r="J862" s="179" t="str">
        <f t="shared" si="41"/>
        <v/>
      </c>
      <c r="K862" s="180"/>
      <c r="L862" s="181">
        <f t="shared" si="42"/>
        <v>0</v>
      </c>
      <c r="M862" s="229" t="str">
        <f t="shared" si="43"/>
        <v/>
      </c>
      <c r="N862" s="232"/>
    </row>
    <row r="863" spans="1:14" ht="15" thickBot="1">
      <c r="A863" s="170"/>
      <c r="B863" s="171"/>
      <c r="C863" s="172"/>
      <c r="D863" s="173"/>
      <c r="E863" s="174"/>
      <c r="F863" s="175"/>
      <c r="G863" s="176"/>
      <c r="H863" s="177"/>
      <c r="I863" s="178"/>
      <c r="J863" s="179" t="str">
        <f t="shared" si="41"/>
        <v/>
      </c>
      <c r="K863" s="180"/>
      <c r="L863" s="181">
        <f t="shared" si="42"/>
        <v>0</v>
      </c>
      <c r="M863" s="229" t="str">
        <f t="shared" si="43"/>
        <v/>
      </c>
      <c r="N863" s="232"/>
    </row>
    <row r="864" spans="1:14" ht="15" thickBot="1">
      <c r="A864" s="170"/>
      <c r="B864" s="171"/>
      <c r="C864" s="172"/>
      <c r="D864" s="173"/>
      <c r="E864" s="174"/>
      <c r="F864" s="175"/>
      <c r="G864" s="176"/>
      <c r="H864" s="177"/>
      <c r="I864" s="178"/>
      <c r="J864" s="179" t="str">
        <f t="shared" si="41"/>
        <v/>
      </c>
      <c r="K864" s="180"/>
      <c r="L864" s="181">
        <f t="shared" si="42"/>
        <v>0</v>
      </c>
      <c r="M864" s="229" t="str">
        <f t="shared" si="43"/>
        <v/>
      </c>
      <c r="N864" s="232"/>
    </row>
    <row r="865" spans="1:14" ht="15" thickBot="1">
      <c r="A865" s="170"/>
      <c r="B865" s="171"/>
      <c r="C865" s="172"/>
      <c r="D865" s="173"/>
      <c r="E865" s="174"/>
      <c r="F865" s="175"/>
      <c r="G865" s="176"/>
      <c r="H865" s="177"/>
      <c r="I865" s="178"/>
      <c r="J865" s="179" t="str">
        <f t="shared" si="41"/>
        <v/>
      </c>
      <c r="K865" s="180"/>
      <c r="L865" s="181">
        <f t="shared" si="42"/>
        <v>0</v>
      </c>
      <c r="M865" s="229" t="str">
        <f t="shared" si="43"/>
        <v/>
      </c>
      <c r="N865" s="232"/>
    </row>
    <row r="866" spans="1:14" ht="15" thickBot="1">
      <c r="A866" s="170"/>
      <c r="B866" s="171"/>
      <c r="C866" s="172"/>
      <c r="D866" s="173"/>
      <c r="E866" s="174"/>
      <c r="F866" s="175"/>
      <c r="G866" s="176"/>
      <c r="H866" s="177"/>
      <c r="I866" s="178"/>
      <c r="J866" s="179" t="str">
        <f t="shared" si="41"/>
        <v/>
      </c>
      <c r="K866" s="180"/>
      <c r="L866" s="181">
        <f t="shared" si="42"/>
        <v>0</v>
      </c>
      <c r="M866" s="229" t="str">
        <f t="shared" si="43"/>
        <v/>
      </c>
      <c r="N866" s="232"/>
    </row>
    <row r="867" spans="1:14" ht="15" thickBot="1">
      <c r="A867" s="170"/>
      <c r="B867" s="171"/>
      <c r="C867" s="172"/>
      <c r="D867" s="173"/>
      <c r="E867" s="174"/>
      <c r="F867" s="175"/>
      <c r="G867" s="176"/>
      <c r="H867" s="177"/>
      <c r="I867" s="178"/>
      <c r="J867" s="179" t="str">
        <f t="shared" si="41"/>
        <v/>
      </c>
      <c r="K867" s="180"/>
      <c r="L867" s="181">
        <f t="shared" si="42"/>
        <v>0</v>
      </c>
      <c r="M867" s="229" t="str">
        <f t="shared" si="43"/>
        <v/>
      </c>
      <c r="N867" s="232"/>
    </row>
    <row r="868" spans="1:14" ht="15" thickBot="1">
      <c r="A868" s="170"/>
      <c r="B868" s="171"/>
      <c r="C868" s="172"/>
      <c r="D868" s="173"/>
      <c r="E868" s="174"/>
      <c r="F868" s="175"/>
      <c r="G868" s="176"/>
      <c r="H868" s="177"/>
      <c r="I868" s="178"/>
      <c r="J868" s="179" t="str">
        <f t="shared" si="41"/>
        <v/>
      </c>
      <c r="K868" s="180"/>
      <c r="L868" s="181">
        <f t="shared" si="42"/>
        <v>0</v>
      </c>
      <c r="M868" s="229" t="str">
        <f t="shared" si="43"/>
        <v/>
      </c>
      <c r="N868" s="232"/>
    </row>
    <row r="869" spans="1:14" ht="15" thickBot="1">
      <c r="A869" s="170"/>
      <c r="B869" s="171"/>
      <c r="C869" s="172"/>
      <c r="D869" s="173"/>
      <c r="E869" s="174"/>
      <c r="F869" s="175"/>
      <c r="G869" s="176"/>
      <c r="H869" s="177"/>
      <c r="I869" s="178"/>
      <c r="J869" s="179" t="str">
        <f t="shared" si="41"/>
        <v/>
      </c>
      <c r="K869" s="180"/>
      <c r="L869" s="181">
        <f t="shared" si="42"/>
        <v>0</v>
      </c>
      <c r="M869" s="229" t="str">
        <f t="shared" si="43"/>
        <v/>
      </c>
      <c r="N869" s="232"/>
    </row>
    <row r="870" spans="1:14" ht="15" thickBot="1">
      <c r="A870" s="170"/>
      <c r="B870" s="171"/>
      <c r="C870" s="172"/>
      <c r="D870" s="173"/>
      <c r="E870" s="174"/>
      <c r="F870" s="175"/>
      <c r="G870" s="176"/>
      <c r="H870" s="177"/>
      <c r="I870" s="178"/>
      <c r="J870" s="179" t="str">
        <f t="shared" si="41"/>
        <v/>
      </c>
      <c r="K870" s="180"/>
      <c r="L870" s="181">
        <f t="shared" si="42"/>
        <v>0</v>
      </c>
      <c r="M870" s="229" t="str">
        <f t="shared" si="43"/>
        <v/>
      </c>
      <c r="N870" s="232"/>
    </row>
    <row r="871" spans="1:14" ht="15" thickBot="1">
      <c r="A871" s="170"/>
      <c r="B871" s="171"/>
      <c r="C871" s="172"/>
      <c r="D871" s="173"/>
      <c r="E871" s="174"/>
      <c r="F871" s="175"/>
      <c r="G871" s="176"/>
      <c r="H871" s="177"/>
      <c r="I871" s="178"/>
      <c r="J871" s="179" t="str">
        <f t="shared" si="41"/>
        <v/>
      </c>
      <c r="K871" s="180"/>
      <c r="L871" s="181">
        <f t="shared" si="42"/>
        <v>0</v>
      </c>
      <c r="M871" s="229" t="str">
        <f t="shared" si="43"/>
        <v/>
      </c>
      <c r="N871" s="232"/>
    </row>
    <row r="872" spans="1:14" ht="15" thickBot="1">
      <c r="A872" s="170"/>
      <c r="B872" s="171"/>
      <c r="C872" s="172"/>
      <c r="D872" s="173"/>
      <c r="E872" s="174"/>
      <c r="F872" s="175"/>
      <c r="G872" s="176"/>
      <c r="H872" s="177"/>
      <c r="I872" s="178"/>
      <c r="J872" s="179" t="str">
        <f t="shared" si="41"/>
        <v/>
      </c>
      <c r="K872" s="180"/>
      <c r="L872" s="181">
        <f t="shared" si="42"/>
        <v>0</v>
      </c>
      <c r="M872" s="229" t="str">
        <f t="shared" si="43"/>
        <v/>
      </c>
      <c r="N872" s="232"/>
    </row>
    <row r="873" spans="1:14" ht="15" thickBot="1">
      <c r="A873" s="170"/>
      <c r="B873" s="171"/>
      <c r="C873" s="172"/>
      <c r="D873" s="173"/>
      <c r="E873" s="174"/>
      <c r="F873" s="175"/>
      <c r="G873" s="176"/>
      <c r="H873" s="177"/>
      <c r="I873" s="178"/>
      <c r="J873" s="179" t="str">
        <f t="shared" si="41"/>
        <v/>
      </c>
      <c r="K873" s="180"/>
      <c r="L873" s="181">
        <f t="shared" si="42"/>
        <v>0</v>
      </c>
      <c r="M873" s="229" t="str">
        <f t="shared" si="43"/>
        <v/>
      </c>
      <c r="N873" s="232"/>
    </row>
    <row r="874" spans="1:14" ht="15" thickBot="1">
      <c r="A874" s="170"/>
      <c r="B874" s="171"/>
      <c r="C874" s="172"/>
      <c r="D874" s="173"/>
      <c r="E874" s="174"/>
      <c r="F874" s="175"/>
      <c r="G874" s="176"/>
      <c r="H874" s="177"/>
      <c r="I874" s="178"/>
      <c r="J874" s="179" t="str">
        <f t="shared" si="41"/>
        <v/>
      </c>
      <c r="K874" s="180"/>
      <c r="L874" s="181">
        <f t="shared" si="42"/>
        <v>0</v>
      </c>
      <c r="M874" s="229" t="str">
        <f t="shared" si="43"/>
        <v/>
      </c>
      <c r="N874" s="232"/>
    </row>
    <row r="875" spans="1:14" ht="15" thickBot="1">
      <c r="A875" s="170"/>
      <c r="B875" s="171"/>
      <c r="C875" s="172"/>
      <c r="D875" s="173"/>
      <c r="E875" s="174"/>
      <c r="F875" s="175"/>
      <c r="G875" s="176"/>
      <c r="H875" s="177"/>
      <c r="I875" s="178"/>
      <c r="J875" s="179" t="str">
        <f t="shared" si="41"/>
        <v/>
      </c>
      <c r="K875" s="180"/>
      <c r="L875" s="181">
        <f t="shared" si="42"/>
        <v>0</v>
      </c>
      <c r="M875" s="229" t="str">
        <f t="shared" si="43"/>
        <v/>
      </c>
      <c r="N875" s="232"/>
    </row>
    <row r="876" spans="1:14" ht="15" thickBot="1">
      <c r="A876" s="170"/>
      <c r="B876" s="171"/>
      <c r="C876" s="172"/>
      <c r="D876" s="173"/>
      <c r="E876" s="174"/>
      <c r="F876" s="175"/>
      <c r="G876" s="176"/>
      <c r="H876" s="177"/>
      <c r="I876" s="178"/>
      <c r="J876" s="179" t="str">
        <f t="shared" si="41"/>
        <v/>
      </c>
      <c r="K876" s="180"/>
      <c r="L876" s="181">
        <f t="shared" si="42"/>
        <v>0</v>
      </c>
      <c r="M876" s="229" t="str">
        <f t="shared" si="43"/>
        <v/>
      </c>
      <c r="N876" s="232"/>
    </row>
    <row r="877" spans="1:14" ht="15" thickBot="1">
      <c r="A877" s="170"/>
      <c r="B877" s="171"/>
      <c r="C877" s="172"/>
      <c r="D877" s="173"/>
      <c r="E877" s="174"/>
      <c r="F877" s="175"/>
      <c r="G877" s="176"/>
      <c r="H877" s="177"/>
      <c r="I877" s="178"/>
      <c r="J877" s="179" t="str">
        <f t="shared" si="41"/>
        <v/>
      </c>
      <c r="K877" s="180"/>
      <c r="L877" s="181">
        <f t="shared" si="42"/>
        <v>0</v>
      </c>
      <c r="M877" s="229" t="str">
        <f t="shared" si="43"/>
        <v/>
      </c>
      <c r="N877" s="232"/>
    </row>
    <row r="878" spans="1:14" ht="15" thickBot="1">
      <c r="A878" s="170"/>
      <c r="B878" s="171"/>
      <c r="C878" s="172"/>
      <c r="D878" s="173"/>
      <c r="E878" s="174"/>
      <c r="F878" s="175"/>
      <c r="G878" s="176"/>
      <c r="H878" s="177"/>
      <c r="I878" s="178"/>
      <c r="J878" s="179" t="str">
        <f t="shared" si="41"/>
        <v/>
      </c>
      <c r="K878" s="180"/>
      <c r="L878" s="181">
        <f t="shared" si="42"/>
        <v>0</v>
      </c>
      <c r="M878" s="229" t="str">
        <f t="shared" si="43"/>
        <v/>
      </c>
      <c r="N878" s="232"/>
    </row>
    <row r="879" spans="1:14" ht="15" thickBot="1">
      <c r="A879" s="170"/>
      <c r="B879" s="171"/>
      <c r="C879" s="172"/>
      <c r="D879" s="173"/>
      <c r="E879" s="174"/>
      <c r="F879" s="175"/>
      <c r="G879" s="176"/>
      <c r="H879" s="177"/>
      <c r="I879" s="178"/>
      <c r="J879" s="179" t="str">
        <f t="shared" si="41"/>
        <v/>
      </c>
      <c r="K879" s="180"/>
      <c r="L879" s="181">
        <f t="shared" si="42"/>
        <v>0</v>
      </c>
      <c r="M879" s="229" t="str">
        <f t="shared" si="43"/>
        <v/>
      </c>
      <c r="N879" s="232"/>
    </row>
    <row r="880" spans="1:14" ht="15" thickBot="1">
      <c r="A880" s="170"/>
      <c r="B880" s="171"/>
      <c r="C880" s="172"/>
      <c r="D880" s="173"/>
      <c r="E880" s="174"/>
      <c r="F880" s="175"/>
      <c r="G880" s="176"/>
      <c r="H880" s="177"/>
      <c r="I880" s="178"/>
      <c r="J880" s="179" t="str">
        <f t="shared" si="41"/>
        <v/>
      </c>
      <c r="K880" s="180"/>
      <c r="L880" s="181">
        <f t="shared" si="42"/>
        <v>0</v>
      </c>
      <c r="M880" s="229" t="str">
        <f t="shared" si="43"/>
        <v/>
      </c>
      <c r="N880" s="232"/>
    </row>
    <row r="881" spans="1:14" ht="15" thickBot="1">
      <c r="A881" s="170"/>
      <c r="B881" s="171"/>
      <c r="C881" s="172"/>
      <c r="D881" s="173"/>
      <c r="E881" s="174"/>
      <c r="F881" s="175"/>
      <c r="G881" s="176"/>
      <c r="H881" s="177"/>
      <c r="I881" s="178"/>
      <c r="J881" s="179" t="str">
        <f t="shared" si="41"/>
        <v/>
      </c>
      <c r="K881" s="180"/>
      <c r="L881" s="181">
        <f t="shared" si="42"/>
        <v>0</v>
      </c>
      <c r="M881" s="229" t="str">
        <f t="shared" si="43"/>
        <v/>
      </c>
      <c r="N881" s="232"/>
    </row>
    <row r="882" spans="1:14" ht="15" thickBot="1">
      <c r="A882" s="170"/>
      <c r="B882" s="171"/>
      <c r="C882" s="172"/>
      <c r="D882" s="173"/>
      <c r="E882" s="174"/>
      <c r="F882" s="175"/>
      <c r="G882" s="176"/>
      <c r="H882" s="177"/>
      <c r="I882" s="178"/>
      <c r="J882" s="179" t="str">
        <f t="shared" si="41"/>
        <v/>
      </c>
      <c r="K882" s="180"/>
      <c r="L882" s="181">
        <f t="shared" si="42"/>
        <v>0</v>
      </c>
      <c r="M882" s="229" t="str">
        <f t="shared" si="43"/>
        <v/>
      </c>
      <c r="N882" s="232"/>
    </row>
    <row r="883" spans="1:14" ht="15" thickBot="1">
      <c r="A883" s="170"/>
      <c r="B883" s="171"/>
      <c r="C883" s="172"/>
      <c r="D883" s="173"/>
      <c r="E883" s="174"/>
      <c r="F883" s="175"/>
      <c r="G883" s="176"/>
      <c r="H883" s="177"/>
      <c r="I883" s="178"/>
      <c r="J883" s="179" t="str">
        <f t="shared" si="41"/>
        <v/>
      </c>
      <c r="K883" s="180"/>
      <c r="L883" s="181">
        <f t="shared" si="42"/>
        <v>0</v>
      </c>
      <c r="M883" s="229" t="str">
        <f t="shared" si="43"/>
        <v/>
      </c>
      <c r="N883" s="232"/>
    </row>
    <row r="884" spans="1:14" ht="15" thickBot="1">
      <c r="A884" s="170"/>
      <c r="B884" s="171"/>
      <c r="C884" s="172"/>
      <c r="D884" s="173"/>
      <c r="E884" s="174"/>
      <c r="F884" s="175"/>
      <c r="G884" s="176"/>
      <c r="H884" s="177"/>
      <c r="I884" s="178"/>
      <c r="J884" s="179" t="str">
        <f t="shared" si="41"/>
        <v/>
      </c>
      <c r="K884" s="180"/>
      <c r="L884" s="181">
        <f t="shared" si="42"/>
        <v>0</v>
      </c>
      <c r="M884" s="229" t="str">
        <f t="shared" si="43"/>
        <v/>
      </c>
      <c r="N884" s="232"/>
    </row>
    <row r="885" spans="1:14" ht="15" thickBot="1">
      <c r="A885" s="170"/>
      <c r="B885" s="171"/>
      <c r="C885" s="172"/>
      <c r="D885" s="173"/>
      <c r="E885" s="174"/>
      <c r="F885" s="175"/>
      <c r="G885" s="176"/>
      <c r="H885" s="177"/>
      <c r="I885" s="178"/>
      <c r="J885" s="179" t="str">
        <f t="shared" si="41"/>
        <v/>
      </c>
      <c r="K885" s="180"/>
      <c r="L885" s="181">
        <f t="shared" si="42"/>
        <v>0</v>
      </c>
      <c r="M885" s="229" t="str">
        <f t="shared" si="43"/>
        <v/>
      </c>
      <c r="N885" s="232"/>
    </row>
    <row r="886" spans="1:14" ht="15" thickBot="1">
      <c r="A886" s="170"/>
      <c r="B886" s="171"/>
      <c r="C886" s="172"/>
      <c r="D886" s="173"/>
      <c r="E886" s="174"/>
      <c r="F886" s="175"/>
      <c r="G886" s="176"/>
      <c r="H886" s="177"/>
      <c r="I886" s="178"/>
      <c r="J886" s="179" t="str">
        <f t="shared" si="41"/>
        <v/>
      </c>
      <c r="K886" s="180"/>
      <c r="L886" s="181">
        <f t="shared" si="42"/>
        <v>0</v>
      </c>
      <c r="M886" s="229" t="str">
        <f t="shared" si="43"/>
        <v/>
      </c>
      <c r="N886" s="232"/>
    </row>
    <row r="887" spans="1:14" ht="15" thickBot="1">
      <c r="A887" s="170"/>
      <c r="B887" s="171"/>
      <c r="C887" s="172"/>
      <c r="D887" s="173"/>
      <c r="E887" s="174"/>
      <c r="F887" s="175"/>
      <c r="G887" s="176"/>
      <c r="H887" s="177"/>
      <c r="I887" s="178"/>
      <c r="J887" s="179" t="str">
        <f t="shared" si="41"/>
        <v/>
      </c>
      <c r="K887" s="180"/>
      <c r="L887" s="181">
        <f t="shared" si="42"/>
        <v>0</v>
      </c>
      <c r="M887" s="229" t="str">
        <f t="shared" si="43"/>
        <v/>
      </c>
      <c r="N887" s="232"/>
    </row>
    <row r="888" spans="1:14" ht="15" thickBot="1">
      <c r="A888" s="170"/>
      <c r="B888" s="171"/>
      <c r="C888" s="172"/>
      <c r="D888" s="173"/>
      <c r="E888" s="174"/>
      <c r="F888" s="175"/>
      <c r="G888" s="176"/>
      <c r="H888" s="177"/>
      <c r="I888" s="178"/>
      <c r="J888" s="179" t="str">
        <f t="shared" si="41"/>
        <v/>
      </c>
      <c r="K888" s="180"/>
      <c r="L888" s="181">
        <f t="shared" si="42"/>
        <v>0</v>
      </c>
      <c r="M888" s="229" t="str">
        <f t="shared" si="43"/>
        <v/>
      </c>
      <c r="N888" s="232"/>
    </row>
    <row r="889" spans="1:14" ht="15" thickBot="1">
      <c r="A889" s="170"/>
      <c r="B889" s="171"/>
      <c r="C889" s="172"/>
      <c r="D889" s="173"/>
      <c r="E889" s="174"/>
      <c r="F889" s="175"/>
      <c r="G889" s="176"/>
      <c r="H889" s="177"/>
      <c r="I889" s="178"/>
      <c r="J889" s="179" t="str">
        <f t="shared" ref="J889:J952" si="44">IF(H889 &gt; 0, I889 / H889, "")</f>
        <v/>
      </c>
      <c r="K889" s="180"/>
      <c r="L889" s="181">
        <f t="shared" ref="L889:L952" si="45">MAX(0, H889 - K889)</f>
        <v>0</v>
      </c>
      <c r="M889" s="229" t="str">
        <f t="shared" si="43"/>
        <v/>
      </c>
      <c r="N889" s="232"/>
    </row>
    <row r="890" spans="1:14" ht="15" thickBot="1">
      <c r="A890" s="170"/>
      <c r="B890" s="171"/>
      <c r="C890" s="172"/>
      <c r="D890" s="173"/>
      <c r="E890" s="174"/>
      <c r="F890" s="175"/>
      <c r="G890" s="176"/>
      <c r="H890" s="177"/>
      <c r="I890" s="178"/>
      <c r="J890" s="179" t="str">
        <f t="shared" si="44"/>
        <v/>
      </c>
      <c r="K890" s="180"/>
      <c r="L890" s="181">
        <f t="shared" si="45"/>
        <v>0</v>
      </c>
      <c r="M890" s="229" t="str">
        <f t="shared" si="43"/>
        <v/>
      </c>
      <c r="N890" s="232"/>
    </row>
    <row r="891" spans="1:14" ht="15" thickBot="1">
      <c r="A891" s="170"/>
      <c r="B891" s="171"/>
      <c r="C891" s="172"/>
      <c r="D891" s="173"/>
      <c r="E891" s="174"/>
      <c r="F891" s="175"/>
      <c r="G891" s="176"/>
      <c r="H891" s="177"/>
      <c r="I891" s="178"/>
      <c r="J891" s="179" t="str">
        <f t="shared" si="44"/>
        <v/>
      </c>
      <c r="K891" s="180"/>
      <c r="L891" s="181">
        <f t="shared" si="45"/>
        <v>0</v>
      </c>
      <c r="M891" s="229" t="str">
        <f t="shared" si="43"/>
        <v/>
      </c>
      <c r="N891" s="232"/>
    </row>
    <row r="892" spans="1:14" ht="15" thickBot="1">
      <c r="A892" s="170"/>
      <c r="B892" s="171"/>
      <c r="C892" s="172"/>
      <c r="D892" s="173"/>
      <c r="E892" s="174"/>
      <c r="F892" s="175"/>
      <c r="G892" s="176"/>
      <c r="H892" s="177"/>
      <c r="I892" s="178"/>
      <c r="J892" s="179" t="str">
        <f t="shared" si="44"/>
        <v/>
      </c>
      <c r="K892" s="180"/>
      <c r="L892" s="181">
        <f t="shared" si="45"/>
        <v>0</v>
      </c>
      <c r="M892" s="229" t="str">
        <f t="shared" si="43"/>
        <v/>
      </c>
      <c r="N892" s="232"/>
    </row>
    <row r="893" spans="1:14" ht="15" thickBot="1">
      <c r="A893" s="170"/>
      <c r="B893" s="171"/>
      <c r="C893" s="172"/>
      <c r="D893" s="173"/>
      <c r="E893" s="174"/>
      <c r="F893" s="175"/>
      <c r="G893" s="176"/>
      <c r="H893" s="177"/>
      <c r="I893" s="178"/>
      <c r="J893" s="179" t="str">
        <f t="shared" si="44"/>
        <v/>
      </c>
      <c r="K893" s="180"/>
      <c r="L893" s="181">
        <f t="shared" si="45"/>
        <v>0</v>
      </c>
      <c r="M893" s="229" t="str">
        <f t="shared" si="43"/>
        <v/>
      </c>
      <c r="N893" s="232"/>
    </row>
    <row r="894" spans="1:14" ht="15" thickBot="1">
      <c r="A894" s="170"/>
      <c r="B894" s="171"/>
      <c r="C894" s="172"/>
      <c r="D894" s="173"/>
      <c r="E894" s="174"/>
      <c r="F894" s="175"/>
      <c r="G894" s="176"/>
      <c r="H894" s="177"/>
      <c r="I894" s="178"/>
      <c r="J894" s="179" t="str">
        <f t="shared" si="44"/>
        <v/>
      </c>
      <c r="K894" s="180"/>
      <c r="L894" s="181">
        <f t="shared" si="45"/>
        <v>0</v>
      </c>
      <c r="M894" s="229" t="str">
        <f t="shared" si="43"/>
        <v/>
      </c>
      <c r="N894" s="232"/>
    </row>
    <row r="895" spans="1:14" ht="15" thickBot="1">
      <c r="A895" s="170"/>
      <c r="B895" s="171"/>
      <c r="C895" s="172"/>
      <c r="D895" s="173"/>
      <c r="E895" s="174"/>
      <c r="F895" s="175"/>
      <c r="G895" s="176"/>
      <c r="H895" s="177"/>
      <c r="I895" s="178"/>
      <c r="J895" s="179" t="str">
        <f t="shared" si="44"/>
        <v/>
      </c>
      <c r="K895" s="180"/>
      <c r="L895" s="181">
        <f t="shared" si="45"/>
        <v>0</v>
      </c>
      <c r="M895" s="229" t="str">
        <f t="shared" si="43"/>
        <v/>
      </c>
      <c r="N895" s="232"/>
    </row>
    <row r="896" spans="1:14" ht="15" thickBot="1">
      <c r="A896" s="170"/>
      <c r="B896" s="171"/>
      <c r="C896" s="172"/>
      <c r="D896" s="173"/>
      <c r="E896" s="174"/>
      <c r="F896" s="175"/>
      <c r="G896" s="176"/>
      <c r="H896" s="177"/>
      <c r="I896" s="178"/>
      <c r="J896" s="179" t="str">
        <f t="shared" si="44"/>
        <v/>
      </c>
      <c r="K896" s="180"/>
      <c r="L896" s="181">
        <f t="shared" si="45"/>
        <v>0</v>
      </c>
      <c r="M896" s="229" t="str">
        <f t="shared" si="43"/>
        <v/>
      </c>
      <c r="N896" s="232"/>
    </row>
    <row r="897" spans="1:14" ht="15" thickBot="1">
      <c r="A897" s="170"/>
      <c r="B897" s="171"/>
      <c r="C897" s="172"/>
      <c r="D897" s="173"/>
      <c r="E897" s="174"/>
      <c r="F897" s="175"/>
      <c r="G897" s="176"/>
      <c r="H897" s="177"/>
      <c r="I897" s="178"/>
      <c r="J897" s="179" t="str">
        <f t="shared" si="44"/>
        <v/>
      </c>
      <c r="K897" s="180"/>
      <c r="L897" s="181">
        <f t="shared" si="45"/>
        <v>0</v>
      </c>
      <c r="M897" s="229" t="str">
        <f t="shared" si="43"/>
        <v/>
      </c>
      <c r="N897" s="232"/>
    </row>
    <row r="898" spans="1:14" ht="15" thickBot="1">
      <c r="A898" s="170"/>
      <c r="B898" s="171"/>
      <c r="C898" s="172"/>
      <c r="D898" s="173"/>
      <c r="E898" s="174"/>
      <c r="F898" s="175"/>
      <c r="G898" s="176"/>
      <c r="H898" s="177"/>
      <c r="I898" s="178"/>
      <c r="J898" s="179" t="str">
        <f t="shared" si="44"/>
        <v/>
      </c>
      <c r="K898" s="180"/>
      <c r="L898" s="181">
        <f t="shared" si="45"/>
        <v>0</v>
      </c>
      <c r="M898" s="229" t="str">
        <f t="shared" si="43"/>
        <v/>
      </c>
      <c r="N898" s="232"/>
    </row>
    <row r="899" spans="1:14" ht="15" thickBot="1">
      <c r="A899" s="170"/>
      <c r="B899" s="171"/>
      <c r="C899" s="172"/>
      <c r="D899" s="173"/>
      <c r="E899" s="174"/>
      <c r="F899" s="175"/>
      <c r="G899" s="176"/>
      <c r="H899" s="177"/>
      <c r="I899" s="178"/>
      <c r="J899" s="179" t="str">
        <f t="shared" si="44"/>
        <v/>
      </c>
      <c r="K899" s="180"/>
      <c r="L899" s="181">
        <f t="shared" si="45"/>
        <v>0</v>
      </c>
      <c r="M899" s="229" t="str">
        <f t="shared" si="43"/>
        <v/>
      </c>
      <c r="N899" s="232"/>
    </row>
    <row r="900" spans="1:14" ht="15" thickBot="1">
      <c r="A900" s="170"/>
      <c r="B900" s="171"/>
      <c r="C900" s="172"/>
      <c r="D900" s="173"/>
      <c r="E900" s="174"/>
      <c r="F900" s="175"/>
      <c r="G900" s="176"/>
      <c r="H900" s="177"/>
      <c r="I900" s="178"/>
      <c r="J900" s="179" t="str">
        <f t="shared" si="44"/>
        <v/>
      </c>
      <c r="K900" s="180"/>
      <c r="L900" s="181">
        <f t="shared" si="45"/>
        <v>0</v>
      </c>
      <c r="M900" s="229" t="str">
        <f t="shared" si="43"/>
        <v/>
      </c>
      <c r="N900" s="232"/>
    </row>
    <row r="901" spans="1:14" ht="15" thickBot="1">
      <c r="A901" s="170"/>
      <c r="B901" s="171"/>
      <c r="C901" s="172"/>
      <c r="D901" s="173"/>
      <c r="E901" s="174"/>
      <c r="F901" s="175"/>
      <c r="G901" s="176"/>
      <c r="H901" s="177"/>
      <c r="I901" s="178"/>
      <c r="J901" s="179" t="str">
        <f t="shared" si="44"/>
        <v/>
      </c>
      <c r="K901" s="180"/>
      <c r="L901" s="181">
        <f t="shared" si="45"/>
        <v>0</v>
      </c>
      <c r="M901" s="229" t="str">
        <f t="shared" si="43"/>
        <v/>
      </c>
      <c r="N901" s="232"/>
    </row>
    <row r="902" spans="1:14" ht="15" thickBot="1">
      <c r="A902" s="170"/>
      <c r="B902" s="171"/>
      <c r="C902" s="172"/>
      <c r="D902" s="173"/>
      <c r="E902" s="174"/>
      <c r="F902" s="175"/>
      <c r="G902" s="176"/>
      <c r="H902" s="177"/>
      <c r="I902" s="178"/>
      <c r="J902" s="179" t="str">
        <f t="shared" si="44"/>
        <v/>
      </c>
      <c r="K902" s="180"/>
      <c r="L902" s="181">
        <f t="shared" si="45"/>
        <v>0</v>
      </c>
      <c r="M902" s="229" t="str">
        <f t="shared" si="43"/>
        <v/>
      </c>
      <c r="N902" s="232"/>
    </row>
    <row r="903" spans="1:14" ht="15" thickBot="1">
      <c r="A903" s="170"/>
      <c r="B903" s="171"/>
      <c r="C903" s="172"/>
      <c r="D903" s="173"/>
      <c r="E903" s="174"/>
      <c r="F903" s="175"/>
      <c r="G903" s="176"/>
      <c r="H903" s="177"/>
      <c r="I903" s="178"/>
      <c r="J903" s="179" t="str">
        <f t="shared" si="44"/>
        <v/>
      </c>
      <c r="K903" s="180"/>
      <c r="L903" s="181">
        <f t="shared" si="45"/>
        <v>0</v>
      </c>
      <c r="M903" s="229" t="str">
        <f t="shared" si="43"/>
        <v/>
      </c>
      <c r="N903" s="232"/>
    </row>
    <row r="904" spans="1:14" ht="15" thickBot="1">
      <c r="A904" s="170"/>
      <c r="B904" s="171"/>
      <c r="C904" s="172"/>
      <c r="D904" s="173"/>
      <c r="E904" s="174"/>
      <c r="F904" s="175"/>
      <c r="G904" s="176"/>
      <c r="H904" s="177"/>
      <c r="I904" s="178"/>
      <c r="J904" s="179" t="str">
        <f t="shared" si="44"/>
        <v/>
      </c>
      <c r="K904" s="180"/>
      <c r="L904" s="181">
        <f t="shared" si="45"/>
        <v>0</v>
      </c>
      <c r="M904" s="229" t="str">
        <f t="shared" si="43"/>
        <v/>
      </c>
      <c r="N904" s="232"/>
    </row>
    <row r="905" spans="1:14" ht="15" thickBot="1">
      <c r="A905" s="170"/>
      <c r="B905" s="171"/>
      <c r="C905" s="172"/>
      <c r="D905" s="173"/>
      <c r="E905" s="174"/>
      <c r="F905" s="175"/>
      <c r="G905" s="176"/>
      <c r="H905" s="177"/>
      <c r="I905" s="178"/>
      <c r="J905" s="179" t="str">
        <f t="shared" si="44"/>
        <v/>
      </c>
      <c r="K905" s="180"/>
      <c r="L905" s="181">
        <f t="shared" si="45"/>
        <v>0</v>
      </c>
      <c r="M905" s="229" t="str">
        <f t="shared" si="43"/>
        <v/>
      </c>
      <c r="N905" s="232"/>
    </row>
    <row r="906" spans="1:14" ht="15" thickBot="1">
      <c r="A906" s="170"/>
      <c r="B906" s="171"/>
      <c r="C906" s="172"/>
      <c r="D906" s="173"/>
      <c r="E906" s="174"/>
      <c r="F906" s="175"/>
      <c r="G906" s="176"/>
      <c r="H906" s="177"/>
      <c r="I906" s="178"/>
      <c r="J906" s="179" t="str">
        <f t="shared" si="44"/>
        <v/>
      </c>
      <c r="K906" s="180"/>
      <c r="L906" s="181">
        <f t="shared" si="45"/>
        <v>0</v>
      </c>
      <c r="M906" s="229" t="str">
        <f t="shared" si="43"/>
        <v/>
      </c>
      <c r="N906" s="232"/>
    </row>
    <row r="907" spans="1:14" ht="15" thickBot="1">
      <c r="A907" s="170"/>
      <c r="B907" s="171"/>
      <c r="C907" s="172"/>
      <c r="D907" s="173"/>
      <c r="E907" s="174"/>
      <c r="F907" s="175"/>
      <c r="G907" s="176"/>
      <c r="H907" s="177"/>
      <c r="I907" s="178"/>
      <c r="J907" s="179" t="str">
        <f t="shared" si="44"/>
        <v/>
      </c>
      <c r="K907" s="180"/>
      <c r="L907" s="181">
        <f t="shared" si="45"/>
        <v>0</v>
      </c>
      <c r="M907" s="229" t="str">
        <f t="shared" si="43"/>
        <v/>
      </c>
      <c r="N907" s="232"/>
    </row>
    <row r="908" spans="1:14" ht="15" thickBot="1">
      <c r="A908" s="170"/>
      <c r="B908" s="171"/>
      <c r="C908" s="172"/>
      <c r="D908" s="173"/>
      <c r="E908" s="174"/>
      <c r="F908" s="175"/>
      <c r="G908" s="176"/>
      <c r="H908" s="177"/>
      <c r="I908" s="178"/>
      <c r="J908" s="179" t="str">
        <f t="shared" si="44"/>
        <v/>
      </c>
      <c r="K908" s="180"/>
      <c r="L908" s="181">
        <f t="shared" si="45"/>
        <v>0</v>
      </c>
      <c r="M908" s="229" t="str">
        <f t="shared" si="43"/>
        <v/>
      </c>
      <c r="N908" s="232"/>
    </row>
    <row r="909" spans="1:14" ht="15" thickBot="1">
      <c r="A909" s="170"/>
      <c r="B909" s="171"/>
      <c r="C909" s="172"/>
      <c r="D909" s="173"/>
      <c r="E909" s="174"/>
      <c r="F909" s="175"/>
      <c r="G909" s="176"/>
      <c r="H909" s="177"/>
      <c r="I909" s="178"/>
      <c r="J909" s="179" t="str">
        <f t="shared" si="44"/>
        <v/>
      </c>
      <c r="K909" s="180"/>
      <c r="L909" s="181">
        <f t="shared" si="45"/>
        <v>0</v>
      </c>
      <c r="M909" s="229" t="str">
        <f t="shared" si="43"/>
        <v/>
      </c>
      <c r="N909" s="232"/>
    </row>
    <row r="910" spans="1:14" ht="15" thickBot="1">
      <c r="A910" s="170"/>
      <c r="B910" s="171"/>
      <c r="C910" s="172"/>
      <c r="D910" s="173"/>
      <c r="E910" s="174"/>
      <c r="F910" s="175"/>
      <c r="G910" s="176"/>
      <c r="H910" s="177"/>
      <c r="I910" s="178"/>
      <c r="J910" s="179" t="str">
        <f t="shared" si="44"/>
        <v/>
      </c>
      <c r="K910" s="180"/>
      <c r="L910" s="181">
        <f t="shared" si="45"/>
        <v>0</v>
      </c>
      <c r="M910" s="229" t="str">
        <f t="shared" ref="M910:M973" si="46">IF(J910 &lt;&gt; "", J910 * L910, "")</f>
        <v/>
      </c>
      <c r="N910" s="232"/>
    </row>
    <row r="911" spans="1:14" ht="15" thickBot="1">
      <c r="A911" s="170"/>
      <c r="B911" s="171"/>
      <c r="C911" s="172"/>
      <c r="D911" s="173"/>
      <c r="E911" s="174"/>
      <c r="F911" s="175"/>
      <c r="G911" s="176"/>
      <c r="H911" s="177"/>
      <c r="I911" s="178"/>
      <c r="J911" s="179" t="str">
        <f t="shared" si="44"/>
        <v/>
      </c>
      <c r="K911" s="180"/>
      <c r="L911" s="181">
        <f t="shared" si="45"/>
        <v>0</v>
      </c>
      <c r="M911" s="229" t="str">
        <f t="shared" si="46"/>
        <v/>
      </c>
      <c r="N911" s="232"/>
    </row>
    <row r="912" spans="1:14" ht="15" thickBot="1">
      <c r="A912" s="170"/>
      <c r="B912" s="171"/>
      <c r="C912" s="172"/>
      <c r="D912" s="173"/>
      <c r="E912" s="174"/>
      <c r="F912" s="175"/>
      <c r="G912" s="176"/>
      <c r="H912" s="177"/>
      <c r="I912" s="178"/>
      <c r="J912" s="179" t="str">
        <f t="shared" si="44"/>
        <v/>
      </c>
      <c r="K912" s="180"/>
      <c r="L912" s="181">
        <f t="shared" si="45"/>
        <v>0</v>
      </c>
      <c r="M912" s="229" t="str">
        <f t="shared" si="46"/>
        <v/>
      </c>
      <c r="N912" s="232"/>
    </row>
    <row r="913" spans="1:14" ht="15" thickBot="1">
      <c r="A913" s="170"/>
      <c r="B913" s="171"/>
      <c r="C913" s="172"/>
      <c r="D913" s="173"/>
      <c r="E913" s="174"/>
      <c r="F913" s="175"/>
      <c r="G913" s="176"/>
      <c r="H913" s="177"/>
      <c r="I913" s="178"/>
      <c r="J913" s="179" t="str">
        <f t="shared" si="44"/>
        <v/>
      </c>
      <c r="K913" s="180"/>
      <c r="L913" s="181">
        <f t="shared" si="45"/>
        <v>0</v>
      </c>
      <c r="M913" s="229" t="str">
        <f t="shared" si="46"/>
        <v/>
      </c>
      <c r="N913" s="232"/>
    </row>
    <row r="914" spans="1:14" ht="15" thickBot="1">
      <c r="A914" s="170"/>
      <c r="B914" s="171"/>
      <c r="C914" s="172"/>
      <c r="D914" s="173"/>
      <c r="E914" s="174"/>
      <c r="F914" s="175"/>
      <c r="G914" s="176"/>
      <c r="H914" s="177"/>
      <c r="I914" s="178"/>
      <c r="J914" s="179" t="str">
        <f t="shared" si="44"/>
        <v/>
      </c>
      <c r="K914" s="180"/>
      <c r="L914" s="181">
        <f t="shared" si="45"/>
        <v>0</v>
      </c>
      <c r="M914" s="229" t="str">
        <f t="shared" si="46"/>
        <v/>
      </c>
      <c r="N914" s="232"/>
    </row>
    <row r="915" spans="1:14" ht="15" thickBot="1">
      <c r="A915" s="170"/>
      <c r="B915" s="171"/>
      <c r="C915" s="172"/>
      <c r="D915" s="173"/>
      <c r="E915" s="174"/>
      <c r="F915" s="175"/>
      <c r="G915" s="176"/>
      <c r="H915" s="177"/>
      <c r="I915" s="178"/>
      <c r="J915" s="179" t="str">
        <f t="shared" si="44"/>
        <v/>
      </c>
      <c r="K915" s="180"/>
      <c r="L915" s="181">
        <f t="shared" si="45"/>
        <v>0</v>
      </c>
      <c r="M915" s="229" t="str">
        <f t="shared" si="46"/>
        <v/>
      </c>
      <c r="N915" s="232"/>
    </row>
    <row r="916" spans="1:14" ht="15" thickBot="1">
      <c r="A916" s="170"/>
      <c r="B916" s="171"/>
      <c r="C916" s="172"/>
      <c r="D916" s="173"/>
      <c r="E916" s="174"/>
      <c r="F916" s="175"/>
      <c r="G916" s="176"/>
      <c r="H916" s="177"/>
      <c r="I916" s="178"/>
      <c r="J916" s="179" t="str">
        <f t="shared" si="44"/>
        <v/>
      </c>
      <c r="K916" s="180"/>
      <c r="L916" s="181">
        <f t="shared" si="45"/>
        <v>0</v>
      </c>
      <c r="M916" s="229" t="str">
        <f t="shared" si="46"/>
        <v/>
      </c>
      <c r="N916" s="232"/>
    </row>
    <row r="917" spans="1:14" ht="15" thickBot="1">
      <c r="A917" s="170"/>
      <c r="B917" s="171"/>
      <c r="C917" s="172"/>
      <c r="D917" s="173"/>
      <c r="E917" s="174"/>
      <c r="F917" s="175"/>
      <c r="G917" s="176"/>
      <c r="H917" s="177"/>
      <c r="I917" s="178"/>
      <c r="J917" s="179" t="str">
        <f t="shared" si="44"/>
        <v/>
      </c>
      <c r="K917" s="180"/>
      <c r="L917" s="181">
        <f t="shared" si="45"/>
        <v>0</v>
      </c>
      <c r="M917" s="229" t="str">
        <f t="shared" si="46"/>
        <v/>
      </c>
      <c r="N917" s="232"/>
    </row>
    <row r="918" spans="1:14" ht="15" thickBot="1">
      <c r="A918" s="170"/>
      <c r="B918" s="171"/>
      <c r="C918" s="172"/>
      <c r="D918" s="173"/>
      <c r="E918" s="174"/>
      <c r="F918" s="175"/>
      <c r="G918" s="176"/>
      <c r="H918" s="177"/>
      <c r="I918" s="178"/>
      <c r="J918" s="179" t="str">
        <f t="shared" si="44"/>
        <v/>
      </c>
      <c r="K918" s="180"/>
      <c r="L918" s="181">
        <f t="shared" si="45"/>
        <v>0</v>
      </c>
      <c r="M918" s="229" t="str">
        <f t="shared" si="46"/>
        <v/>
      </c>
      <c r="N918" s="232"/>
    </row>
    <row r="919" spans="1:14" ht="15" thickBot="1">
      <c r="A919" s="170"/>
      <c r="B919" s="171"/>
      <c r="C919" s="172"/>
      <c r="D919" s="173"/>
      <c r="E919" s="174"/>
      <c r="F919" s="175"/>
      <c r="G919" s="176"/>
      <c r="H919" s="177"/>
      <c r="I919" s="178"/>
      <c r="J919" s="179" t="str">
        <f t="shared" si="44"/>
        <v/>
      </c>
      <c r="K919" s="180"/>
      <c r="L919" s="181">
        <f t="shared" si="45"/>
        <v>0</v>
      </c>
      <c r="M919" s="229" t="str">
        <f t="shared" si="46"/>
        <v/>
      </c>
      <c r="N919" s="232"/>
    </row>
    <row r="920" spans="1:14" ht="15" thickBot="1">
      <c r="A920" s="170"/>
      <c r="B920" s="171"/>
      <c r="C920" s="172"/>
      <c r="D920" s="173"/>
      <c r="E920" s="174"/>
      <c r="F920" s="175"/>
      <c r="G920" s="176"/>
      <c r="H920" s="177"/>
      <c r="I920" s="178"/>
      <c r="J920" s="179" t="str">
        <f t="shared" si="44"/>
        <v/>
      </c>
      <c r="K920" s="180"/>
      <c r="L920" s="181">
        <f t="shared" si="45"/>
        <v>0</v>
      </c>
      <c r="M920" s="229" t="str">
        <f t="shared" si="46"/>
        <v/>
      </c>
      <c r="N920" s="232"/>
    </row>
    <row r="921" spans="1:14" ht="15" thickBot="1">
      <c r="A921" s="170"/>
      <c r="B921" s="171"/>
      <c r="C921" s="172"/>
      <c r="D921" s="173"/>
      <c r="E921" s="174"/>
      <c r="F921" s="175"/>
      <c r="G921" s="176"/>
      <c r="H921" s="177"/>
      <c r="I921" s="178"/>
      <c r="J921" s="179" t="str">
        <f t="shared" si="44"/>
        <v/>
      </c>
      <c r="K921" s="180"/>
      <c r="L921" s="181">
        <f t="shared" si="45"/>
        <v>0</v>
      </c>
      <c r="M921" s="229" t="str">
        <f t="shared" si="46"/>
        <v/>
      </c>
      <c r="N921" s="232"/>
    </row>
    <row r="922" spans="1:14" ht="15" thickBot="1">
      <c r="A922" s="170"/>
      <c r="B922" s="171"/>
      <c r="C922" s="172"/>
      <c r="D922" s="173"/>
      <c r="E922" s="174"/>
      <c r="F922" s="175"/>
      <c r="G922" s="176"/>
      <c r="H922" s="177"/>
      <c r="I922" s="178"/>
      <c r="J922" s="179" t="str">
        <f t="shared" si="44"/>
        <v/>
      </c>
      <c r="K922" s="180"/>
      <c r="L922" s="181">
        <f t="shared" si="45"/>
        <v>0</v>
      </c>
      <c r="M922" s="229" t="str">
        <f t="shared" si="46"/>
        <v/>
      </c>
      <c r="N922" s="232"/>
    </row>
    <row r="923" spans="1:14" ht="15" thickBot="1">
      <c r="A923" s="170"/>
      <c r="B923" s="171"/>
      <c r="C923" s="172"/>
      <c r="D923" s="173"/>
      <c r="E923" s="174"/>
      <c r="F923" s="175"/>
      <c r="G923" s="176"/>
      <c r="H923" s="177"/>
      <c r="I923" s="178"/>
      <c r="J923" s="179" t="str">
        <f t="shared" si="44"/>
        <v/>
      </c>
      <c r="K923" s="180"/>
      <c r="L923" s="181">
        <f t="shared" si="45"/>
        <v>0</v>
      </c>
      <c r="M923" s="229" t="str">
        <f t="shared" si="46"/>
        <v/>
      </c>
      <c r="N923" s="232"/>
    </row>
    <row r="924" spans="1:14" ht="15" thickBot="1">
      <c r="A924" s="170"/>
      <c r="B924" s="171"/>
      <c r="C924" s="172"/>
      <c r="D924" s="173"/>
      <c r="E924" s="174"/>
      <c r="F924" s="175"/>
      <c r="G924" s="176"/>
      <c r="H924" s="177"/>
      <c r="I924" s="178"/>
      <c r="J924" s="179" t="str">
        <f t="shared" si="44"/>
        <v/>
      </c>
      <c r="K924" s="180"/>
      <c r="L924" s="181">
        <f t="shared" si="45"/>
        <v>0</v>
      </c>
      <c r="M924" s="229" t="str">
        <f t="shared" si="46"/>
        <v/>
      </c>
      <c r="N924" s="232"/>
    </row>
    <row r="925" spans="1:14" ht="15" thickBot="1">
      <c r="A925" s="170"/>
      <c r="B925" s="171"/>
      <c r="C925" s="172"/>
      <c r="D925" s="173"/>
      <c r="E925" s="174"/>
      <c r="F925" s="175"/>
      <c r="G925" s="176"/>
      <c r="H925" s="177"/>
      <c r="I925" s="178"/>
      <c r="J925" s="179" t="str">
        <f t="shared" si="44"/>
        <v/>
      </c>
      <c r="K925" s="180"/>
      <c r="L925" s="181">
        <f t="shared" si="45"/>
        <v>0</v>
      </c>
      <c r="M925" s="229" t="str">
        <f t="shared" si="46"/>
        <v/>
      </c>
      <c r="N925" s="232"/>
    </row>
    <row r="926" spans="1:14" ht="15" thickBot="1">
      <c r="A926" s="170"/>
      <c r="B926" s="171"/>
      <c r="C926" s="172"/>
      <c r="D926" s="173"/>
      <c r="E926" s="174"/>
      <c r="F926" s="175"/>
      <c r="G926" s="176"/>
      <c r="H926" s="177"/>
      <c r="I926" s="178"/>
      <c r="J926" s="179" t="str">
        <f t="shared" si="44"/>
        <v/>
      </c>
      <c r="K926" s="180"/>
      <c r="L926" s="181">
        <f t="shared" si="45"/>
        <v>0</v>
      </c>
      <c r="M926" s="229" t="str">
        <f t="shared" si="46"/>
        <v/>
      </c>
      <c r="N926" s="232"/>
    </row>
    <row r="927" spans="1:14" ht="15" thickBot="1">
      <c r="A927" s="170"/>
      <c r="B927" s="171"/>
      <c r="C927" s="172"/>
      <c r="D927" s="173"/>
      <c r="E927" s="174"/>
      <c r="F927" s="175"/>
      <c r="G927" s="176"/>
      <c r="H927" s="177"/>
      <c r="I927" s="178"/>
      <c r="J927" s="179" t="str">
        <f t="shared" si="44"/>
        <v/>
      </c>
      <c r="K927" s="180"/>
      <c r="L927" s="181">
        <f t="shared" si="45"/>
        <v>0</v>
      </c>
      <c r="M927" s="229" t="str">
        <f t="shared" si="46"/>
        <v/>
      </c>
      <c r="N927" s="232"/>
    </row>
    <row r="928" spans="1:14" ht="15" thickBot="1">
      <c r="A928" s="170"/>
      <c r="B928" s="171"/>
      <c r="C928" s="172"/>
      <c r="D928" s="173"/>
      <c r="E928" s="174"/>
      <c r="F928" s="175"/>
      <c r="G928" s="176"/>
      <c r="H928" s="177"/>
      <c r="I928" s="178"/>
      <c r="J928" s="179" t="str">
        <f t="shared" si="44"/>
        <v/>
      </c>
      <c r="K928" s="180"/>
      <c r="L928" s="181">
        <f t="shared" si="45"/>
        <v>0</v>
      </c>
      <c r="M928" s="229" t="str">
        <f t="shared" si="46"/>
        <v/>
      </c>
      <c r="N928" s="232"/>
    </row>
    <row r="929" spans="1:14" ht="15" thickBot="1">
      <c r="A929" s="170"/>
      <c r="B929" s="171"/>
      <c r="C929" s="172"/>
      <c r="D929" s="173"/>
      <c r="E929" s="174"/>
      <c r="F929" s="175"/>
      <c r="G929" s="176"/>
      <c r="H929" s="177"/>
      <c r="I929" s="178"/>
      <c r="J929" s="179" t="str">
        <f t="shared" si="44"/>
        <v/>
      </c>
      <c r="K929" s="180"/>
      <c r="L929" s="181">
        <f t="shared" si="45"/>
        <v>0</v>
      </c>
      <c r="M929" s="229" t="str">
        <f t="shared" si="46"/>
        <v/>
      </c>
      <c r="N929" s="232"/>
    </row>
    <row r="930" spans="1:14" ht="15" thickBot="1">
      <c r="A930" s="170"/>
      <c r="B930" s="171"/>
      <c r="C930" s="172"/>
      <c r="D930" s="173"/>
      <c r="E930" s="174"/>
      <c r="F930" s="175"/>
      <c r="G930" s="176"/>
      <c r="H930" s="177"/>
      <c r="I930" s="178"/>
      <c r="J930" s="179" t="str">
        <f t="shared" si="44"/>
        <v/>
      </c>
      <c r="K930" s="180"/>
      <c r="L930" s="181">
        <f t="shared" si="45"/>
        <v>0</v>
      </c>
      <c r="M930" s="229" t="str">
        <f t="shared" si="46"/>
        <v/>
      </c>
      <c r="N930" s="232"/>
    </row>
    <row r="931" spans="1:14" ht="15" thickBot="1">
      <c r="A931" s="170"/>
      <c r="B931" s="171"/>
      <c r="C931" s="172"/>
      <c r="D931" s="173"/>
      <c r="E931" s="174"/>
      <c r="F931" s="175"/>
      <c r="G931" s="176"/>
      <c r="H931" s="177"/>
      <c r="I931" s="178"/>
      <c r="J931" s="179" t="str">
        <f t="shared" si="44"/>
        <v/>
      </c>
      <c r="K931" s="180"/>
      <c r="L931" s="181">
        <f t="shared" si="45"/>
        <v>0</v>
      </c>
      <c r="M931" s="229" t="str">
        <f t="shared" si="46"/>
        <v/>
      </c>
      <c r="N931" s="232"/>
    </row>
    <row r="932" spans="1:14" ht="15" thickBot="1">
      <c r="A932" s="170"/>
      <c r="B932" s="171"/>
      <c r="C932" s="172"/>
      <c r="D932" s="173"/>
      <c r="E932" s="174"/>
      <c r="F932" s="175"/>
      <c r="G932" s="176"/>
      <c r="H932" s="177"/>
      <c r="I932" s="178"/>
      <c r="J932" s="179" t="str">
        <f t="shared" si="44"/>
        <v/>
      </c>
      <c r="K932" s="180"/>
      <c r="L932" s="181">
        <f t="shared" si="45"/>
        <v>0</v>
      </c>
      <c r="M932" s="229" t="str">
        <f t="shared" si="46"/>
        <v/>
      </c>
      <c r="N932" s="232"/>
    </row>
    <row r="933" spans="1:14" ht="15" thickBot="1">
      <c r="A933" s="170"/>
      <c r="B933" s="171"/>
      <c r="C933" s="172"/>
      <c r="D933" s="173"/>
      <c r="E933" s="174"/>
      <c r="F933" s="175"/>
      <c r="G933" s="176"/>
      <c r="H933" s="177"/>
      <c r="I933" s="178"/>
      <c r="J933" s="179" t="str">
        <f t="shared" si="44"/>
        <v/>
      </c>
      <c r="K933" s="180"/>
      <c r="L933" s="181">
        <f t="shared" si="45"/>
        <v>0</v>
      </c>
      <c r="M933" s="229" t="str">
        <f t="shared" si="46"/>
        <v/>
      </c>
      <c r="N933" s="232"/>
    </row>
    <row r="934" spans="1:14" ht="15" thickBot="1">
      <c r="A934" s="170"/>
      <c r="B934" s="171"/>
      <c r="C934" s="172"/>
      <c r="D934" s="173"/>
      <c r="E934" s="174"/>
      <c r="F934" s="175"/>
      <c r="G934" s="176"/>
      <c r="H934" s="177"/>
      <c r="I934" s="178"/>
      <c r="J934" s="179" t="str">
        <f t="shared" si="44"/>
        <v/>
      </c>
      <c r="K934" s="180"/>
      <c r="L934" s="181">
        <f t="shared" si="45"/>
        <v>0</v>
      </c>
      <c r="M934" s="229" t="str">
        <f t="shared" si="46"/>
        <v/>
      </c>
      <c r="N934" s="232"/>
    </row>
    <row r="935" spans="1:14" ht="15" thickBot="1">
      <c r="A935" s="170"/>
      <c r="B935" s="171"/>
      <c r="C935" s="172"/>
      <c r="D935" s="173"/>
      <c r="E935" s="174"/>
      <c r="F935" s="175"/>
      <c r="G935" s="176"/>
      <c r="H935" s="177"/>
      <c r="I935" s="178"/>
      <c r="J935" s="179" t="str">
        <f t="shared" si="44"/>
        <v/>
      </c>
      <c r="K935" s="180"/>
      <c r="L935" s="181">
        <f t="shared" si="45"/>
        <v>0</v>
      </c>
      <c r="M935" s="229" t="str">
        <f t="shared" si="46"/>
        <v/>
      </c>
      <c r="N935" s="232"/>
    </row>
    <row r="936" spans="1:14" ht="15" thickBot="1">
      <c r="A936" s="170"/>
      <c r="B936" s="171"/>
      <c r="C936" s="172"/>
      <c r="D936" s="173"/>
      <c r="E936" s="174"/>
      <c r="F936" s="175"/>
      <c r="G936" s="176"/>
      <c r="H936" s="177"/>
      <c r="I936" s="178"/>
      <c r="J936" s="179" t="str">
        <f t="shared" si="44"/>
        <v/>
      </c>
      <c r="K936" s="180"/>
      <c r="L936" s="181">
        <f t="shared" si="45"/>
        <v>0</v>
      </c>
      <c r="M936" s="229" t="str">
        <f t="shared" si="46"/>
        <v/>
      </c>
      <c r="N936" s="232"/>
    </row>
    <row r="937" spans="1:14" ht="15" thickBot="1">
      <c r="A937" s="170"/>
      <c r="B937" s="171"/>
      <c r="C937" s="172"/>
      <c r="D937" s="173"/>
      <c r="E937" s="174"/>
      <c r="F937" s="175"/>
      <c r="G937" s="176"/>
      <c r="H937" s="177"/>
      <c r="I937" s="178"/>
      <c r="J937" s="179" t="str">
        <f t="shared" si="44"/>
        <v/>
      </c>
      <c r="K937" s="180"/>
      <c r="L937" s="181">
        <f t="shared" si="45"/>
        <v>0</v>
      </c>
      <c r="M937" s="229" t="str">
        <f t="shared" si="46"/>
        <v/>
      </c>
      <c r="N937" s="232"/>
    </row>
    <row r="938" spans="1:14" ht="15" thickBot="1">
      <c r="A938" s="170"/>
      <c r="B938" s="171"/>
      <c r="C938" s="172"/>
      <c r="D938" s="173"/>
      <c r="E938" s="174"/>
      <c r="F938" s="175"/>
      <c r="G938" s="176"/>
      <c r="H938" s="177"/>
      <c r="I938" s="178"/>
      <c r="J938" s="179" t="str">
        <f t="shared" si="44"/>
        <v/>
      </c>
      <c r="K938" s="180"/>
      <c r="L938" s="181">
        <f t="shared" si="45"/>
        <v>0</v>
      </c>
      <c r="M938" s="229" t="str">
        <f t="shared" si="46"/>
        <v/>
      </c>
      <c r="N938" s="232"/>
    </row>
    <row r="939" spans="1:14" ht="15" thickBot="1">
      <c r="A939" s="170"/>
      <c r="B939" s="171"/>
      <c r="C939" s="172"/>
      <c r="D939" s="173"/>
      <c r="E939" s="174"/>
      <c r="F939" s="175"/>
      <c r="G939" s="176"/>
      <c r="H939" s="177"/>
      <c r="I939" s="178"/>
      <c r="J939" s="179" t="str">
        <f t="shared" si="44"/>
        <v/>
      </c>
      <c r="K939" s="180"/>
      <c r="L939" s="181">
        <f t="shared" si="45"/>
        <v>0</v>
      </c>
      <c r="M939" s="229" t="str">
        <f t="shared" si="46"/>
        <v/>
      </c>
      <c r="N939" s="232"/>
    </row>
    <row r="940" spans="1:14" ht="15" thickBot="1">
      <c r="A940" s="170"/>
      <c r="B940" s="171"/>
      <c r="C940" s="172"/>
      <c r="D940" s="173"/>
      <c r="E940" s="174"/>
      <c r="F940" s="175"/>
      <c r="G940" s="176"/>
      <c r="H940" s="177"/>
      <c r="I940" s="178"/>
      <c r="J940" s="179" t="str">
        <f t="shared" si="44"/>
        <v/>
      </c>
      <c r="K940" s="180"/>
      <c r="L940" s="181">
        <f t="shared" si="45"/>
        <v>0</v>
      </c>
      <c r="M940" s="229" t="str">
        <f t="shared" si="46"/>
        <v/>
      </c>
      <c r="N940" s="232"/>
    </row>
    <row r="941" spans="1:14" ht="15" thickBot="1">
      <c r="A941" s="170"/>
      <c r="B941" s="171"/>
      <c r="C941" s="172"/>
      <c r="D941" s="173"/>
      <c r="E941" s="174"/>
      <c r="F941" s="175"/>
      <c r="G941" s="176"/>
      <c r="H941" s="177"/>
      <c r="I941" s="178"/>
      <c r="J941" s="179" t="str">
        <f t="shared" si="44"/>
        <v/>
      </c>
      <c r="K941" s="180"/>
      <c r="L941" s="181">
        <f t="shared" si="45"/>
        <v>0</v>
      </c>
      <c r="M941" s="229" t="str">
        <f t="shared" si="46"/>
        <v/>
      </c>
      <c r="N941" s="232"/>
    </row>
    <row r="942" spans="1:14" ht="15" thickBot="1">
      <c r="A942" s="170"/>
      <c r="B942" s="171"/>
      <c r="C942" s="172"/>
      <c r="D942" s="173"/>
      <c r="E942" s="174"/>
      <c r="F942" s="175"/>
      <c r="G942" s="176"/>
      <c r="H942" s="177"/>
      <c r="I942" s="178"/>
      <c r="J942" s="179" t="str">
        <f t="shared" si="44"/>
        <v/>
      </c>
      <c r="K942" s="180"/>
      <c r="L942" s="181">
        <f t="shared" si="45"/>
        <v>0</v>
      </c>
      <c r="M942" s="229" t="str">
        <f t="shared" si="46"/>
        <v/>
      </c>
      <c r="N942" s="232"/>
    </row>
    <row r="943" spans="1:14" ht="15" thickBot="1">
      <c r="A943" s="170"/>
      <c r="B943" s="171"/>
      <c r="C943" s="172"/>
      <c r="D943" s="173"/>
      <c r="E943" s="174"/>
      <c r="F943" s="175"/>
      <c r="G943" s="176"/>
      <c r="H943" s="177"/>
      <c r="I943" s="178"/>
      <c r="J943" s="179" t="str">
        <f t="shared" si="44"/>
        <v/>
      </c>
      <c r="K943" s="180"/>
      <c r="L943" s="181">
        <f t="shared" si="45"/>
        <v>0</v>
      </c>
      <c r="M943" s="229" t="str">
        <f t="shared" si="46"/>
        <v/>
      </c>
      <c r="N943" s="232"/>
    </row>
    <row r="944" spans="1:14" ht="15" thickBot="1">
      <c r="A944" s="170"/>
      <c r="B944" s="171"/>
      <c r="C944" s="172"/>
      <c r="D944" s="173"/>
      <c r="E944" s="174"/>
      <c r="F944" s="175"/>
      <c r="G944" s="176"/>
      <c r="H944" s="177"/>
      <c r="I944" s="178"/>
      <c r="J944" s="179" t="str">
        <f t="shared" si="44"/>
        <v/>
      </c>
      <c r="K944" s="180"/>
      <c r="L944" s="181">
        <f t="shared" si="45"/>
        <v>0</v>
      </c>
      <c r="M944" s="229" t="str">
        <f t="shared" si="46"/>
        <v/>
      </c>
      <c r="N944" s="232"/>
    </row>
    <row r="945" spans="1:14" ht="15" thickBot="1">
      <c r="A945" s="170"/>
      <c r="B945" s="171"/>
      <c r="C945" s="172"/>
      <c r="D945" s="173"/>
      <c r="E945" s="174"/>
      <c r="F945" s="175"/>
      <c r="G945" s="176"/>
      <c r="H945" s="177"/>
      <c r="I945" s="178"/>
      <c r="J945" s="179" t="str">
        <f t="shared" si="44"/>
        <v/>
      </c>
      <c r="K945" s="180"/>
      <c r="L945" s="181">
        <f t="shared" si="45"/>
        <v>0</v>
      </c>
      <c r="M945" s="229" t="str">
        <f t="shared" si="46"/>
        <v/>
      </c>
      <c r="N945" s="232"/>
    </row>
    <row r="946" spans="1:14" ht="15" thickBot="1">
      <c r="A946" s="170"/>
      <c r="B946" s="171"/>
      <c r="C946" s="172"/>
      <c r="D946" s="173"/>
      <c r="E946" s="174"/>
      <c r="F946" s="175"/>
      <c r="G946" s="176"/>
      <c r="H946" s="177"/>
      <c r="I946" s="178"/>
      <c r="J946" s="179" t="str">
        <f t="shared" si="44"/>
        <v/>
      </c>
      <c r="K946" s="180"/>
      <c r="L946" s="181">
        <f t="shared" si="45"/>
        <v>0</v>
      </c>
      <c r="M946" s="229" t="str">
        <f t="shared" si="46"/>
        <v/>
      </c>
      <c r="N946" s="232"/>
    </row>
    <row r="947" spans="1:14" ht="15" thickBot="1">
      <c r="A947" s="170"/>
      <c r="B947" s="171"/>
      <c r="C947" s="172"/>
      <c r="D947" s="173"/>
      <c r="E947" s="174"/>
      <c r="F947" s="175"/>
      <c r="G947" s="176"/>
      <c r="H947" s="177"/>
      <c r="I947" s="178"/>
      <c r="J947" s="179" t="str">
        <f t="shared" si="44"/>
        <v/>
      </c>
      <c r="K947" s="180"/>
      <c r="L947" s="181">
        <f t="shared" si="45"/>
        <v>0</v>
      </c>
      <c r="M947" s="229" t="str">
        <f t="shared" si="46"/>
        <v/>
      </c>
      <c r="N947" s="232"/>
    </row>
    <row r="948" spans="1:14" ht="15" thickBot="1">
      <c r="A948" s="170"/>
      <c r="B948" s="171"/>
      <c r="C948" s="172"/>
      <c r="D948" s="173"/>
      <c r="E948" s="174"/>
      <c r="F948" s="175"/>
      <c r="G948" s="176"/>
      <c r="H948" s="177"/>
      <c r="I948" s="178"/>
      <c r="J948" s="179" t="str">
        <f t="shared" si="44"/>
        <v/>
      </c>
      <c r="K948" s="180"/>
      <c r="L948" s="181">
        <f t="shared" si="45"/>
        <v>0</v>
      </c>
      <c r="M948" s="229" t="str">
        <f t="shared" si="46"/>
        <v/>
      </c>
      <c r="N948" s="232"/>
    </row>
    <row r="949" spans="1:14" ht="15" thickBot="1">
      <c r="A949" s="170"/>
      <c r="B949" s="171"/>
      <c r="C949" s="172"/>
      <c r="D949" s="173"/>
      <c r="E949" s="174"/>
      <c r="F949" s="175"/>
      <c r="G949" s="176"/>
      <c r="H949" s="177"/>
      <c r="I949" s="178"/>
      <c r="J949" s="179" t="str">
        <f t="shared" si="44"/>
        <v/>
      </c>
      <c r="K949" s="180"/>
      <c r="L949" s="181">
        <f t="shared" si="45"/>
        <v>0</v>
      </c>
      <c r="M949" s="229" t="str">
        <f t="shared" si="46"/>
        <v/>
      </c>
      <c r="N949" s="232"/>
    </row>
    <row r="950" spans="1:14" ht="15" thickBot="1">
      <c r="A950" s="170"/>
      <c r="B950" s="171"/>
      <c r="C950" s="172"/>
      <c r="D950" s="173"/>
      <c r="E950" s="174"/>
      <c r="F950" s="175"/>
      <c r="G950" s="176"/>
      <c r="H950" s="177"/>
      <c r="I950" s="178"/>
      <c r="J950" s="179" t="str">
        <f t="shared" si="44"/>
        <v/>
      </c>
      <c r="K950" s="180"/>
      <c r="L950" s="181">
        <f t="shared" si="45"/>
        <v>0</v>
      </c>
      <c r="M950" s="229" t="str">
        <f t="shared" si="46"/>
        <v/>
      </c>
      <c r="N950" s="232"/>
    </row>
    <row r="951" spans="1:14" ht="15" thickBot="1">
      <c r="A951" s="170"/>
      <c r="B951" s="171"/>
      <c r="C951" s="172"/>
      <c r="D951" s="173"/>
      <c r="E951" s="174"/>
      <c r="F951" s="175"/>
      <c r="G951" s="176"/>
      <c r="H951" s="177"/>
      <c r="I951" s="178"/>
      <c r="J951" s="179" t="str">
        <f t="shared" si="44"/>
        <v/>
      </c>
      <c r="K951" s="180"/>
      <c r="L951" s="181">
        <f t="shared" si="45"/>
        <v>0</v>
      </c>
      <c r="M951" s="229" t="str">
        <f t="shared" si="46"/>
        <v/>
      </c>
      <c r="N951" s="232"/>
    </row>
    <row r="952" spans="1:14" ht="15" thickBot="1">
      <c r="A952" s="170"/>
      <c r="B952" s="171"/>
      <c r="C952" s="172"/>
      <c r="D952" s="173"/>
      <c r="E952" s="174"/>
      <c r="F952" s="175"/>
      <c r="G952" s="176"/>
      <c r="H952" s="177"/>
      <c r="I952" s="178"/>
      <c r="J952" s="179" t="str">
        <f t="shared" si="44"/>
        <v/>
      </c>
      <c r="K952" s="180"/>
      <c r="L952" s="181">
        <f t="shared" si="45"/>
        <v>0</v>
      </c>
      <c r="M952" s="229" t="str">
        <f t="shared" si="46"/>
        <v/>
      </c>
      <c r="N952" s="232"/>
    </row>
    <row r="953" spans="1:14" ht="15" thickBot="1">
      <c r="A953" s="170"/>
      <c r="B953" s="171"/>
      <c r="C953" s="172"/>
      <c r="D953" s="173"/>
      <c r="E953" s="174"/>
      <c r="F953" s="175"/>
      <c r="G953" s="176"/>
      <c r="H953" s="177"/>
      <c r="I953" s="178"/>
      <c r="J953" s="179" t="str">
        <f t="shared" ref="J953:J1013" si="47">IF(H953 &gt; 0, I953 / H953, "")</f>
        <v/>
      </c>
      <c r="K953" s="180"/>
      <c r="L953" s="181">
        <f t="shared" ref="L953:L1013" si="48">MAX(0, H953 - K953)</f>
        <v>0</v>
      </c>
      <c r="M953" s="229" t="str">
        <f t="shared" si="46"/>
        <v/>
      </c>
      <c r="N953" s="232"/>
    </row>
    <row r="954" spans="1:14" ht="15" thickBot="1">
      <c r="A954" s="170"/>
      <c r="B954" s="171"/>
      <c r="C954" s="172"/>
      <c r="D954" s="173"/>
      <c r="E954" s="174"/>
      <c r="F954" s="175"/>
      <c r="G954" s="176"/>
      <c r="H954" s="177"/>
      <c r="I954" s="178"/>
      <c r="J954" s="179" t="str">
        <f t="shared" si="47"/>
        <v/>
      </c>
      <c r="K954" s="180"/>
      <c r="L954" s="181">
        <f t="shared" si="48"/>
        <v>0</v>
      </c>
      <c r="M954" s="229" t="str">
        <f t="shared" si="46"/>
        <v/>
      </c>
      <c r="N954" s="232"/>
    </row>
    <row r="955" spans="1:14" ht="15" thickBot="1">
      <c r="A955" s="170"/>
      <c r="B955" s="171"/>
      <c r="C955" s="172"/>
      <c r="D955" s="173"/>
      <c r="E955" s="174"/>
      <c r="F955" s="175"/>
      <c r="G955" s="176"/>
      <c r="H955" s="177"/>
      <c r="I955" s="178"/>
      <c r="J955" s="179" t="str">
        <f t="shared" si="47"/>
        <v/>
      </c>
      <c r="K955" s="180"/>
      <c r="L955" s="181">
        <f t="shared" si="48"/>
        <v>0</v>
      </c>
      <c r="M955" s="229" t="str">
        <f t="shared" si="46"/>
        <v/>
      </c>
      <c r="N955" s="232"/>
    </row>
    <row r="956" spans="1:14" ht="15" thickBot="1">
      <c r="A956" s="170"/>
      <c r="B956" s="171"/>
      <c r="C956" s="172"/>
      <c r="D956" s="173"/>
      <c r="E956" s="174"/>
      <c r="F956" s="175"/>
      <c r="G956" s="176"/>
      <c r="H956" s="177"/>
      <c r="I956" s="178"/>
      <c r="J956" s="179" t="str">
        <f t="shared" si="47"/>
        <v/>
      </c>
      <c r="K956" s="180"/>
      <c r="L956" s="181">
        <f t="shared" si="48"/>
        <v>0</v>
      </c>
      <c r="M956" s="229" t="str">
        <f t="shared" si="46"/>
        <v/>
      </c>
      <c r="N956" s="232"/>
    </row>
    <row r="957" spans="1:14" ht="15" thickBot="1">
      <c r="A957" s="170"/>
      <c r="B957" s="171"/>
      <c r="C957" s="172"/>
      <c r="D957" s="173"/>
      <c r="E957" s="174"/>
      <c r="F957" s="175"/>
      <c r="G957" s="176"/>
      <c r="H957" s="177"/>
      <c r="I957" s="178"/>
      <c r="J957" s="179" t="str">
        <f t="shared" si="47"/>
        <v/>
      </c>
      <c r="K957" s="180"/>
      <c r="L957" s="181">
        <f t="shared" si="48"/>
        <v>0</v>
      </c>
      <c r="M957" s="229" t="str">
        <f t="shared" si="46"/>
        <v/>
      </c>
      <c r="N957" s="232"/>
    </row>
    <row r="958" spans="1:14" ht="15" thickBot="1">
      <c r="A958" s="170"/>
      <c r="B958" s="171"/>
      <c r="C958" s="172"/>
      <c r="D958" s="173"/>
      <c r="E958" s="174"/>
      <c r="F958" s="175"/>
      <c r="G958" s="176"/>
      <c r="H958" s="177"/>
      <c r="I958" s="178"/>
      <c r="J958" s="179" t="str">
        <f t="shared" si="47"/>
        <v/>
      </c>
      <c r="K958" s="180"/>
      <c r="L958" s="181">
        <f t="shared" si="48"/>
        <v>0</v>
      </c>
      <c r="M958" s="229" t="str">
        <f t="shared" si="46"/>
        <v/>
      </c>
      <c r="N958" s="232"/>
    </row>
    <row r="959" spans="1:14" ht="15" thickBot="1">
      <c r="A959" s="170"/>
      <c r="B959" s="171"/>
      <c r="C959" s="172"/>
      <c r="D959" s="173"/>
      <c r="E959" s="174"/>
      <c r="F959" s="175"/>
      <c r="G959" s="176"/>
      <c r="H959" s="177"/>
      <c r="I959" s="178"/>
      <c r="J959" s="179" t="str">
        <f t="shared" si="47"/>
        <v/>
      </c>
      <c r="K959" s="180"/>
      <c r="L959" s="181">
        <f t="shared" si="48"/>
        <v>0</v>
      </c>
      <c r="M959" s="229" t="str">
        <f t="shared" si="46"/>
        <v/>
      </c>
      <c r="N959" s="232"/>
    </row>
    <row r="960" spans="1:14" ht="15" thickBot="1">
      <c r="A960" s="170"/>
      <c r="B960" s="171"/>
      <c r="C960" s="172"/>
      <c r="D960" s="173"/>
      <c r="E960" s="174"/>
      <c r="F960" s="175"/>
      <c r="G960" s="176"/>
      <c r="H960" s="177"/>
      <c r="I960" s="178"/>
      <c r="J960" s="179" t="str">
        <f t="shared" si="47"/>
        <v/>
      </c>
      <c r="K960" s="180"/>
      <c r="L960" s="181">
        <f t="shared" si="48"/>
        <v>0</v>
      </c>
      <c r="M960" s="229" t="str">
        <f t="shared" si="46"/>
        <v/>
      </c>
      <c r="N960" s="232"/>
    </row>
    <row r="961" spans="1:14" ht="15" thickBot="1">
      <c r="A961" s="170"/>
      <c r="B961" s="171"/>
      <c r="C961" s="172"/>
      <c r="D961" s="173"/>
      <c r="E961" s="174"/>
      <c r="F961" s="175"/>
      <c r="G961" s="176"/>
      <c r="H961" s="177"/>
      <c r="I961" s="178"/>
      <c r="J961" s="179" t="str">
        <f t="shared" si="47"/>
        <v/>
      </c>
      <c r="K961" s="180"/>
      <c r="L961" s="181">
        <f t="shared" si="48"/>
        <v>0</v>
      </c>
      <c r="M961" s="229" t="str">
        <f t="shared" si="46"/>
        <v/>
      </c>
      <c r="N961" s="232"/>
    </row>
    <row r="962" spans="1:14" ht="15" thickBot="1">
      <c r="A962" s="170"/>
      <c r="B962" s="171"/>
      <c r="C962" s="172"/>
      <c r="D962" s="173"/>
      <c r="E962" s="174"/>
      <c r="F962" s="175"/>
      <c r="G962" s="176"/>
      <c r="H962" s="177"/>
      <c r="I962" s="178"/>
      <c r="J962" s="179" t="str">
        <f t="shared" si="47"/>
        <v/>
      </c>
      <c r="K962" s="180"/>
      <c r="L962" s="181">
        <f t="shared" si="48"/>
        <v>0</v>
      </c>
      <c r="M962" s="229" t="str">
        <f t="shared" si="46"/>
        <v/>
      </c>
      <c r="N962" s="232"/>
    </row>
    <row r="963" spans="1:14" ht="15" thickBot="1">
      <c r="A963" s="170"/>
      <c r="B963" s="171"/>
      <c r="C963" s="172"/>
      <c r="D963" s="173"/>
      <c r="E963" s="174"/>
      <c r="F963" s="175"/>
      <c r="G963" s="176"/>
      <c r="H963" s="177"/>
      <c r="I963" s="178"/>
      <c r="J963" s="179" t="str">
        <f t="shared" si="47"/>
        <v/>
      </c>
      <c r="K963" s="180"/>
      <c r="L963" s="181">
        <f t="shared" si="48"/>
        <v>0</v>
      </c>
      <c r="M963" s="229" t="str">
        <f t="shared" si="46"/>
        <v/>
      </c>
      <c r="N963" s="232"/>
    </row>
    <row r="964" spans="1:14" ht="15" thickBot="1">
      <c r="A964" s="170"/>
      <c r="B964" s="171"/>
      <c r="C964" s="172"/>
      <c r="D964" s="173"/>
      <c r="E964" s="174"/>
      <c r="F964" s="175"/>
      <c r="G964" s="176"/>
      <c r="H964" s="177"/>
      <c r="I964" s="178"/>
      <c r="J964" s="179" t="str">
        <f t="shared" si="47"/>
        <v/>
      </c>
      <c r="K964" s="180"/>
      <c r="L964" s="181">
        <f t="shared" si="48"/>
        <v>0</v>
      </c>
      <c r="M964" s="229" t="str">
        <f t="shared" si="46"/>
        <v/>
      </c>
      <c r="N964" s="232"/>
    </row>
    <row r="965" spans="1:14" ht="15" thickBot="1">
      <c r="A965" s="170"/>
      <c r="B965" s="171"/>
      <c r="C965" s="172"/>
      <c r="D965" s="173"/>
      <c r="E965" s="174"/>
      <c r="F965" s="175"/>
      <c r="G965" s="176"/>
      <c r="H965" s="177"/>
      <c r="I965" s="178"/>
      <c r="J965" s="179" t="str">
        <f t="shared" si="47"/>
        <v/>
      </c>
      <c r="K965" s="180"/>
      <c r="L965" s="181">
        <f t="shared" si="48"/>
        <v>0</v>
      </c>
      <c r="M965" s="229" t="str">
        <f t="shared" si="46"/>
        <v/>
      </c>
      <c r="N965" s="232"/>
    </row>
    <row r="966" spans="1:14" ht="15" thickBot="1">
      <c r="A966" s="170"/>
      <c r="B966" s="171"/>
      <c r="C966" s="172"/>
      <c r="D966" s="173"/>
      <c r="E966" s="174"/>
      <c r="F966" s="175"/>
      <c r="G966" s="176"/>
      <c r="H966" s="177"/>
      <c r="I966" s="178"/>
      <c r="J966" s="179" t="str">
        <f t="shared" si="47"/>
        <v/>
      </c>
      <c r="K966" s="180"/>
      <c r="L966" s="181">
        <f t="shared" si="48"/>
        <v>0</v>
      </c>
      <c r="M966" s="229" t="str">
        <f t="shared" si="46"/>
        <v/>
      </c>
      <c r="N966" s="232"/>
    </row>
    <row r="967" spans="1:14" ht="15" thickBot="1">
      <c r="A967" s="170"/>
      <c r="B967" s="171"/>
      <c r="C967" s="172"/>
      <c r="D967" s="173"/>
      <c r="E967" s="174"/>
      <c r="F967" s="175"/>
      <c r="G967" s="176"/>
      <c r="H967" s="177"/>
      <c r="I967" s="178"/>
      <c r="J967" s="179" t="str">
        <f t="shared" si="47"/>
        <v/>
      </c>
      <c r="K967" s="180"/>
      <c r="L967" s="181">
        <f t="shared" si="48"/>
        <v>0</v>
      </c>
      <c r="M967" s="229" t="str">
        <f t="shared" si="46"/>
        <v/>
      </c>
      <c r="N967" s="232"/>
    </row>
    <row r="968" spans="1:14" ht="15" thickBot="1">
      <c r="A968" s="170"/>
      <c r="B968" s="171"/>
      <c r="C968" s="172"/>
      <c r="D968" s="173"/>
      <c r="E968" s="174"/>
      <c r="F968" s="175"/>
      <c r="G968" s="176"/>
      <c r="H968" s="177"/>
      <c r="I968" s="178"/>
      <c r="J968" s="179" t="str">
        <f t="shared" si="47"/>
        <v/>
      </c>
      <c r="K968" s="180"/>
      <c r="L968" s="181">
        <f t="shared" si="48"/>
        <v>0</v>
      </c>
      <c r="M968" s="229" t="str">
        <f t="shared" si="46"/>
        <v/>
      </c>
      <c r="N968" s="232"/>
    </row>
    <row r="969" spans="1:14" ht="15" thickBot="1">
      <c r="A969" s="170"/>
      <c r="B969" s="171"/>
      <c r="C969" s="172"/>
      <c r="D969" s="173"/>
      <c r="E969" s="174"/>
      <c r="F969" s="175"/>
      <c r="G969" s="176"/>
      <c r="H969" s="177"/>
      <c r="I969" s="178"/>
      <c r="J969" s="179" t="str">
        <f t="shared" si="47"/>
        <v/>
      </c>
      <c r="K969" s="180"/>
      <c r="L969" s="181">
        <f t="shared" si="48"/>
        <v>0</v>
      </c>
      <c r="M969" s="229" t="str">
        <f t="shared" si="46"/>
        <v/>
      </c>
      <c r="N969" s="232"/>
    </row>
    <row r="970" spans="1:14" ht="15" thickBot="1">
      <c r="A970" s="170"/>
      <c r="B970" s="171"/>
      <c r="C970" s="172"/>
      <c r="D970" s="173"/>
      <c r="E970" s="174"/>
      <c r="F970" s="175"/>
      <c r="G970" s="176"/>
      <c r="H970" s="177"/>
      <c r="I970" s="178"/>
      <c r="J970" s="179" t="str">
        <f t="shared" si="47"/>
        <v/>
      </c>
      <c r="K970" s="180"/>
      <c r="L970" s="181">
        <f t="shared" si="48"/>
        <v>0</v>
      </c>
      <c r="M970" s="229" t="str">
        <f t="shared" si="46"/>
        <v/>
      </c>
      <c r="N970" s="232"/>
    </row>
    <row r="971" spans="1:14" ht="15" thickBot="1">
      <c r="A971" s="170"/>
      <c r="B971" s="171"/>
      <c r="C971" s="172"/>
      <c r="D971" s="173"/>
      <c r="E971" s="174"/>
      <c r="F971" s="175"/>
      <c r="G971" s="176"/>
      <c r="H971" s="177"/>
      <c r="I971" s="178"/>
      <c r="J971" s="179" t="str">
        <f t="shared" si="47"/>
        <v/>
      </c>
      <c r="K971" s="180"/>
      <c r="L971" s="181">
        <f t="shared" si="48"/>
        <v>0</v>
      </c>
      <c r="M971" s="229" t="str">
        <f t="shared" si="46"/>
        <v/>
      </c>
      <c r="N971" s="232"/>
    </row>
    <row r="972" spans="1:14" ht="15" thickBot="1">
      <c r="A972" s="170"/>
      <c r="B972" s="171"/>
      <c r="C972" s="172"/>
      <c r="D972" s="173"/>
      <c r="E972" s="174"/>
      <c r="F972" s="175"/>
      <c r="G972" s="176"/>
      <c r="H972" s="177"/>
      <c r="I972" s="178"/>
      <c r="J972" s="179" t="str">
        <f t="shared" si="47"/>
        <v/>
      </c>
      <c r="K972" s="180"/>
      <c r="L972" s="181">
        <f t="shared" si="48"/>
        <v>0</v>
      </c>
      <c r="M972" s="229" t="str">
        <f t="shared" si="46"/>
        <v/>
      </c>
      <c r="N972" s="232"/>
    </row>
    <row r="973" spans="1:14" ht="15" thickBot="1">
      <c r="A973" s="170"/>
      <c r="B973" s="171"/>
      <c r="C973" s="172"/>
      <c r="D973" s="173"/>
      <c r="E973" s="174"/>
      <c r="F973" s="175"/>
      <c r="G973" s="176"/>
      <c r="H973" s="177"/>
      <c r="I973" s="178"/>
      <c r="J973" s="179" t="str">
        <f t="shared" si="47"/>
        <v/>
      </c>
      <c r="K973" s="180"/>
      <c r="L973" s="181">
        <f t="shared" si="48"/>
        <v>0</v>
      </c>
      <c r="M973" s="229" t="str">
        <f t="shared" si="46"/>
        <v/>
      </c>
      <c r="N973" s="232"/>
    </row>
    <row r="974" spans="1:14" ht="15" thickBot="1">
      <c r="A974" s="170"/>
      <c r="B974" s="171"/>
      <c r="C974" s="172"/>
      <c r="D974" s="173"/>
      <c r="E974" s="174"/>
      <c r="F974" s="175"/>
      <c r="G974" s="176"/>
      <c r="H974" s="177"/>
      <c r="I974" s="178"/>
      <c r="J974" s="179" t="str">
        <f t="shared" si="47"/>
        <v/>
      </c>
      <c r="K974" s="180"/>
      <c r="L974" s="181">
        <f t="shared" si="48"/>
        <v>0</v>
      </c>
      <c r="M974" s="229" t="str">
        <f t="shared" ref="M974:M1014" si="49">IF(J974 &lt;&gt; "", J974 * L974, "")</f>
        <v/>
      </c>
      <c r="N974" s="232"/>
    </row>
    <row r="975" spans="1:14" ht="15" thickBot="1">
      <c r="A975" s="170"/>
      <c r="B975" s="171"/>
      <c r="C975" s="172"/>
      <c r="D975" s="173"/>
      <c r="E975" s="174"/>
      <c r="F975" s="175"/>
      <c r="G975" s="176"/>
      <c r="H975" s="177"/>
      <c r="I975" s="178"/>
      <c r="J975" s="179" t="str">
        <f t="shared" si="47"/>
        <v/>
      </c>
      <c r="K975" s="180"/>
      <c r="L975" s="181">
        <f t="shared" si="48"/>
        <v>0</v>
      </c>
      <c r="M975" s="229" t="str">
        <f t="shared" si="49"/>
        <v/>
      </c>
      <c r="N975" s="232"/>
    </row>
    <row r="976" spans="1:14" ht="15" thickBot="1">
      <c r="A976" s="170"/>
      <c r="B976" s="171"/>
      <c r="C976" s="172"/>
      <c r="D976" s="173"/>
      <c r="E976" s="174"/>
      <c r="F976" s="175"/>
      <c r="G976" s="176"/>
      <c r="H976" s="177"/>
      <c r="I976" s="178"/>
      <c r="J976" s="179" t="str">
        <f t="shared" si="47"/>
        <v/>
      </c>
      <c r="K976" s="180"/>
      <c r="L976" s="181">
        <f t="shared" si="48"/>
        <v>0</v>
      </c>
      <c r="M976" s="229" t="str">
        <f t="shared" si="49"/>
        <v/>
      </c>
      <c r="N976" s="232"/>
    </row>
    <row r="977" spans="1:14" ht="15" thickBot="1">
      <c r="A977" s="170"/>
      <c r="B977" s="171"/>
      <c r="C977" s="172"/>
      <c r="D977" s="173"/>
      <c r="E977" s="174"/>
      <c r="F977" s="175"/>
      <c r="G977" s="176"/>
      <c r="H977" s="177"/>
      <c r="I977" s="178"/>
      <c r="J977" s="179" t="str">
        <f t="shared" si="47"/>
        <v/>
      </c>
      <c r="K977" s="180"/>
      <c r="L977" s="181">
        <f t="shared" si="48"/>
        <v>0</v>
      </c>
      <c r="M977" s="229" t="str">
        <f t="shared" si="49"/>
        <v/>
      </c>
      <c r="N977" s="232"/>
    </row>
    <row r="978" spans="1:14" ht="15" thickBot="1">
      <c r="A978" s="170"/>
      <c r="B978" s="171"/>
      <c r="C978" s="172"/>
      <c r="D978" s="173"/>
      <c r="E978" s="174"/>
      <c r="F978" s="175"/>
      <c r="G978" s="176"/>
      <c r="H978" s="177"/>
      <c r="I978" s="178"/>
      <c r="J978" s="179" t="str">
        <f t="shared" si="47"/>
        <v/>
      </c>
      <c r="K978" s="180"/>
      <c r="L978" s="181">
        <f t="shared" si="48"/>
        <v>0</v>
      </c>
      <c r="M978" s="229" t="str">
        <f t="shared" si="49"/>
        <v/>
      </c>
      <c r="N978" s="232"/>
    </row>
    <row r="979" spans="1:14" ht="15" thickBot="1">
      <c r="A979" s="170"/>
      <c r="B979" s="171"/>
      <c r="C979" s="172"/>
      <c r="D979" s="173"/>
      <c r="E979" s="174"/>
      <c r="F979" s="175"/>
      <c r="G979" s="176"/>
      <c r="H979" s="177"/>
      <c r="I979" s="178"/>
      <c r="J979" s="179" t="str">
        <f t="shared" si="47"/>
        <v/>
      </c>
      <c r="K979" s="180"/>
      <c r="L979" s="181">
        <f t="shared" si="48"/>
        <v>0</v>
      </c>
      <c r="M979" s="229" t="str">
        <f t="shared" si="49"/>
        <v/>
      </c>
      <c r="N979" s="232"/>
    </row>
    <row r="980" spans="1:14" ht="15" thickBot="1">
      <c r="A980" s="170"/>
      <c r="B980" s="171"/>
      <c r="C980" s="172"/>
      <c r="D980" s="173"/>
      <c r="E980" s="174"/>
      <c r="F980" s="175"/>
      <c r="G980" s="176"/>
      <c r="H980" s="177"/>
      <c r="I980" s="178"/>
      <c r="J980" s="179" t="str">
        <f t="shared" si="47"/>
        <v/>
      </c>
      <c r="K980" s="180"/>
      <c r="L980" s="181">
        <f t="shared" si="48"/>
        <v>0</v>
      </c>
      <c r="M980" s="229" t="str">
        <f t="shared" si="49"/>
        <v/>
      </c>
      <c r="N980" s="232"/>
    </row>
    <row r="981" spans="1:14" ht="15" thickBot="1">
      <c r="A981" s="170"/>
      <c r="B981" s="171"/>
      <c r="C981" s="172"/>
      <c r="D981" s="173"/>
      <c r="E981" s="174"/>
      <c r="F981" s="175"/>
      <c r="G981" s="176"/>
      <c r="H981" s="177"/>
      <c r="I981" s="178"/>
      <c r="J981" s="179" t="str">
        <f t="shared" si="47"/>
        <v/>
      </c>
      <c r="K981" s="180"/>
      <c r="L981" s="181">
        <f t="shared" si="48"/>
        <v>0</v>
      </c>
      <c r="M981" s="229" t="str">
        <f t="shared" si="49"/>
        <v/>
      </c>
      <c r="N981" s="232"/>
    </row>
    <row r="982" spans="1:14" ht="15" thickBot="1">
      <c r="A982" s="170"/>
      <c r="B982" s="171"/>
      <c r="C982" s="172"/>
      <c r="D982" s="173"/>
      <c r="E982" s="174"/>
      <c r="F982" s="175"/>
      <c r="G982" s="176"/>
      <c r="H982" s="177"/>
      <c r="I982" s="178"/>
      <c r="J982" s="179" t="str">
        <f t="shared" si="47"/>
        <v/>
      </c>
      <c r="K982" s="180"/>
      <c r="L982" s="181">
        <f t="shared" si="48"/>
        <v>0</v>
      </c>
      <c r="M982" s="229" t="str">
        <f t="shared" si="49"/>
        <v/>
      </c>
      <c r="N982" s="232"/>
    </row>
    <row r="983" spans="1:14" ht="15" thickBot="1">
      <c r="A983" s="170"/>
      <c r="B983" s="171"/>
      <c r="C983" s="172"/>
      <c r="D983" s="173"/>
      <c r="E983" s="174"/>
      <c r="F983" s="175"/>
      <c r="G983" s="176"/>
      <c r="H983" s="177"/>
      <c r="I983" s="178"/>
      <c r="J983" s="179" t="str">
        <f t="shared" si="47"/>
        <v/>
      </c>
      <c r="K983" s="180"/>
      <c r="L983" s="181">
        <f t="shared" si="48"/>
        <v>0</v>
      </c>
      <c r="M983" s="229" t="str">
        <f t="shared" si="49"/>
        <v/>
      </c>
      <c r="N983" s="232"/>
    </row>
    <row r="984" spans="1:14" ht="15" thickBot="1">
      <c r="A984" s="170"/>
      <c r="B984" s="171"/>
      <c r="C984" s="172"/>
      <c r="D984" s="173"/>
      <c r="E984" s="174"/>
      <c r="F984" s="175"/>
      <c r="G984" s="176"/>
      <c r="H984" s="177"/>
      <c r="I984" s="178"/>
      <c r="J984" s="179" t="str">
        <f t="shared" si="47"/>
        <v/>
      </c>
      <c r="K984" s="180"/>
      <c r="L984" s="181">
        <f t="shared" si="48"/>
        <v>0</v>
      </c>
      <c r="M984" s="229" t="str">
        <f t="shared" si="49"/>
        <v/>
      </c>
      <c r="N984" s="232"/>
    </row>
    <row r="985" spans="1:14" ht="15" thickBot="1">
      <c r="A985" s="170"/>
      <c r="B985" s="171"/>
      <c r="C985" s="172"/>
      <c r="D985" s="173"/>
      <c r="E985" s="174"/>
      <c r="F985" s="175"/>
      <c r="G985" s="176"/>
      <c r="H985" s="177"/>
      <c r="I985" s="178"/>
      <c r="J985" s="179" t="str">
        <f t="shared" si="47"/>
        <v/>
      </c>
      <c r="K985" s="180"/>
      <c r="L985" s="181">
        <f t="shared" si="48"/>
        <v>0</v>
      </c>
      <c r="M985" s="229" t="str">
        <f t="shared" si="49"/>
        <v/>
      </c>
      <c r="N985" s="232"/>
    </row>
    <row r="986" spans="1:14" ht="15" thickBot="1">
      <c r="A986" s="170"/>
      <c r="B986" s="171"/>
      <c r="C986" s="172"/>
      <c r="D986" s="173"/>
      <c r="E986" s="174"/>
      <c r="F986" s="175"/>
      <c r="G986" s="176"/>
      <c r="H986" s="177"/>
      <c r="I986" s="178"/>
      <c r="J986" s="179" t="str">
        <f t="shared" si="47"/>
        <v/>
      </c>
      <c r="K986" s="180"/>
      <c r="L986" s="181">
        <f t="shared" si="48"/>
        <v>0</v>
      </c>
      <c r="M986" s="229" t="str">
        <f t="shared" si="49"/>
        <v/>
      </c>
      <c r="N986" s="232"/>
    </row>
    <row r="987" spans="1:14" ht="15" thickBot="1">
      <c r="A987" s="170"/>
      <c r="B987" s="171"/>
      <c r="C987" s="172"/>
      <c r="D987" s="173"/>
      <c r="E987" s="174"/>
      <c r="F987" s="175"/>
      <c r="G987" s="176"/>
      <c r="H987" s="177"/>
      <c r="I987" s="178"/>
      <c r="J987" s="179" t="str">
        <f t="shared" si="47"/>
        <v/>
      </c>
      <c r="K987" s="180"/>
      <c r="L987" s="181">
        <f t="shared" si="48"/>
        <v>0</v>
      </c>
      <c r="M987" s="229" t="str">
        <f t="shared" si="49"/>
        <v/>
      </c>
      <c r="N987" s="232"/>
    </row>
    <row r="988" spans="1:14" ht="15" thickBot="1">
      <c r="A988" s="170"/>
      <c r="B988" s="171"/>
      <c r="C988" s="172"/>
      <c r="D988" s="173"/>
      <c r="E988" s="174"/>
      <c r="F988" s="175"/>
      <c r="G988" s="176"/>
      <c r="H988" s="177"/>
      <c r="I988" s="178"/>
      <c r="J988" s="179" t="str">
        <f t="shared" si="47"/>
        <v/>
      </c>
      <c r="K988" s="180"/>
      <c r="L988" s="181">
        <f t="shared" si="48"/>
        <v>0</v>
      </c>
      <c r="M988" s="229" t="str">
        <f t="shared" si="49"/>
        <v/>
      </c>
      <c r="N988" s="232"/>
    </row>
    <row r="989" spans="1:14" ht="15" thickBot="1">
      <c r="A989" s="170"/>
      <c r="B989" s="171"/>
      <c r="C989" s="172"/>
      <c r="D989" s="173"/>
      <c r="E989" s="174"/>
      <c r="F989" s="175"/>
      <c r="G989" s="176"/>
      <c r="H989" s="177"/>
      <c r="I989" s="178"/>
      <c r="J989" s="179" t="str">
        <f t="shared" si="47"/>
        <v/>
      </c>
      <c r="K989" s="180"/>
      <c r="L989" s="181">
        <f t="shared" si="48"/>
        <v>0</v>
      </c>
      <c r="M989" s="229" t="str">
        <f t="shared" si="49"/>
        <v/>
      </c>
      <c r="N989" s="232"/>
    </row>
    <row r="990" spans="1:14" ht="15" thickBot="1">
      <c r="A990" s="170"/>
      <c r="B990" s="171"/>
      <c r="C990" s="172"/>
      <c r="D990" s="173"/>
      <c r="E990" s="174"/>
      <c r="F990" s="175"/>
      <c r="G990" s="176"/>
      <c r="H990" s="177"/>
      <c r="I990" s="178"/>
      <c r="J990" s="179" t="str">
        <f t="shared" si="47"/>
        <v/>
      </c>
      <c r="K990" s="180"/>
      <c r="L990" s="181">
        <f t="shared" si="48"/>
        <v>0</v>
      </c>
      <c r="M990" s="229" t="str">
        <f t="shared" si="49"/>
        <v/>
      </c>
      <c r="N990" s="232"/>
    </row>
    <row r="991" spans="1:14" ht="15" thickBot="1">
      <c r="A991" s="170"/>
      <c r="B991" s="171"/>
      <c r="C991" s="172"/>
      <c r="D991" s="173"/>
      <c r="E991" s="174"/>
      <c r="F991" s="175"/>
      <c r="G991" s="176"/>
      <c r="H991" s="177"/>
      <c r="I991" s="178"/>
      <c r="J991" s="179" t="str">
        <f t="shared" si="47"/>
        <v/>
      </c>
      <c r="K991" s="180"/>
      <c r="L991" s="181">
        <f t="shared" si="48"/>
        <v>0</v>
      </c>
      <c r="M991" s="229" t="str">
        <f t="shared" si="49"/>
        <v/>
      </c>
      <c r="N991" s="232"/>
    </row>
    <row r="992" spans="1:14" ht="15" thickBot="1">
      <c r="A992" s="170"/>
      <c r="B992" s="171"/>
      <c r="C992" s="172"/>
      <c r="D992" s="173"/>
      <c r="E992" s="174"/>
      <c r="F992" s="175"/>
      <c r="G992" s="176"/>
      <c r="H992" s="177"/>
      <c r="I992" s="178"/>
      <c r="J992" s="179" t="str">
        <f t="shared" si="47"/>
        <v/>
      </c>
      <c r="K992" s="180"/>
      <c r="L992" s="181">
        <f t="shared" si="48"/>
        <v>0</v>
      </c>
      <c r="M992" s="229" t="str">
        <f t="shared" si="49"/>
        <v/>
      </c>
      <c r="N992" s="232"/>
    </row>
    <row r="993" spans="1:14" ht="15" thickBot="1">
      <c r="A993" s="170"/>
      <c r="B993" s="171"/>
      <c r="C993" s="172"/>
      <c r="D993" s="173"/>
      <c r="E993" s="174"/>
      <c r="F993" s="175"/>
      <c r="G993" s="176"/>
      <c r="H993" s="177"/>
      <c r="I993" s="178"/>
      <c r="J993" s="179" t="str">
        <f t="shared" si="47"/>
        <v/>
      </c>
      <c r="K993" s="180"/>
      <c r="L993" s="181">
        <f t="shared" si="48"/>
        <v>0</v>
      </c>
      <c r="M993" s="229" t="str">
        <f t="shared" si="49"/>
        <v/>
      </c>
      <c r="N993" s="232"/>
    </row>
    <row r="994" spans="1:14" ht="15" thickBot="1">
      <c r="A994" s="170"/>
      <c r="B994" s="171"/>
      <c r="C994" s="172"/>
      <c r="D994" s="173"/>
      <c r="E994" s="174"/>
      <c r="F994" s="175"/>
      <c r="G994" s="176"/>
      <c r="H994" s="177"/>
      <c r="I994" s="178"/>
      <c r="J994" s="179" t="str">
        <f t="shared" si="47"/>
        <v/>
      </c>
      <c r="K994" s="180"/>
      <c r="L994" s="181">
        <f t="shared" si="48"/>
        <v>0</v>
      </c>
      <c r="M994" s="229" t="str">
        <f t="shared" si="49"/>
        <v/>
      </c>
      <c r="N994" s="232"/>
    </row>
    <row r="995" spans="1:14" ht="15" thickBot="1">
      <c r="A995" s="170"/>
      <c r="B995" s="171"/>
      <c r="C995" s="172"/>
      <c r="D995" s="173"/>
      <c r="E995" s="174"/>
      <c r="F995" s="175"/>
      <c r="G995" s="176"/>
      <c r="H995" s="177"/>
      <c r="I995" s="178"/>
      <c r="J995" s="179" t="str">
        <f t="shared" si="47"/>
        <v/>
      </c>
      <c r="K995" s="180"/>
      <c r="L995" s="181">
        <f t="shared" si="48"/>
        <v>0</v>
      </c>
      <c r="M995" s="229" t="str">
        <f t="shared" si="49"/>
        <v/>
      </c>
      <c r="N995" s="232"/>
    </row>
    <row r="996" spans="1:14" ht="15" thickBot="1">
      <c r="A996" s="170"/>
      <c r="B996" s="171"/>
      <c r="C996" s="172"/>
      <c r="D996" s="173"/>
      <c r="E996" s="174"/>
      <c r="F996" s="175"/>
      <c r="G996" s="176"/>
      <c r="H996" s="177"/>
      <c r="I996" s="178"/>
      <c r="J996" s="179" t="str">
        <f t="shared" si="47"/>
        <v/>
      </c>
      <c r="K996" s="180"/>
      <c r="L996" s="181">
        <f t="shared" si="48"/>
        <v>0</v>
      </c>
      <c r="M996" s="229" t="str">
        <f t="shared" si="49"/>
        <v/>
      </c>
      <c r="N996" s="232"/>
    </row>
    <row r="997" spans="1:14" ht="15" thickBot="1">
      <c r="A997" s="170"/>
      <c r="B997" s="171"/>
      <c r="C997" s="172"/>
      <c r="D997" s="173"/>
      <c r="E997" s="174"/>
      <c r="F997" s="175"/>
      <c r="G997" s="176"/>
      <c r="H997" s="177"/>
      <c r="I997" s="178"/>
      <c r="J997" s="179" t="str">
        <f t="shared" si="47"/>
        <v/>
      </c>
      <c r="K997" s="180"/>
      <c r="L997" s="181">
        <f t="shared" si="48"/>
        <v>0</v>
      </c>
      <c r="M997" s="229" t="str">
        <f t="shared" si="49"/>
        <v/>
      </c>
      <c r="N997" s="232"/>
    </row>
    <row r="998" spans="1:14" ht="15" thickBot="1">
      <c r="A998" s="170"/>
      <c r="B998" s="171"/>
      <c r="C998" s="172"/>
      <c r="D998" s="173"/>
      <c r="E998" s="174"/>
      <c r="F998" s="175"/>
      <c r="G998" s="176"/>
      <c r="H998" s="177"/>
      <c r="I998" s="178"/>
      <c r="J998" s="179" t="str">
        <f t="shared" si="47"/>
        <v/>
      </c>
      <c r="K998" s="180"/>
      <c r="L998" s="181">
        <f t="shared" si="48"/>
        <v>0</v>
      </c>
      <c r="M998" s="229" t="str">
        <f t="shared" si="49"/>
        <v/>
      </c>
      <c r="N998" s="232"/>
    </row>
    <row r="999" spans="1:14" ht="15" thickBot="1">
      <c r="A999" s="170"/>
      <c r="B999" s="171"/>
      <c r="C999" s="172"/>
      <c r="D999" s="173"/>
      <c r="E999" s="174"/>
      <c r="F999" s="175"/>
      <c r="G999" s="176"/>
      <c r="H999" s="177"/>
      <c r="I999" s="178"/>
      <c r="J999" s="179" t="str">
        <f t="shared" si="47"/>
        <v/>
      </c>
      <c r="K999" s="180"/>
      <c r="L999" s="181">
        <f t="shared" si="48"/>
        <v>0</v>
      </c>
      <c r="M999" s="229" t="str">
        <f t="shared" si="49"/>
        <v/>
      </c>
      <c r="N999" s="232"/>
    </row>
    <row r="1000" spans="1:14" ht="15" thickBot="1">
      <c r="A1000" s="170"/>
      <c r="B1000" s="171"/>
      <c r="C1000" s="172"/>
      <c r="D1000" s="173"/>
      <c r="E1000" s="174"/>
      <c r="F1000" s="175"/>
      <c r="G1000" s="176"/>
      <c r="H1000" s="177"/>
      <c r="I1000" s="178"/>
      <c r="J1000" s="179" t="str">
        <f t="shared" si="47"/>
        <v/>
      </c>
      <c r="K1000" s="180"/>
      <c r="L1000" s="181">
        <f t="shared" si="48"/>
        <v>0</v>
      </c>
      <c r="M1000" s="229" t="str">
        <f t="shared" si="49"/>
        <v/>
      </c>
      <c r="N1000" s="232"/>
    </row>
    <row r="1001" spans="1:14" ht="15" thickBot="1">
      <c r="A1001" s="170"/>
      <c r="B1001" s="171"/>
      <c r="C1001" s="172"/>
      <c r="D1001" s="173"/>
      <c r="E1001" s="174"/>
      <c r="F1001" s="175"/>
      <c r="G1001" s="176"/>
      <c r="H1001" s="177"/>
      <c r="I1001" s="178"/>
      <c r="J1001" s="179" t="str">
        <f t="shared" si="47"/>
        <v/>
      </c>
      <c r="K1001" s="180"/>
      <c r="L1001" s="181">
        <f t="shared" si="48"/>
        <v>0</v>
      </c>
      <c r="M1001" s="229" t="str">
        <f t="shared" si="49"/>
        <v/>
      </c>
      <c r="N1001" s="232"/>
    </row>
    <row r="1002" spans="1:14" ht="15" thickBot="1">
      <c r="A1002" s="170"/>
      <c r="B1002" s="171"/>
      <c r="C1002" s="172"/>
      <c r="D1002" s="173"/>
      <c r="E1002" s="174"/>
      <c r="F1002" s="175"/>
      <c r="G1002" s="176"/>
      <c r="H1002" s="177"/>
      <c r="I1002" s="178"/>
      <c r="J1002" s="179" t="str">
        <f t="shared" si="47"/>
        <v/>
      </c>
      <c r="K1002" s="180"/>
      <c r="L1002" s="181">
        <f t="shared" si="48"/>
        <v>0</v>
      </c>
      <c r="M1002" s="229" t="str">
        <f t="shared" si="49"/>
        <v/>
      </c>
      <c r="N1002" s="232"/>
    </row>
    <row r="1003" spans="1:14" ht="15" thickBot="1">
      <c r="A1003" s="170"/>
      <c r="B1003" s="171"/>
      <c r="C1003" s="172"/>
      <c r="D1003" s="173"/>
      <c r="E1003" s="174"/>
      <c r="F1003" s="175"/>
      <c r="G1003" s="176"/>
      <c r="H1003" s="177"/>
      <c r="I1003" s="178"/>
      <c r="J1003" s="179" t="str">
        <f t="shared" si="47"/>
        <v/>
      </c>
      <c r="K1003" s="180"/>
      <c r="L1003" s="181">
        <f t="shared" si="48"/>
        <v>0</v>
      </c>
      <c r="M1003" s="229" t="str">
        <f t="shared" si="49"/>
        <v/>
      </c>
      <c r="N1003" s="232"/>
    </row>
    <row r="1004" spans="1:14" ht="15" thickBot="1">
      <c r="A1004" s="170"/>
      <c r="B1004" s="171"/>
      <c r="C1004" s="172"/>
      <c r="D1004" s="173"/>
      <c r="E1004" s="174"/>
      <c r="F1004" s="175"/>
      <c r="G1004" s="176"/>
      <c r="H1004" s="177"/>
      <c r="I1004" s="178"/>
      <c r="J1004" s="179" t="str">
        <f t="shared" si="47"/>
        <v/>
      </c>
      <c r="K1004" s="180"/>
      <c r="L1004" s="181">
        <f t="shared" si="48"/>
        <v>0</v>
      </c>
      <c r="M1004" s="229" t="str">
        <f t="shared" si="49"/>
        <v/>
      </c>
      <c r="N1004" s="232"/>
    </row>
    <row r="1005" spans="1:14" ht="15" thickBot="1">
      <c r="A1005" s="170"/>
      <c r="B1005" s="171"/>
      <c r="C1005" s="172"/>
      <c r="D1005" s="173"/>
      <c r="E1005" s="174"/>
      <c r="F1005" s="175"/>
      <c r="G1005" s="176"/>
      <c r="H1005" s="177"/>
      <c r="I1005" s="178"/>
      <c r="J1005" s="179" t="str">
        <f t="shared" si="47"/>
        <v/>
      </c>
      <c r="K1005" s="180"/>
      <c r="L1005" s="181">
        <f t="shared" si="48"/>
        <v>0</v>
      </c>
      <c r="M1005" s="229" t="str">
        <f t="shared" si="49"/>
        <v/>
      </c>
      <c r="N1005" s="232"/>
    </row>
    <row r="1006" spans="1:14" ht="15" thickBot="1">
      <c r="A1006" s="170"/>
      <c r="B1006" s="171"/>
      <c r="C1006" s="172"/>
      <c r="D1006" s="173"/>
      <c r="E1006" s="174"/>
      <c r="F1006" s="175"/>
      <c r="G1006" s="176"/>
      <c r="H1006" s="177"/>
      <c r="I1006" s="178"/>
      <c r="J1006" s="179" t="str">
        <f t="shared" si="47"/>
        <v/>
      </c>
      <c r="K1006" s="180"/>
      <c r="L1006" s="181">
        <f t="shared" si="48"/>
        <v>0</v>
      </c>
      <c r="M1006" s="229" t="str">
        <f t="shared" si="49"/>
        <v/>
      </c>
      <c r="N1006" s="232"/>
    </row>
    <row r="1007" spans="1:14" ht="15" thickBot="1">
      <c r="A1007" s="170"/>
      <c r="B1007" s="171"/>
      <c r="C1007" s="172"/>
      <c r="D1007" s="173"/>
      <c r="E1007" s="174"/>
      <c r="F1007" s="175"/>
      <c r="G1007" s="176"/>
      <c r="H1007" s="177"/>
      <c r="I1007" s="178"/>
      <c r="J1007" s="179" t="str">
        <f t="shared" si="47"/>
        <v/>
      </c>
      <c r="K1007" s="180"/>
      <c r="L1007" s="181">
        <f t="shared" si="48"/>
        <v>0</v>
      </c>
      <c r="M1007" s="229" t="str">
        <f t="shared" si="49"/>
        <v/>
      </c>
      <c r="N1007" s="232"/>
    </row>
    <row r="1008" spans="1:14" ht="15" thickBot="1">
      <c r="A1008" s="170"/>
      <c r="B1008" s="171"/>
      <c r="C1008" s="172"/>
      <c r="D1008" s="173"/>
      <c r="E1008" s="174"/>
      <c r="F1008" s="175"/>
      <c r="G1008" s="176"/>
      <c r="H1008" s="177"/>
      <c r="I1008" s="178"/>
      <c r="J1008" s="179" t="str">
        <f t="shared" si="47"/>
        <v/>
      </c>
      <c r="K1008" s="180"/>
      <c r="L1008" s="181">
        <f t="shared" si="48"/>
        <v>0</v>
      </c>
      <c r="M1008" s="229" t="str">
        <f t="shared" si="49"/>
        <v/>
      </c>
      <c r="N1008" s="232"/>
    </row>
    <row r="1009" spans="1:14" ht="15" thickBot="1">
      <c r="A1009" s="170"/>
      <c r="B1009" s="171"/>
      <c r="C1009" s="172"/>
      <c r="D1009" s="173"/>
      <c r="E1009" s="174"/>
      <c r="F1009" s="175"/>
      <c r="G1009" s="176"/>
      <c r="H1009" s="177"/>
      <c r="I1009" s="178"/>
      <c r="J1009" s="179" t="str">
        <f t="shared" si="47"/>
        <v/>
      </c>
      <c r="K1009" s="180"/>
      <c r="L1009" s="181">
        <f t="shared" si="48"/>
        <v>0</v>
      </c>
      <c r="M1009" s="229" t="str">
        <f t="shared" si="49"/>
        <v/>
      </c>
      <c r="N1009" s="232"/>
    </row>
    <row r="1010" spans="1:14" ht="15" thickBot="1">
      <c r="A1010" s="170"/>
      <c r="B1010" s="171"/>
      <c r="C1010" s="172"/>
      <c r="D1010" s="173"/>
      <c r="E1010" s="174"/>
      <c r="F1010" s="175"/>
      <c r="G1010" s="176"/>
      <c r="H1010" s="177"/>
      <c r="I1010" s="178"/>
      <c r="J1010" s="179" t="str">
        <f t="shared" si="47"/>
        <v/>
      </c>
      <c r="K1010" s="180"/>
      <c r="L1010" s="181">
        <f t="shared" si="48"/>
        <v>0</v>
      </c>
      <c r="M1010" s="229" t="str">
        <f t="shared" si="49"/>
        <v/>
      </c>
      <c r="N1010" s="232"/>
    </row>
    <row r="1011" spans="1:14" ht="15" thickBot="1">
      <c r="A1011" s="170"/>
      <c r="B1011" s="171"/>
      <c r="C1011" s="172"/>
      <c r="D1011" s="173"/>
      <c r="E1011" s="174"/>
      <c r="F1011" s="175"/>
      <c r="G1011" s="176"/>
      <c r="H1011" s="177"/>
      <c r="I1011" s="178"/>
      <c r="J1011" s="179" t="str">
        <f t="shared" si="47"/>
        <v/>
      </c>
      <c r="K1011" s="180"/>
      <c r="L1011" s="181">
        <f t="shared" si="48"/>
        <v>0</v>
      </c>
      <c r="M1011" s="229" t="str">
        <f t="shared" si="49"/>
        <v/>
      </c>
      <c r="N1011" s="232"/>
    </row>
    <row r="1012" spans="1:14" ht="15" thickBot="1">
      <c r="A1012" s="170"/>
      <c r="B1012" s="171"/>
      <c r="C1012" s="172"/>
      <c r="D1012" s="173"/>
      <c r="E1012" s="174"/>
      <c r="F1012" s="175"/>
      <c r="G1012" s="176"/>
      <c r="H1012" s="177"/>
      <c r="I1012" s="178"/>
      <c r="J1012" s="179" t="str">
        <f t="shared" si="47"/>
        <v/>
      </c>
      <c r="K1012" s="180"/>
      <c r="L1012" s="181">
        <f t="shared" si="48"/>
        <v>0</v>
      </c>
      <c r="M1012" s="229" t="str">
        <f t="shared" si="49"/>
        <v/>
      </c>
      <c r="N1012" s="232"/>
    </row>
    <row r="1013" spans="1:14" ht="15" thickBot="1">
      <c r="A1013" s="170"/>
      <c r="B1013" s="171"/>
      <c r="C1013" s="172"/>
      <c r="D1013" s="173"/>
      <c r="E1013" s="174"/>
      <c r="F1013" s="175"/>
      <c r="G1013" s="176"/>
      <c r="H1013" s="177"/>
      <c r="I1013" s="178"/>
      <c r="J1013" s="179" t="str">
        <f t="shared" si="47"/>
        <v/>
      </c>
      <c r="K1013" s="180"/>
      <c r="L1013" s="181">
        <f t="shared" si="48"/>
        <v>0</v>
      </c>
      <c r="M1013" s="229" t="str">
        <f t="shared" si="49"/>
        <v/>
      </c>
      <c r="N1013" s="232"/>
    </row>
    <row r="1014" spans="1:14" ht="15" thickBot="1">
      <c r="A1014" s="170"/>
      <c r="B1014" s="171"/>
      <c r="C1014" s="172"/>
      <c r="D1014" s="173"/>
      <c r="E1014" s="174"/>
      <c r="F1014" s="175"/>
      <c r="G1014" s="176"/>
      <c r="H1014" s="177"/>
      <c r="I1014" s="178"/>
      <c r="J1014" s="179" t="str">
        <f t="shared" si="15"/>
        <v/>
      </c>
      <c r="K1014" s="180"/>
      <c r="L1014" s="181">
        <f t="shared" si="16"/>
        <v>0</v>
      </c>
      <c r="M1014" s="229" t="str">
        <f t="shared" si="49"/>
        <v/>
      </c>
      <c r="N1014" s="232"/>
    </row>
  </sheetData>
  <sheetProtection algorithmName="SHA-512" hashValue="oXPtXeoIAqx3RJypaL+3mLEbn4Pb1Yy/ZK1Nbxujb3Z6E0pgY9chYfvrKqDC7TXGI7Gg+4uGzrdUmsLIGdtk0Q==" saltValue="xphng6lNCiwVBXcVtyGOLQ==" spinCount="100000" sheet="1" objects="1" scenarios="1" selectLockedCells="1"/>
  <customSheetViews>
    <customSheetView guid="{FA063EB1-52B3-49D8-83D1-441968C7020F}" fitToPage="1">
      <pane ySplit="13" topLeftCell="A14" activePane="bottomLeft" state="frozen"/>
      <selection pane="bottomLeft" activeCell="A14" sqref="A14"/>
      <pageMargins left="0.5" right="0.5" top="0.75" bottom="0.75" header="0.25" footer="0.25"/>
      <printOptions horizontalCentered="1"/>
      <pageSetup scale="81" fitToHeight="0" orientation="landscape" r:id="rId1"/>
      <headerFooter>
        <oddHeader>&amp;L&amp;"Arial,Regular"&amp;8Texas Health and Human Services Commission&amp;C&amp;"Arial,Bold"&amp;12DAY ACTIVITY AND HEALTH SERVICES (DAHS)
DEMAND FOR PAYMENT NOTICE&amp;R&amp;"Arial,Regular"&amp;8Page &amp;P</oddHeader>
      </headerFooter>
    </customSheetView>
  </customSheetViews>
  <mergeCells count="34">
    <mergeCell ref="J1:N1"/>
    <mergeCell ref="J2:N2"/>
    <mergeCell ref="G1:I1"/>
    <mergeCell ref="G2:I2"/>
    <mergeCell ref="A1:C1"/>
    <mergeCell ref="A2:C2"/>
    <mergeCell ref="D1:F1"/>
    <mergeCell ref="D2:F2"/>
    <mergeCell ref="D3:E3"/>
    <mergeCell ref="D4:E4"/>
    <mergeCell ref="H3:I3"/>
    <mergeCell ref="H4:I4"/>
    <mergeCell ref="F3:G3"/>
    <mergeCell ref="B5:C5"/>
    <mergeCell ref="H5:I5"/>
    <mergeCell ref="F5:G5"/>
    <mergeCell ref="D5:E5"/>
    <mergeCell ref="F4:G4"/>
    <mergeCell ref="N8:N13"/>
    <mergeCell ref="A7:N7"/>
    <mergeCell ref="J6:N6"/>
    <mergeCell ref="J3:N3"/>
    <mergeCell ref="K4:N4"/>
    <mergeCell ref="K5:N5"/>
    <mergeCell ref="M8:M11"/>
    <mergeCell ref="A9:I9"/>
    <mergeCell ref="L8:L11"/>
    <mergeCell ref="J8:J11"/>
    <mergeCell ref="K8:K11"/>
    <mergeCell ref="A8:I8"/>
    <mergeCell ref="A6:I6"/>
    <mergeCell ref="A10:I11"/>
    <mergeCell ref="A3:C3"/>
    <mergeCell ref="B4:C4"/>
  </mergeCells>
  <dataValidations count="8">
    <dataValidation type="decimal" operator="greaterThanOrEqual" allowBlank="1" showInputMessage="1" showErrorMessage="1" sqref="H14:H1014 K14:K1014" xr:uid="{00000000-0002-0000-2100-000000000000}">
      <formula1>0</formula1>
    </dataValidation>
    <dataValidation type="whole" operator="greaterThan" allowBlank="1" showInputMessage="1" showErrorMessage="1" sqref="B14:B1014" xr:uid="{00000000-0002-0000-2100-000001000000}">
      <formula1>0</formula1>
    </dataValidation>
    <dataValidation type="textLength" operator="lessThanOrEqual" allowBlank="1" showInputMessage="1" showErrorMessage="1" sqref="C14:C1014" xr:uid="{00000000-0002-0000-2100-000002000000}">
      <formula1>255</formula1>
    </dataValidation>
    <dataValidation type="textLength" operator="lessThanOrEqual" allowBlank="1" showInputMessage="1" showErrorMessage="1" sqref="D14:E1014" xr:uid="{00000000-0002-0000-2100-000003000000}">
      <formula1>10</formula1>
    </dataValidation>
    <dataValidation type="date" operator="greaterThanOrEqual" allowBlank="1" showInputMessage="1" showErrorMessage="1" sqref="F14:F1014" xr:uid="{00000000-0002-0000-2100-000004000000}">
      <formula1>1</formula1>
    </dataValidation>
    <dataValidation type="date" operator="greaterThanOrEqual" allowBlank="1" showInputMessage="1" showErrorMessage="1" sqref="G14:G1014" xr:uid="{00000000-0002-0000-2100-000005000000}">
      <formula1>F14</formula1>
    </dataValidation>
    <dataValidation type="decimal" allowBlank="1" showInputMessage="1" showErrorMessage="1" sqref="I14:I1014" xr:uid="{00000000-0002-0000-2100-000006000000}">
      <formula1>-1000000</formula1>
      <formula2>1000000</formula2>
    </dataValidation>
    <dataValidation type="textLength" allowBlank="1" showInputMessage="1" showErrorMessage="1" error="Text length should be between 0 and 25 characters." sqref="N14:N1014" xr:uid="{00000000-0002-0000-2100-000007000000}">
      <formula1>0</formula1>
      <formula2>25</formula2>
    </dataValidation>
  </dataValidations>
  <printOptions horizontalCentered="1"/>
  <pageMargins left="0.5" right="0.5" top="0.75" bottom="0.75" header="0.25" footer="0.25"/>
  <pageSetup scale="81" fitToHeight="0" orientation="landscape" r:id="rId2"/>
  <headerFooter>
    <oddHeader>&amp;L&amp;"Arial,Regular"&amp;8Texas Health and Human Services Commission&amp;C&amp;"Arial,Bold"&amp;12DAY ACTIVITY AND HEALTH SERVICES (DAHS)
DEMAND FOR PAYMENT NOTICE&amp;R&amp;"Arial,Regular"&amp;8Page &amp;P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L170"/>
  <sheetViews>
    <sheetView zoomScaleNormal="100" workbookViewId="0">
      <selection activeCell="D8" sqref="D8"/>
    </sheetView>
  </sheetViews>
  <sheetFormatPr defaultColWidth="9.08984375" defaultRowHeight="14"/>
  <cols>
    <col min="1" max="1" width="9.54296875" style="10" customWidth="1"/>
    <col min="2" max="2" width="11.6328125" style="10" customWidth="1"/>
    <col min="3" max="8" width="9.08984375" style="10"/>
    <col min="9" max="9" width="10.6328125" style="10" customWidth="1"/>
    <col min="10" max="10" width="12.08984375" style="10" customWidth="1"/>
    <col min="11" max="16384" width="9.08984375" style="10"/>
  </cols>
  <sheetData>
    <row r="1" spans="1:12" s="1" customFormat="1" ht="15.75" customHeight="1" thickTop="1">
      <c r="A1" s="285" t="s">
        <v>0</v>
      </c>
      <c r="B1" s="286"/>
      <c r="C1" s="286"/>
      <c r="D1" s="287"/>
      <c r="E1" s="285" t="s">
        <v>1</v>
      </c>
      <c r="F1" s="287"/>
      <c r="G1" s="285" t="s">
        <v>2</v>
      </c>
      <c r="H1" s="286"/>
      <c r="I1" s="285" t="s">
        <v>43</v>
      </c>
      <c r="J1" s="287"/>
    </row>
    <row r="2" spans="1:12" s="1" customFormat="1" ht="27.75" customHeight="1" thickBot="1">
      <c r="A2" s="652">
        <f>NameOfLegalEntity</f>
        <v>0</v>
      </c>
      <c r="B2" s="653"/>
      <c r="C2" s="653"/>
      <c r="D2" s="654"/>
      <c r="E2" s="655">
        <f>ReviewLevel</f>
        <v>0</v>
      </c>
      <c r="F2" s="656"/>
      <c r="G2" s="655">
        <f>ReviewType</f>
        <v>0</v>
      </c>
      <c r="H2" s="657"/>
      <c r="I2" s="658">
        <f>ContractNumber</f>
        <v>0</v>
      </c>
      <c r="J2" s="659"/>
    </row>
    <row r="3" spans="1:12" s="1" customFormat="1" ht="15.75" customHeight="1" thickTop="1">
      <c r="A3" s="643" t="s">
        <v>3</v>
      </c>
      <c r="B3" s="555"/>
      <c r="C3" s="643" t="s">
        <v>4</v>
      </c>
      <c r="D3" s="555"/>
      <c r="E3" s="643" t="s">
        <v>531</v>
      </c>
      <c r="F3" s="555"/>
      <c r="G3" s="643" t="s">
        <v>531</v>
      </c>
      <c r="H3" s="555"/>
      <c r="I3" s="643" t="s">
        <v>567</v>
      </c>
      <c r="J3" s="555"/>
    </row>
    <row r="4" spans="1:12" s="1" customFormat="1" ht="15" customHeight="1">
      <c r="A4" s="138" t="s">
        <v>6</v>
      </c>
      <c r="B4" s="152">
        <f>CompletedByLastName</f>
        <v>0</v>
      </c>
      <c r="C4" s="757" t="s">
        <v>7</v>
      </c>
      <c r="D4" s="758"/>
      <c r="E4" s="757" t="s">
        <v>596</v>
      </c>
      <c r="F4" s="758"/>
      <c r="G4" s="757" t="s">
        <v>578</v>
      </c>
      <c r="H4" s="758"/>
      <c r="I4" s="140" t="s">
        <v>8</v>
      </c>
      <c r="J4" s="150" t="str">
        <f>IF(DateOfMonitoringPeriodBegin="","",DateOfMonitoringPeriodBegin)</f>
        <v/>
      </c>
    </row>
    <row r="5" spans="1:12" s="1" customFormat="1" ht="16.5" customHeight="1" thickBot="1">
      <c r="A5" s="141" t="s">
        <v>9</v>
      </c>
      <c r="B5" s="153">
        <f>CompletedByFirstName</f>
        <v>0</v>
      </c>
      <c r="C5" s="639" t="str">
        <f>IF(DateOfEntrance="","",DateOfEntrance)</f>
        <v/>
      </c>
      <c r="D5" s="640"/>
      <c r="E5" s="759" t="str">
        <f>IF(DateofExit="","",DateofExit)</f>
        <v/>
      </c>
      <c r="F5" s="760"/>
      <c r="G5" s="639" t="str">
        <f>IF(DateOfExitRevised="","",DateOfExitRevised)</f>
        <v/>
      </c>
      <c r="H5" s="640"/>
      <c r="I5" s="142" t="s">
        <v>10</v>
      </c>
      <c r="J5" s="151" t="str">
        <f>IF(DateOfMonitoringPeriodEnd="","",DateOfMonitoringPeriodEnd)</f>
        <v/>
      </c>
    </row>
    <row r="6" spans="1:12" ht="16.5" customHeight="1" thickTop="1" thickBot="1">
      <c r="A6" s="374" t="s">
        <v>242</v>
      </c>
      <c r="B6" s="375"/>
      <c r="C6" s="375"/>
      <c r="D6" s="375"/>
      <c r="E6" s="375"/>
      <c r="F6" s="375"/>
      <c r="G6" s="375"/>
      <c r="H6" s="375"/>
      <c r="I6" s="375"/>
      <c r="J6" s="376"/>
    </row>
    <row r="7" spans="1:12" ht="15" thickTop="1" thickBot="1">
      <c r="A7" s="262" t="s">
        <v>224</v>
      </c>
      <c r="B7" s="263"/>
      <c r="C7" s="263"/>
      <c r="D7" s="263"/>
      <c r="E7" s="263"/>
      <c r="F7" s="263"/>
      <c r="G7" s="263"/>
      <c r="H7" s="263"/>
      <c r="I7" s="263"/>
      <c r="J7" s="264"/>
    </row>
    <row r="8" spans="1:12" ht="15" thickTop="1" thickBot="1">
      <c r="A8" s="776" t="s">
        <v>243</v>
      </c>
      <c r="B8" s="777"/>
      <c r="C8" s="778"/>
      <c r="D8" s="63"/>
      <c r="E8" s="769" t="s">
        <v>227</v>
      </c>
      <c r="F8" s="770"/>
      <c r="G8" s="769" t="s">
        <v>228</v>
      </c>
      <c r="H8" s="770"/>
      <c r="I8" s="769" t="s">
        <v>229</v>
      </c>
      <c r="J8" s="771"/>
      <c r="K8" s="769" t="s">
        <v>539</v>
      </c>
      <c r="L8" s="771"/>
    </row>
    <row r="9" spans="1:12" ht="14.5" thickBot="1">
      <c r="A9" s="426" t="s">
        <v>225</v>
      </c>
      <c r="B9" s="427"/>
      <c r="C9" s="427"/>
      <c r="D9" s="779"/>
      <c r="E9" s="762" t="s">
        <v>230</v>
      </c>
      <c r="F9" s="762"/>
      <c r="G9" s="762" t="s">
        <v>230</v>
      </c>
      <c r="H9" s="762"/>
      <c r="I9" s="762" t="s">
        <v>230</v>
      </c>
      <c r="J9" s="772"/>
      <c r="K9" s="762" t="s">
        <v>230</v>
      </c>
      <c r="L9" s="772"/>
    </row>
    <row r="10" spans="1:12" ht="14.5" thickBot="1">
      <c r="A10" s="780" t="s">
        <v>226</v>
      </c>
      <c r="B10" s="781"/>
      <c r="C10" s="781"/>
      <c r="D10" s="782"/>
      <c r="E10" s="765"/>
      <c r="F10" s="765"/>
      <c r="G10" s="765"/>
      <c r="H10" s="765"/>
      <c r="I10" s="765"/>
      <c r="J10" s="773"/>
      <c r="K10" s="765"/>
      <c r="L10" s="773"/>
    </row>
    <row r="11" spans="1:12" ht="14.5" thickBot="1">
      <c r="A11" s="763" t="s">
        <v>246</v>
      </c>
      <c r="B11" s="545"/>
      <c r="C11" s="545"/>
      <c r="D11" s="764"/>
      <c r="E11" s="774" t="s">
        <v>231</v>
      </c>
      <c r="F11" s="774"/>
      <c r="G11" s="774" t="s">
        <v>231</v>
      </c>
      <c r="H11" s="774"/>
      <c r="I11" s="774" t="s">
        <v>231</v>
      </c>
      <c r="J11" s="775"/>
      <c r="K11" s="774" t="s">
        <v>231</v>
      </c>
      <c r="L11" s="775"/>
    </row>
    <row r="12" spans="1:12" ht="14.5" thickBot="1">
      <c r="A12" s="763"/>
      <c r="B12" s="545"/>
      <c r="C12" s="545"/>
      <c r="D12" s="764"/>
      <c r="E12" s="765"/>
      <c r="F12" s="765"/>
      <c r="G12" s="765"/>
      <c r="H12" s="765"/>
      <c r="I12" s="765"/>
      <c r="J12" s="773"/>
      <c r="K12" s="765"/>
      <c r="L12" s="773"/>
    </row>
    <row r="13" spans="1:12" ht="14.25" customHeight="1" thickBot="1">
      <c r="A13" s="763" t="s">
        <v>247</v>
      </c>
      <c r="B13" s="545"/>
      <c r="C13" s="545"/>
      <c r="D13" s="764"/>
      <c r="E13" s="774"/>
      <c r="F13" s="789" t="s">
        <v>244</v>
      </c>
      <c r="G13" s="774"/>
      <c r="H13" s="789" t="s">
        <v>244</v>
      </c>
      <c r="I13" s="774"/>
      <c r="J13" s="790" t="s">
        <v>244</v>
      </c>
      <c r="K13" s="774"/>
      <c r="L13" s="790" t="s">
        <v>244</v>
      </c>
    </row>
    <row r="14" spans="1:12" ht="14.5" thickBot="1">
      <c r="A14" s="763"/>
      <c r="B14" s="545"/>
      <c r="C14" s="545"/>
      <c r="D14" s="764"/>
      <c r="E14" s="774"/>
      <c r="F14" s="789"/>
      <c r="G14" s="774"/>
      <c r="H14" s="789"/>
      <c r="I14" s="774"/>
      <c r="J14" s="790"/>
      <c r="K14" s="774"/>
      <c r="L14" s="790"/>
    </row>
    <row r="15" spans="1:12" ht="14.5" thickBot="1">
      <c r="A15" s="763" t="s">
        <v>248</v>
      </c>
      <c r="B15" s="545"/>
      <c r="C15" s="545"/>
      <c r="D15" s="764"/>
      <c r="E15" s="774"/>
      <c r="F15" s="789"/>
      <c r="G15" s="774"/>
      <c r="H15" s="789"/>
      <c r="I15" s="774"/>
      <c r="J15" s="790"/>
      <c r="K15" s="774"/>
      <c r="L15" s="790"/>
    </row>
    <row r="16" spans="1:12" ht="14.5" thickBot="1">
      <c r="A16" s="763"/>
      <c r="B16" s="545"/>
      <c r="C16" s="545"/>
      <c r="D16" s="764"/>
      <c r="E16" s="774"/>
      <c r="F16" s="789"/>
      <c r="G16" s="774"/>
      <c r="H16" s="789"/>
      <c r="I16" s="774"/>
      <c r="J16" s="790"/>
      <c r="K16" s="774"/>
      <c r="L16" s="790"/>
    </row>
    <row r="17" spans="1:12" ht="14.5" thickBot="1">
      <c r="A17" s="763" t="s">
        <v>249</v>
      </c>
      <c r="B17" s="545"/>
      <c r="C17" s="545"/>
      <c r="D17" s="764"/>
      <c r="E17" s="774"/>
      <c r="F17" s="789"/>
      <c r="G17" s="774"/>
      <c r="H17" s="789"/>
      <c r="I17" s="774"/>
      <c r="J17" s="790"/>
      <c r="K17" s="774"/>
      <c r="L17" s="790"/>
    </row>
    <row r="18" spans="1:12" ht="14.5" thickBot="1">
      <c r="A18" s="786"/>
      <c r="B18" s="787"/>
      <c r="C18" s="787"/>
      <c r="D18" s="788"/>
      <c r="E18" s="774"/>
      <c r="F18" s="789"/>
      <c r="G18" s="774"/>
      <c r="H18" s="789"/>
      <c r="I18" s="774"/>
      <c r="J18" s="790"/>
      <c r="K18" s="774"/>
      <c r="L18" s="790"/>
    </row>
    <row r="19" spans="1:12" ht="14.5" thickBot="1">
      <c r="A19" s="766" t="s">
        <v>245</v>
      </c>
      <c r="B19" s="767"/>
      <c r="C19" s="767"/>
      <c r="D19" s="768"/>
      <c r="E19" s="64"/>
      <c r="F19" s="64"/>
      <c r="G19" s="64"/>
      <c r="H19" s="64"/>
      <c r="I19" s="64"/>
      <c r="J19" s="65"/>
      <c r="K19" s="64"/>
      <c r="L19" s="65"/>
    </row>
    <row r="20" spans="1:12" ht="14.5" thickBot="1">
      <c r="A20" s="766" t="s">
        <v>232</v>
      </c>
      <c r="B20" s="767"/>
      <c r="C20" s="767"/>
      <c r="D20" s="768"/>
      <c r="E20" s="64"/>
      <c r="F20" s="64"/>
      <c r="G20" s="64"/>
      <c r="H20" s="64"/>
      <c r="I20" s="64"/>
      <c r="J20" s="65"/>
      <c r="K20" s="64"/>
      <c r="L20" s="65"/>
    </row>
    <row r="21" spans="1:12" ht="14.5" thickBot="1">
      <c r="A21" s="766" t="s">
        <v>233</v>
      </c>
      <c r="B21" s="767"/>
      <c r="C21" s="767"/>
      <c r="D21" s="768"/>
      <c r="E21" s="64"/>
      <c r="F21" s="64"/>
      <c r="G21" s="64"/>
      <c r="H21" s="64"/>
      <c r="I21" s="64"/>
      <c r="J21" s="65"/>
      <c r="K21" s="64"/>
      <c r="L21" s="65"/>
    </row>
    <row r="22" spans="1:12" ht="26.25" customHeight="1" thickBot="1">
      <c r="A22" s="766" t="s">
        <v>234</v>
      </c>
      <c r="B22" s="767"/>
      <c r="C22" s="767"/>
      <c r="D22" s="768"/>
      <c r="E22" s="64"/>
      <c r="F22" s="22" t="s">
        <v>80</v>
      </c>
      <c r="G22" s="64"/>
      <c r="H22" s="22" t="s">
        <v>80</v>
      </c>
      <c r="I22" s="64"/>
      <c r="J22" s="23" t="s">
        <v>80</v>
      </c>
      <c r="K22" s="64"/>
      <c r="L22" s="23" t="s">
        <v>80</v>
      </c>
    </row>
    <row r="23" spans="1:12" ht="14.5" thickBot="1">
      <c r="A23" s="766" t="s">
        <v>235</v>
      </c>
      <c r="B23" s="767"/>
      <c r="C23" s="767"/>
      <c r="D23" s="768"/>
      <c r="E23" s="64"/>
      <c r="F23" s="64"/>
      <c r="G23" s="64"/>
      <c r="H23" s="64"/>
      <c r="I23" s="64"/>
      <c r="J23" s="65"/>
      <c r="K23" s="64"/>
      <c r="L23" s="65"/>
    </row>
    <row r="24" spans="1:12" ht="14.5" thickBot="1">
      <c r="A24" s="766" t="s">
        <v>236</v>
      </c>
      <c r="B24" s="767"/>
      <c r="C24" s="767"/>
      <c r="D24" s="768"/>
      <c r="E24" s="64"/>
      <c r="F24" s="64"/>
      <c r="G24" s="64"/>
      <c r="H24" s="64"/>
      <c r="I24" s="64"/>
      <c r="J24" s="65"/>
      <c r="K24" s="64"/>
      <c r="L24" s="65"/>
    </row>
    <row r="25" spans="1:12" ht="14.5" thickBot="1">
      <c r="A25" s="766" t="s">
        <v>237</v>
      </c>
      <c r="B25" s="767"/>
      <c r="C25" s="767"/>
      <c r="D25" s="768"/>
      <c r="E25" s="64"/>
      <c r="F25" s="64"/>
      <c r="G25" s="64"/>
      <c r="H25" s="64"/>
      <c r="I25" s="64"/>
      <c r="J25" s="65"/>
      <c r="K25" s="64"/>
      <c r="L25" s="65"/>
    </row>
    <row r="26" spans="1:12" ht="14.5" thickBot="1">
      <c r="A26" s="766" t="s">
        <v>238</v>
      </c>
      <c r="B26" s="767"/>
      <c r="C26" s="767"/>
      <c r="D26" s="768"/>
      <c r="E26" s="64"/>
      <c r="F26" s="64"/>
      <c r="G26" s="64"/>
      <c r="H26" s="64"/>
      <c r="I26" s="64"/>
      <c r="J26" s="65"/>
      <c r="K26" s="64"/>
      <c r="L26" s="65"/>
    </row>
    <row r="27" spans="1:12" ht="14.5" thickBot="1">
      <c r="A27" s="766" t="s">
        <v>239</v>
      </c>
      <c r="B27" s="767"/>
      <c r="C27" s="767"/>
      <c r="D27" s="768"/>
      <c r="E27" s="64"/>
      <c r="F27" s="64"/>
      <c r="G27" s="64"/>
      <c r="H27" s="64"/>
      <c r="I27" s="64"/>
      <c r="J27" s="65"/>
      <c r="K27" s="64"/>
      <c r="L27" s="65"/>
    </row>
    <row r="28" spans="1:12" ht="26.25" customHeight="1" thickBot="1">
      <c r="A28" s="766" t="s">
        <v>240</v>
      </c>
      <c r="B28" s="767"/>
      <c r="C28" s="767"/>
      <c r="D28" s="768"/>
      <c r="E28" s="64"/>
      <c r="F28" s="64"/>
      <c r="G28" s="64"/>
      <c r="H28" s="64"/>
      <c r="I28" s="64"/>
      <c r="J28" s="65"/>
      <c r="K28" s="64"/>
      <c r="L28" s="65"/>
    </row>
    <row r="29" spans="1:12" ht="14.5" thickBot="1">
      <c r="A29" s="783" t="s">
        <v>241</v>
      </c>
      <c r="B29" s="784"/>
      <c r="C29" s="784"/>
      <c r="D29" s="785"/>
      <c r="E29" s="66"/>
      <c r="F29" s="66"/>
      <c r="G29" s="66"/>
      <c r="H29" s="66"/>
      <c r="I29" s="66"/>
      <c r="J29" s="67"/>
      <c r="K29" s="66"/>
      <c r="L29" s="67"/>
    </row>
    <row r="30" spans="1:12" ht="15.5" thickTop="1" thickBot="1">
      <c r="A30" s="776"/>
      <c r="B30" s="777"/>
      <c r="C30" s="777"/>
      <c r="D30" s="791"/>
      <c r="E30" s="769" t="s">
        <v>540</v>
      </c>
      <c r="F30" s="771"/>
      <c r="G30" s="769" t="s">
        <v>541</v>
      </c>
      <c r="H30" s="771"/>
      <c r="I30" s="769" t="s">
        <v>542</v>
      </c>
      <c r="J30" s="771"/>
      <c r="K30" s="769" t="s">
        <v>543</v>
      </c>
      <c r="L30" s="771"/>
    </row>
    <row r="31" spans="1:12" ht="15.5" thickTop="1" thickBot="1">
      <c r="A31" s="776"/>
      <c r="B31" s="777"/>
      <c r="C31" s="777"/>
      <c r="D31" s="791"/>
      <c r="E31" s="762" t="s">
        <v>230</v>
      </c>
      <c r="F31" s="772"/>
      <c r="G31" s="762" t="s">
        <v>230</v>
      </c>
      <c r="H31" s="772"/>
      <c r="I31" s="762" t="s">
        <v>230</v>
      </c>
      <c r="J31" s="772"/>
      <c r="K31" s="762" t="s">
        <v>230</v>
      </c>
      <c r="L31" s="772"/>
    </row>
    <row r="32" spans="1:12" ht="14.5" thickBot="1">
      <c r="A32" s="780" t="s">
        <v>226</v>
      </c>
      <c r="B32" s="781"/>
      <c r="C32" s="781"/>
      <c r="D32" s="782"/>
      <c r="E32" s="765"/>
      <c r="F32" s="773"/>
      <c r="G32" s="765"/>
      <c r="H32" s="773"/>
      <c r="I32" s="765"/>
      <c r="J32" s="773"/>
      <c r="K32" s="765"/>
      <c r="L32" s="773"/>
    </row>
    <row r="33" spans="1:12" ht="14.5" thickBot="1">
      <c r="A33" s="763" t="s">
        <v>246</v>
      </c>
      <c r="B33" s="545"/>
      <c r="C33" s="545"/>
      <c r="D33" s="764"/>
      <c r="E33" s="774" t="s">
        <v>231</v>
      </c>
      <c r="F33" s="775"/>
      <c r="G33" s="774" t="s">
        <v>231</v>
      </c>
      <c r="H33" s="775"/>
      <c r="I33" s="774" t="s">
        <v>231</v>
      </c>
      <c r="J33" s="775"/>
      <c r="K33" s="774" t="s">
        <v>231</v>
      </c>
      <c r="L33" s="775"/>
    </row>
    <row r="34" spans="1:12" ht="14.5" thickBot="1">
      <c r="A34" s="763"/>
      <c r="B34" s="545"/>
      <c r="C34" s="545"/>
      <c r="D34" s="764"/>
      <c r="E34" s="765"/>
      <c r="F34" s="773"/>
      <c r="G34" s="765"/>
      <c r="H34" s="773"/>
      <c r="I34" s="765"/>
      <c r="J34" s="773"/>
      <c r="K34" s="765"/>
      <c r="L34" s="773"/>
    </row>
    <row r="35" spans="1:12" ht="14.5" thickBot="1">
      <c r="A35" s="763" t="s">
        <v>247</v>
      </c>
      <c r="B35" s="545"/>
      <c r="C35" s="545"/>
      <c r="D35" s="764"/>
      <c r="E35" s="774"/>
      <c r="F35" s="790" t="s">
        <v>244</v>
      </c>
      <c r="G35" s="774"/>
      <c r="H35" s="790" t="s">
        <v>244</v>
      </c>
      <c r="I35" s="774"/>
      <c r="J35" s="790" t="s">
        <v>244</v>
      </c>
      <c r="K35" s="774"/>
      <c r="L35" s="790" t="s">
        <v>244</v>
      </c>
    </row>
    <row r="36" spans="1:12" ht="14.5" thickBot="1">
      <c r="A36" s="763"/>
      <c r="B36" s="545"/>
      <c r="C36" s="545"/>
      <c r="D36" s="764"/>
      <c r="E36" s="774"/>
      <c r="F36" s="790"/>
      <c r="G36" s="774"/>
      <c r="H36" s="790"/>
      <c r="I36" s="774"/>
      <c r="J36" s="790"/>
      <c r="K36" s="774"/>
      <c r="L36" s="790"/>
    </row>
    <row r="37" spans="1:12" ht="14.5" thickBot="1">
      <c r="A37" s="763" t="s">
        <v>248</v>
      </c>
      <c r="B37" s="545"/>
      <c r="C37" s="545"/>
      <c r="D37" s="764"/>
      <c r="E37" s="774"/>
      <c r="F37" s="790"/>
      <c r="G37" s="774"/>
      <c r="H37" s="790"/>
      <c r="I37" s="774"/>
      <c r="J37" s="790"/>
      <c r="K37" s="774"/>
      <c r="L37" s="790"/>
    </row>
    <row r="38" spans="1:12" ht="14.5" thickBot="1">
      <c r="A38" s="763"/>
      <c r="B38" s="545"/>
      <c r="C38" s="545"/>
      <c r="D38" s="764"/>
      <c r="E38" s="774"/>
      <c r="F38" s="790"/>
      <c r="G38" s="774"/>
      <c r="H38" s="790"/>
      <c r="I38" s="774"/>
      <c r="J38" s="790"/>
      <c r="K38" s="774"/>
      <c r="L38" s="790"/>
    </row>
    <row r="39" spans="1:12" ht="14.5" thickBot="1">
      <c r="A39" s="763" t="s">
        <v>249</v>
      </c>
      <c r="B39" s="545"/>
      <c r="C39" s="545"/>
      <c r="D39" s="764"/>
      <c r="E39" s="774"/>
      <c r="F39" s="790"/>
      <c r="G39" s="774"/>
      <c r="H39" s="790"/>
      <c r="I39" s="774"/>
      <c r="J39" s="790"/>
      <c r="K39" s="774"/>
      <c r="L39" s="790"/>
    </row>
    <row r="40" spans="1:12" ht="14.5" thickBot="1">
      <c r="A40" s="786"/>
      <c r="B40" s="787"/>
      <c r="C40" s="787"/>
      <c r="D40" s="788"/>
      <c r="E40" s="774"/>
      <c r="F40" s="790"/>
      <c r="G40" s="774"/>
      <c r="H40" s="790"/>
      <c r="I40" s="774"/>
      <c r="J40" s="790"/>
      <c r="K40" s="774"/>
      <c r="L40" s="790"/>
    </row>
    <row r="41" spans="1:12" ht="14.5" thickBot="1">
      <c r="A41" s="766" t="s">
        <v>245</v>
      </c>
      <c r="B41" s="767"/>
      <c r="C41" s="767"/>
      <c r="D41" s="768"/>
      <c r="E41" s="64"/>
      <c r="F41" s="65"/>
      <c r="G41" s="64"/>
      <c r="H41" s="65"/>
      <c r="I41" s="64"/>
      <c r="J41" s="65"/>
      <c r="K41" s="64"/>
      <c r="L41" s="65"/>
    </row>
    <row r="42" spans="1:12" ht="14.5" thickBot="1">
      <c r="A42" s="766" t="s">
        <v>232</v>
      </c>
      <c r="B42" s="767"/>
      <c r="C42" s="767"/>
      <c r="D42" s="768"/>
      <c r="E42" s="64"/>
      <c r="F42" s="65"/>
      <c r="G42" s="64"/>
      <c r="H42" s="65"/>
      <c r="I42" s="64"/>
      <c r="J42" s="65"/>
      <c r="K42" s="64"/>
      <c r="L42" s="65"/>
    </row>
    <row r="43" spans="1:12" ht="14.5" thickBot="1">
      <c r="A43" s="766" t="s">
        <v>233</v>
      </c>
      <c r="B43" s="767"/>
      <c r="C43" s="767"/>
      <c r="D43" s="768"/>
      <c r="E43" s="64"/>
      <c r="F43" s="65"/>
      <c r="G43" s="64"/>
      <c r="H43" s="65"/>
      <c r="I43" s="64"/>
      <c r="J43" s="65"/>
      <c r="K43" s="64"/>
      <c r="L43" s="65"/>
    </row>
    <row r="44" spans="1:12" ht="25.5" customHeight="1" thickBot="1">
      <c r="A44" s="766" t="s">
        <v>234</v>
      </c>
      <c r="B44" s="767"/>
      <c r="C44" s="767"/>
      <c r="D44" s="768"/>
      <c r="E44" s="64"/>
      <c r="F44" s="23" t="s">
        <v>80</v>
      </c>
      <c r="G44" s="64"/>
      <c r="H44" s="23" t="s">
        <v>80</v>
      </c>
      <c r="I44" s="64"/>
      <c r="J44" s="23" t="s">
        <v>80</v>
      </c>
      <c r="K44" s="64"/>
      <c r="L44" s="23" t="s">
        <v>80</v>
      </c>
    </row>
    <row r="45" spans="1:12" ht="14.5" thickBot="1">
      <c r="A45" s="766" t="s">
        <v>235</v>
      </c>
      <c r="B45" s="767"/>
      <c r="C45" s="767"/>
      <c r="D45" s="768"/>
      <c r="E45" s="64"/>
      <c r="F45" s="65"/>
      <c r="G45" s="64"/>
      <c r="H45" s="65"/>
      <c r="I45" s="64"/>
      <c r="J45" s="65"/>
      <c r="K45" s="64"/>
      <c r="L45" s="65"/>
    </row>
    <row r="46" spans="1:12" ht="14.5" thickBot="1">
      <c r="A46" s="766" t="s">
        <v>236</v>
      </c>
      <c r="B46" s="767"/>
      <c r="C46" s="767"/>
      <c r="D46" s="768"/>
      <c r="E46" s="64"/>
      <c r="F46" s="65"/>
      <c r="G46" s="64"/>
      <c r="H46" s="65"/>
      <c r="I46" s="64"/>
      <c r="J46" s="65"/>
      <c r="K46" s="64"/>
      <c r="L46" s="65"/>
    </row>
    <row r="47" spans="1:12" ht="14.5" thickBot="1">
      <c r="A47" s="766" t="s">
        <v>237</v>
      </c>
      <c r="B47" s="767"/>
      <c r="C47" s="767"/>
      <c r="D47" s="768"/>
      <c r="E47" s="64"/>
      <c r="F47" s="65"/>
      <c r="G47" s="64"/>
      <c r="H47" s="65"/>
      <c r="I47" s="64"/>
      <c r="J47" s="65"/>
      <c r="K47" s="64"/>
      <c r="L47" s="65"/>
    </row>
    <row r="48" spans="1:12" ht="14.5" thickBot="1">
      <c r="A48" s="766" t="s">
        <v>238</v>
      </c>
      <c r="B48" s="767"/>
      <c r="C48" s="767"/>
      <c r="D48" s="768"/>
      <c r="E48" s="64"/>
      <c r="F48" s="65"/>
      <c r="G48" s="64"/>
      <c r="H48" s="65"/>
      <c r="I48" s="64"/>
      <c r="J48" s="65"/>
      <c r="K48" s="64"/>
      <c r="L48" s="65"/>
    </row>
    <row r="49" spans="1:12" ht="14.5" thickBot="1">
      <c r="A49" s="766" t="s">
        <v>239</v>
      </c>
      <c r="B49" s="767"/>
      <c r="C49" s="767"/>
      <c r="D49" s="768"/>
      <c r="E49" s="64"/>
      <c r="F49" s="65"/>
      <c r="G49" s="64"/>
      <c r="H49" s="65"/>
      <c r="I49" s="64"/>
      <c r="J49" s="65"/>
      <c r="K49" s="64"/>
      <c r="L49" s="65"/>
    </row>
    <row r="50" spans="1:12" ht="14.5" thickBot="1">
      <c r="A50" s="766" t="s">
        <v>240</v>
      </c>
      <c r="B50" s="767"/>
      <c r="C50" s="767"/>
      <c r="D50" s="768"/>
      <c r="E50" s="64"/>
      <c r="F50" s="65"/>
      <c r="G50" s="64"/>
      <c r="H50" s="65"/>
      <c r="I50" s="64"/>
      <c r="J50" s="65"/>
      <c r="K50" s="64"/>
      <c r="L50" s="65"/>
    </row>
    <row r="51" spans="1:12" ht="14.5" thickBot="1">
      <c r="A51" s="783" t="s">
        <v>241</v>
      </c>
      <c r="B51" s="784"/>
      <c r="C51" s="784"/>
      <c r="D51" s="785"/>
      <c r="E51" s="66"/>
      <c r="F51" s="67"/>
      <c r="G51" s="66"/>
      <c r="H51" s="67"/>
      <c r="I51" s="66"/>
      <c r="J51" s="67"/>
      <c r="K51" s="66"/>
      <c r="L51" s="67"/>
    </row>
    <row r="52" spans="1:12" ht="15.75" customHeight="1" thickTop="1" thickBot="1">
      <c r="A52" s="776"/>
      <c r="B52" s="777"/>
      <c r="C52" s="777"/>
      <c r="D52" s="791"/>
      <c r="E52" s="769" t="s">
        <v>544</v>
      </c>
      <c r="F52" s="771"/>
      <c r="G52" s="769" t="s">
        <v>545</v>
      </c>
      <c r="H52" s="771"/>
      <c r="I52" s="769" t="s">
        <v>546</v>
      </c>
      <c r="J52" s="771"/>
      <c r="K52" s="769" t="s">
        <v>547</v>
      </c>
      <c r="L52" s="771"/>
    </row>
    <row r="53" spans="1:12" ht="15.5" thickTop="1" thickBot="1">
      <c r="A53" s="776"/>
      <c r="B53" s="777"/>
      <c r="C53" s="777"/>
      <c r="D53" s="791"/>
      <c r="E53" s="762" t="s">
        <v>230</v>
      </c>
      <c r="F53" s="772"/>
      <c r="G53" s="762" t="s">
        <v>230</v>
      </c>
      <c r="H53" s="772"/>
      <c r="I53" s="762" t="s">
        <v>230</v>
      </c>
      <c r="J53" s="772"/>
      <c r="K53" s="762" t="s">
        <v>230</v>
      </c>
      <c r="L53" s="772"/>
    </row>
    <row r="54" spans="1:12" ht="14.5" thickBot="1">
      <c r="A54" s="780" t="s">
        <v>226</v>
      </c>
      <c r="B54" s="781"/>
      <c r="C54" s="781"/>
      <c r="D54" s="782"/>
      <c r="E54" s="765"/>
      <c r="F54" s="773"/>
      <c r="G54" s="765"/>
      <c r="H54" s="773"/>
      <c r="I54" s="765"/>
      <c r="J54" s="773"/>
      <c r="K54" s="765"/>
      <c r="L54" s="773"/>
    </row>
    <row r="55" spans="1:12" ht="14.5" thickBot="1">
      <c r="A55" s="763" t="s">
        <v>246</v>
      </c>
      <c r="B55" s="545"/>
      <c r="C55" s="545"/>
      <c r="D55" s="764"/>
      <c r="E55" s="774" t="s">
        <v>231</v>
      </c>
      <c r="F55" s="775"/>
      <c r="G55" s="774" t="s">
        <v>231</v>
      </c>
      <c r="H55" s="775"/>
      <c r="I55" s="774" t="s">
        <v>231</v>
      </c>
      <c r="J55" s="775"/>
      <c r="K55" s="774" t="s">
        <v>231</v>
      </c>
      <c r="L55" s="775"/>
    </row>
    <row r="56" spans="1:12" ht="14.5" thickBot="1">
      <c r="A56" s="763"/>
      <c r="B56" s="545"/>
      <c r="C56" s="545"/>
      <c r="D56" s="764"/>
      <c r="E56" s="765"/>
      <c r="F56" s="773"/>
      <c r="G56" s="765"/>
      <c r="H56" s="773"/>
      <c r="I56" s="765"/>
      <c r="J56" s="773"/>
      <c r="K56" s="765"/>
      <c r="L56" s="773"/>
    </row>
    <row r="57" spans="1:12" ht="14.5" thickBot="1">
      <c r="A57" s="763" t="s">
        <v>247</v>
      </c>
      <c r="B57" s="545"/>
      <c r="C57" s="545"/>
      <c r="D57" s="764"/>
      <c r="E57" s="774"/>
      <c r="F57" s="790" t="s">
        <v>244</v>
      </c>
      <c r="G57" s="774"/>
      <c r="H57" s="790" t="s">
        <v>244</v>
      </c>
      <c r="I57" s="774"/>
      <c r="J57" s="790" t="s">
        <v>244</v>
      </c>
      <c r="K57" s="774"/>
      <c r="L57" s="790" t="s">
        <v>244</v>
      </c>
    </row>
    <row r="58" spans="1:12" ht="14.5" thickBot="1">
      <c r="A58" s="763"/>
      <c r="B58" s="545"/>
      <c r="C58" s="545"/>
      <c r="D58" s="764"/>
      <c r="E58" s="774"/>
      <c r="F58" s="790"/>
      <c r="G58" s="774"/>
      <c r="H58" s="790"/>
      <c r="I58" s="774"/>
      <c r="J58" s="790"/>
      <c r="K58" s="774"/>
      <c r="L58" s="790"/>
    </row>
    <row r="59" spans="1:12" ht="14.5" thickBot="1">
      <c r="A59" s="763" t="s">
        <v>248</v>
      </c>
      <c r="B59" s="545"/>
      <c r="C59" s="545"/>
      <c r="D59" s="764"/>
      <c r="E59" s="774"/>
      <c r="F59" s="790"/>
      <c r="G59" s="774"/>
      <c r="H59" s="790"/>
      <c r="I59" s="774"/>
      <c r="J59" s="790"/>
      <c r="K59" s="774"/>
      <c r="L59" s="790"/>
    </row>
    <row r="60" spans="1:12" ht="14.5" thickBot="1">
      <c r="A60" s="763"/>
      <c r="B60" s="545"/>
      <c r="C60" s="545"/>
      <c r="D60" s="764"/>
      <c r="E60" s="774"/>
      <c r="F60" s="790"/>
      <c r="G60" s="774"/>
      <c r="H60" s="790"/>
      <c r="I60" s="774"/>
      <c r="J60" s="790"/>
      <c r="K60" s="774"/>
      <c r="L60" s="790"/>
    </row>
    <row r="61" spans="1:12" ht="14.5" thickBot="1">
      <c r="A61" s="763" t="s">
        <v>249</v>
      </c>
      <c r="B61" s="545"/>
      <c r="C61" s="545"/>
      <c r="D61" s="764"/>
      <c r="E61" s="774"/>
      <c r="F61" s="790"/>
      <c r="G61" s="774"/>
      <c r="H61" s="790"/>
      <c r="I61" s="774"/>
      <c r="J61" s="790"/>
      <c r="K61" s="774"/>
      <c r="L61" s="790"/>
    </row>
    <row r="62" spans="1:12" ht="14.5" thickBot="1">
      <c r="A62" s="786"/>
      <c r="B62" s="787"/>
      <c r="C62" s="787"/>
      <c r="D62" s="788"/>
      <c r="E62" s="774"/>
      <c r="F62" s="790"/>
      <c r="G62" s="774"/>
      <c r="H62" s="790"/>
      <c r="I62" s="774"/>
      <c r="J62" s="790"/>
      <c r="K62" s="774"/>
      <c r="L62" s="790"/>
    </row>
    <row r="63" spans="1:12" ht="14.5" thickBot="1">
      <c r="A63" s="766" t="s">
        <v>245</v>
      </c>
      <c r="B63" s="767"/>
      <c r="C63" s="767"/>
      <c r="D63" s="768"/>
      <c r="E63" s="64"/>
      <c r="F63" s="65"/>
      <c r="G63" s="64"/>
      <c r="H63" s="65"/>
      <c r="I63" s="64"/>
      <c r="J63" s="65"/>
      <c r="K63" s="64"/>
      <c r="L63" s="65"/>
    </row>
    <row r="64" spans="1:12" ht="14.5" thickBot="1">
      <c r="A64" s="766" t="s">
        <v>232</v>
      </c>
      <c r="B64" s="767"/>
      <c r="C64" s="767"/>
      <c r="D64" s="768"/>
      <c r="E64" s="64"/>
      <c r="F64" s="65"/>
      <c r="G64" s="64"/>
      <c r="H64" s="65"/>
      <c r="I64" s="64"/>
      <c r="J64" s="65"/>
      <c r="K64" s="64"/>
      <c r="L64" s="65"/>
    </row>
    <row r="65" spans="1:12" ht="14.5" thickBot="1">
      <c r="A65" s="766" t="s">
        <v>233</v>
      </c>
      <c r="B65" s="767"/>
      <c r="C65" s="767"/>
      <c r="D65" s="768"/>
      <c r="E65" s="64"/>
      <c r="F65" s="65"/>
      <c r="G65" s="64"/>
      <c r="H65" s="65"/>
      <c r="I65" s="64"/>
      <c r="J65" s="65"/>
      <c r="K65" s="64"/>
      <c r="L65" s="65"/>
    </row>
    <row r="66" spans="1:12" ht="27" customHeight="1" thickBot="1">
      <c r="A66" s="766" t="s">
        <v>234</v>
      </c>
      <c r="B66" s="767"/>
      <c r="C66" s="767"/>
      <c r="D66" s="768"/>
      <c r="E66" s="64"/>
      <c r="F66" s="23" t="s">
        <v>80</v>
      </c>
      <c r="G66" s="64"/>
      <c r="H66" s="23" t="s">
        <v>80</v>
      </c>
      <c r="I66" s="64"/>
      <c r="J66" s="23" t="s">
        <v>80</v>
      </c>
      <c r="K66" s="64"/>
      <c r="L66" s="23" t="s">
        <v>80</v>
      </c>
    </row>
    <row r="67" spans="1:12" ht="14.5" thickBot="1">
      <c r="A67" s="766" t="s">
        <v>235</v>
      </c>
      <c r="B67" s="767"/>
      <c r="C67" s="767"/>
      <c r="D67" s="768"/>
      <c r="E67" s="64"/>
      <c r="F67" s="65"/>
      <c r="G67" s="64"/>
      <c r="H67" s="65"/>
      <c r="I67" s="64"/>
      <c r="J67" s="65"/>
      <c r="K67" s="64"/>
      <c r="L67" s="65"/>
    </row>
    <row r="68" spans="1:12" ht="14.5" thickBot="1">
      <c r="A68" s="766" t="s">
        <v>236</v>
      </c>
      <c r="B68" s="767"/>
      <c r="C68" s="767"/>
      <c r="D68" s="768"/>
      <c r="E68" s="64"/>
      <c r="F68" s="65"/>
      <c r="G68" s="64"/>
      <c r="H68" s="65"/>
      <c r="I68" s="64"/>
      <c r="J68" s="65"/>
      <c r="K68" s="64"/>
      <c r="L68" s="65"/>
    </row>
    <row r="69" spans="1:12" ht="14.5" thickBot="1">
      <c r="A69" s="766" t="s">
        <v>237</v>
      </c>
      <c r="B69" s="767"/>
      <c r="C69" s="767"/>
      <c r="D69" s="768"/>
      <c r="E69" s="64"/>
      <c r="F69" s="65"/>
      <c r="G69" s="64"/>
      <c r="H69" s="65"/>
      <c r="I69" s="64"/>
      <c r="J69" s="65"/>
      <c r="K69" s="64"/>
      <c r="L69" s="65"/>
    </row>
    <row r="70" spans="1:12" ht="14.5" thickBot="1">
      <c r="A70" s="766" t="s">
        <v>238</v>
      </c>
      <c r="B70" s="767"/>
      <c r="C70" s="767"/>
      <c r="D70" s="768"/>
      <c r="E70" s="64"/>
      <c r="F70" s="65"/>
      <c r="G70" s="64"/>
      <c r="H70" s="65"/>
      <c r="I70" s="64"/>
      <c r="J70" s="65"/>
      <c r="K70" s="64"/>
      <c r="L70" s="65"/>
    </row>
    <row r="71" spans="1:12" ht="14.5" thickBot="1">
      <c r="A71" s="766" t="s">
        <v>239</v>
      </c>
      <c r="B71" s="767"/>
      <c r="C71" s="767"/>
      <c r="D71" s="768"/>
      <c r="E71" s="64"/>
      <c r="F71" s="65"/>
      <c r="G71" s="64"/>
      <c r="H71" s="65"/>
      <c r="I71" s="64"/>
      <c r="J71" s="65"/>
      <c r="K71" s="64"/>
      <c r="L71" s="65"/>
    </row>
    <row r="72" spans="1:12" ht="28.5" customHeight="1" thickBot="1">
      <c r="A72" s="766" t="s">
        <v>240</v>
      </c>
      <c r="B72" s="767"/>
      <c r="C72" s="767"/>
      <c r="D72" s="768"/>
      <c r="E72" s="64"/>
      <c r="F72" s="65"/>
      <c r="G72" s="64"/>
      <c r="H72" s="65"/>
      <c r="I72" s="64"/>
      <c r="J72" s="65"/>
      <c r="K72" s="64"/>
      <c r="L72" s="65"/>
    </row>
    <row r="73" spans="1:12" ht="14.5" thickBot="1">
      <c r="A73" s="783" t="s">
        <v>241</v>
      </c>
      <c r="B73" s="784"/>
      <c r="C73" s="784"/>
      <c r="D73" s="785"/>
      <c r="E73" s="66"/>
      <c r="F73" s="67"/>
      <c r="G73" s="66"/>
      <c r="H73" s="67"/>
      <c r="I73" s="66"/>
      <c r="J73" s="67"/>
      <c r="K73" s="66"/>
      <c r="L73" s="67"/>
    </row>
    <row r="74" spans="1:12" ht="42" customHeight="1" thickTop="1">
      <c r="A74" s="761" t="s">
        <v>566</v>
      </c>
      <c r="B74" s="761"/>
      <c r="C74" s="761"/>
      <c r="D74" s="761"/>
      <c r="E74" s="761"/>
      <c r="F74" s="761"/>
      <c r="G74" s="761"/>
      <c r="H74" s="761"/>
      <c r="I74" s="761"/>
      <c r="J74" s="761"/>
      <c r="K74" s="761"/>
      <c r="L74" s="761"/>
    </row>
    <row r="75" spans="1:12">
      <c r="A75" s="2"/>
      <c r="B75" s="2"/>
      <c r="C75" s="2"/>
      <c r="D75" s="2"/>
      <c r="E75" s="2"/>
      <c r="F75" s="2"/>
      <c r="G75" s="2"/>
      <c r="H75" s="2"/>
      <c r="I75" s="2"/>
      <c r="J75" s="2"/>
    </row>
    <row r="76" spans="1:12">
      <c r="A76" s="2"/>
      <c r="B76" s="2"/>
      <c r="C76" s="2"/>
      <c r="D76" s="2"/>
      <c r="E76" s="2"/>
      <c r="F76" s="2"/>
      <c r="G76" s="2"/>
      <c r="H76" s="2"/>
      <c r="I76" s="2"/>
      <c r="J76" s="2"/>
    </row>
    <row r="77" spans="1:12">
      <c r="A77" s="2"/>
      <c r="B77" s="2"/>
      <c r="C77" s="2"/>
      <c r="D77" s="2"/>
      <c r="E77" s="2"/>
      <c r="F77" s="2"/>
      <c r="G77" s="2"/>
      <c r="H77" s="2"/>
      <c r="I77" s="2"/>
      <c r="J77" s="2"/>
    </row>
    <row r="78" spans="1:12">
      <c r="A78" s="2"/>
      <c r="B78" s="2"/>
      <c r="C78" s="2"/>
      <c r="D78" s="2"/>
      <c r="E78" s="2"/>
      <c r="F78" s="2"/>
      <c r="G78" s="2"/>
      <c r="H78" s="2"/>
      <c r="I78" s="2"/>
      <c r="J78" s="2"/>
    </row>
    <row r="79" spans="1:12">
      <c r="A79" s="2"/>
      <c r="B79" s="2"/>
      <c r="C79" s="2"/>
      <c r="D79" s="2"/>
      <c r="E79" s="2"/>
      <c r="F79" s="2"/>
      <c r="G79" s="2"/>
      <c r="H79" s="2"/>
      <c r="I79" s="2"/>
      <c r="J79" s="2"/>
    </row>
    <row r="80" spans="1:12">
      <c r="A80" s="2"/>
      <c r="B80" s="2"/>
      <c r="C80" s="2"/>
      <c r="D80" s="2"/>
      <c r="E80" s="2"/>
      <c r="F80" s="2"/>
      <c r="G80" s="2"/>
      <c r="H80" s="2"/>
      <c r="I80" s="2"/>
      <c r="J80" s="2"/>
    </row>
    <row r="81" spans="1:10">
      <c r="A81" s="2"/>
      <c r="B81" s="2"/>
      <c r="C81" s="2"/>
      <c r="D81" s="2"/>
      <c r="E81" s="2"/>
      <c r="F81" s="2"/>
      <c r="G81" s="2"/>
      <c r="H81" s="2"/>
      <c r="I81" s="2"/>
      <c r="J81" s="2"/>
    </row>
    <row r="82" spans="1:10">
      <c r="A82" s="2"/>
      <c r="B82" s="2"/>
      <c r="C82" s="2"/>
      <c r="D82" s="2"/>
      <c r="E82" s="2"/>
      <c r="F82" s="2"/>
      <c r="G82" s="2"/>
      <c r="H82" s="2"/>
      <c r="I82" s="2"/>
      <c r="J82" s="2"/>
    </row>
    <row r="83" spans="1:10">
      <c r="A83" s="2"/>
      <c r="B83" s="2"/>
      <c r="C83" s="2"/>
      <c r="D83" s="2"/>
      <c r="E83" s="2"/>
      <c r="F83" s="2"/>
      <c r="G83" s="2"/>
      <c r="H83" s="2"/>
      <c r="I83" s="2"/>
      <c r="J83" s="2"/>
    </row>
    <row r="84" spans="1:10">
      <c r="A84" s="2"/>
      <c r="B84" s="2"/>
      <c r="C84" s="2"/>
      <c r="D84" s="2"/>
      <c r="E84" s="2"/>
      <c r="F84" s="2"/>
      <c r="G84" s="2"/>
      <c r="H84" s="2"/>
      <c r="I84" s="2"/>
      <c r="J84" s="2"/>
    </row>
    <row r="85" spans="1:10">
      <c r="A85" s="2"/>
      <c r="B85" s="2"/>
      <c r="C85" s="2"/>
      <c r="D85" s="2"/>
      <c r="E85" s="2"/>
      <c r="F85" s="2"/>
      <c r="G85" s="2"/>
      <c r="H85" s="2"/>
      <c r="I85" s="2"/>
      <c r="J85" s="2"/>
    </row>
    <row r="86" spans="1:10">
      <c r="A86" s="2"/>
      <c r="B86" s="2"/>
      <c r="C86" s="2"/>
      <c r="D86" s="2"/>
      <c r="E86" s="2"/>
      <c r="F86" s="2"/>
      <c r="G86" s="2"/>
      <c r="H86" s="2"/>
      <c r="I86" s="2"/>
      <c r="J86" s="2"/>
    </row>
    <row r="87" spans="1:10">
      <c r="A87" s="2"/>
      <c r="B87" s="2"/>
      <c r="C87" s="2"/>
      <c r="D87" s="2"/>
      <c r="E87" s="2"/>
      <c r="F87" s="2"/>
      <c r="G87" s="2"/>
      <c r="H87" s="2"/>
      <c r="I87" s="2"/>
      <c r="J87" s="2"/>
    </row>
    <row r="88" spans="1:10">
      <c r="A88" s="2"/>
      <c r="B88" s="2"/>
      <c r="C88" s="2"/>
      <c r="D88" s="2"/>
      <c r="E88" s="2"/>
      <c r="F88" s="2"/>
      <c r="G88" s="2"/>
      <c r="H88" s="2"/>
      <c r="I88" s="2"/>
      <c r="J88" s="2"/>
    </row>
    <row r="89" spans="1:10">
      <c r="A89" s="2"/>
      <c r="B89" s="2"/>
      <c r="C89" s="2"/>
      <c r="D89" s="2"/>
      <c r="E89" s="2"/>
      <c r="F89" s="2"/>
      <c r="G89" s="2"/>
      <c r="H89" s="2"/>
      <c r="I89" s="2"/>
      <c r="J89" s="2"/>
    </row>
    <row r="90" spans="1:10">
      <c r="A90" s="2"/>
      <c r="B90" s="2"/>
      <c r="C90" s="2"/>
      <c r="D90" s="2"/>
      <c r="E90" s="2"/>
      <c r="F90" s="2"/>
      <c r="G90" s="2"/>
      <c r="H90" s="2"/>
      <c r="I90" s="2"/>
      <c r="J90" s="2"/>
    </row>
    <row r="91" spans="1:10">
      <c r="A91" s="2"/>
      <c r="B91" s="2"/>
      <c r="C91" s="2"/>
      <c r="D91" s="2"/>
      <c r="E91" s="2"/>
      <c r="F91" s="2"/>
      <c r="G91" s="2"/>
      <c r="H91" s="2"/>
      <c r="I91" s="2"/>
      <c r="J91" s="2"/>
    </row>
    <row r="92" spans="1:10">
      <c r="A92" s="2"/>
      <c r="B92" s="2"/>
      <c r="C92" s="2"/>
      <c r="D92" s="2"/>
      <c r="E92" s="2"/>
      <c r="F92" s="2"/>
      <c r="G92" s="2"/>
      <c r="H92" s="2"/>
      <c r="I92" s="2"/>
      <c r="J92" s="2"/>
    </row>
    <row r="93" spans="1:10">
      <c r="A93" s="2"/>
      <c r="B93" s="2"/>
      <c r="C93" s="2"/>
      <c r="D93" s="2"/>
      <c r="E93" s="2"/>
      <c r="F93" s="2"/>
      <c r="G93" s="2"/>
      <c r="H93" s="2"/>
      <c r="I93" s="2"/>
      <c r="J93" s="2"/>
    </row>
    <row r="94" spans="1:10">
      <c r="A94" s="2"/>
      <c r="B94" s="2"/>
      <c r="C94" s="2"/>
      <c r="D94" s="2"/>
      <c r="E94" s="2"/>
      <c r="F94" s="2"/>
      <c r="G94" s="2"/>
      <c r="H94" s="2"/>
      <c r="I94" s="2"/>
      <c r="J94" s="2"/>
    </row>
    <row r="95" spans="1:10">
      <c r="A95" s="2"/>
      <c r="B95" s="2"/>
      <c r="C95" s="2"/>
      <c r="D95" s="2"/>
      <c r="E95" s="2"/>
      <c r="F95" s="2"/>
      <c r="G95" s="2"/>
      <c r="H95" s="2"/>
      <c r="I95" s="2"/>
      <c r="J95" s="2"/>
    </row>
    <row r="96" spans="1:10">
      <c r="A96" s="2"/>
      <c r="B96" s="2"/>
      <c r="C96" s="2"/>
      <c r="D96" s="2"/>
      <c r="E96" s="2"/>
      <c r="F96" s="2"/>
      <c r="G96" s="2"/>
      <c r="H96" s="2"/>
      <c r="I96" s="2"/>
      <c r="J96" s="2"/>
    </row>
    <row r="97" spans="1:10">
      <c r="A97" s="2"/>
      <c r="B97" s="2"/>
      <c r="C97" s="2"/>
      <c r="D97" s="2"/>
      <c r="E97" s="2"/>
      <c r="F97" s="2"/>
      <c r="G97" s="2"/>
      <c r="H97" s="2"/>
      <c r="I97" s="2"/>
      <c r="J97" s="2"/>
    </row>
    <row r="98" spans="1:10">
      <c r="A98" s="2"/>
      <c r="B98" s="2"/>
      <c r="C98" s="2"/>
      <c r="D98" s="2"/>
      <c r="E98" s="2"/>
      <c r="F98" s="2"/>
      <c r="G98" s="2"/>
      <c r="H98" s="2"/>
      <c r="I98" s="2"/>
      <c r="J98" s="2"/>
    </row>
    <row r="99" spans="1:10">
      <c r="A99" s="2"/>
      <c r="B99" s="2"/>
      <c r="C99" s="2"/>
      <c r="D99" s="2"/>
      <c r="E99" s="2"/>
      <c r="F99" s="2"/>
      <c r="G99" s="2"/>
      <c r="H99" s="2"/>
      <c r="I99" s="2"/>
      <c r="J99" s="2"/>
    </row>
    <row r="100" spans="1:10">
      <c r="A100" s="2"/>
      <c r="B100" s="2"/>
      <c r="C100" s="2"/>
      <c r="D100" s="2"/>
      <c r="E100" s="2"/>
      <c r="F100" s="2"/>
      <c r="G100" s="2"/>
      <c r="H100" s="2"/>
      <c r="I100" s="2"/>
      <c r="J100" s="2"/>
    </row>
    <row r="101" spans="1:10">
      <c r="A101" s="2"/>
      <c r="B101" s="2"/>
      <c r="C101" s="2"/>
      <c r="D101" s="2"/>
      <c r="E101" s="2"/>
      <c r="F101" s="2"/>
      <c r="G101" s="2"/>
      <c r="H101" s="2"/>
      <c r="I101" s="2"/>
      <c r="J101" s="2"/>
    </row>
    <row r="102" spans="1:10">
      <c r="A102" s="2"/>
      <c r="B102" s="2"/>
      <c r="C102" s="2"/>
      <c r="D102" s="2"/>
      <c r="E102" s="2"/>
      <c r="F102" s="2"/>
      <c r="G102" s="2"/>
      <c r="H102" s="2"/>
      <c r="I102" s="2"/>
      <c r="J102" s="2"/>
    </row>
    <row r="103" spans="1:10">
      <c r="A103" s="2"/>
      <c r="B103" s="2"/>
      <c r="C103" s="2"/>
      <c r="D103" s="2"/>
      <c r="E103" s="2"/>
      <c r="F103" s="2"/>
      <c r="G103" s="2"/>
      <c r="H103" s="2"/>
      <c r="I103" s="2"/>
      <c r="J103" s="2"/>
    </row>
    <row r="104" spans="1:10">
      <c r="A104" s="2"/>
      <c r="B104" s="2"/>
      <c r="C104" s="2"/>
      <c r="D104" s="2"/>
      <c r="E104" s="2"/>
      <c r="F104" s="2"/>
      <c r="G104" s="2"/>
      <c r="H104" s="2"/>
      <c r="I104" s="2"/>
      <c r="J104" s="2"/>
    </row>
    <row r="105" spans="1:10">
      <c r="A105" s="2"/>
      <c r="B105" s="2"/>
      <c r="C105" s="2"/>
      <c r="D105" s="2"/>
      <c r="E105" s="2"/>
      <c r="F105" s="2"/>
      <c r="G105" s="2"/>
      <c r="H105" s="2"/>
      <c r="I105" s="2"/>
      <c r="J105" s="2"/>
    </row>
    <row r="106" spans="1:10">
      <c r="A106" s="2"/>
      <c r="B106" s="2"/>
      <c r="C106" s="2"/>
      <c r="D106" s="2"/>
      <c r="E106" s="2"/>
      <c r="F106" s="2"/>
      <c r="G106" s="2"/>
      <c r="H106" s="2"/>
      <c r="I106" s="2"/>
      <c r="J106" s="2"/>
    </row>
    <row r="107" spans="1:10">
      <c r="A107" s="2"/>
      <c r="B107" s="2"/>
      <c r="C107" s="2"/>
      <c r="D107" s="2"/>
      <c r="E107" s="2"/>
      <c r="F107" s="2"/>
      <c r="G107" s="2"/>
      <c r="H107" s="2"/>
      <c r="I107" s="2"/>
      <c r="J107" s="2"/>
    </row>
    <row r="108" spans="1:10">
      <c r="A108" s="2"/>
      <c r="B108" s="2"/>
      <c r="C108" s="2"/>
      <c r="D108" s="2"/>
      <c r="E108" s="2"/>
      <c r="F108" s="2"/>
      <c r="G108" s="2"/>
      <c r="H108" s="2"/>
      <c r="I108" s="2"/>
      <c r="J108" s="2"/>
    </row>
    <row r="109" spans="1:10">
      <c r="A109" s="2"/>
      <c r="B109" s="2"/>
      <c r="C109" s="2"/>
      <c r="D109" s="2"/>
      <c r="E109" s="2"/>
      <c r="F109" s="2"/>
      <c r="G109" s="2"/>
      <c r="H109" s="2"/>
      <c r="I109" s="2"/>
      <c r="J109" s="2"/>
    </row>
    <row r="110" spans="1:10">
      <c r="A110" s="2"/>
      <c r="B110" s="2"/>
      <c r="C110" s="2"/>
      <c r="D110" s="2"/>
      <c r="E110" s="2"/>
      <c r="F110" s="2"/>
      <c r="G110" s="2"/>
      <c r="H110" s="2"/>
      <c r="I110" s="2"/>
      <c r="J110" s="2"/>
    </row>
    <row r="111" spans="1:10">
      <c r="A111" s="2"/>
      <c r="B111" s="2"/>
      <c r="C111" s="2"/>
      <c r="D111" s="2"/>
      <c r="E111" s="2"/>
      <c r="F111" s="2"/>
      <c r="G111" s="2"/>
      <c r="H111" s="2"/>
      <c r="I111" s="2"/>
      <c r="J111" s="2"/>
    </row>
    <row r="112" spans="1:10">
      <c r="A112" s="2"/>
      <c r="B112" s="2"/>
      <c r="C112" s="2"/>
      <c r="D112" s="2"/>
      <c r="E112" s="2"/>
      <c r="F112" s="2"/>
      <c r="G112" s="2"/>
      <c r="H112" s="2"/>
      <c r="I112" s="2"/>
      <c r="J112" s="2"/>
    </row>
    <row r="113" spans="1:10">
      <c r="A113" s="2"/>
      <c r="B113" s="2"/>
      <c r="C113" s="2"/>
      <c r="D113" s="2"/>
      <c r="E113" s="2"/>
      <c r="F113" s="2"/>
      <c r="G113" s="2"/>
      <c r="H113" s="2"/>
      <c r="I113" s="2"/>
      <c r="J113" s="2"/>
    </row>
    <row r="114" spans="1:10">
      <c r="A114" s="2"/>
      <c r="B114" s="2"/>
      <c r="C114" s="2"/>
      <c r="D114" s="2"/>
      <c r="E114" s="2"/>
      <c r="F114" s="2"/>
      <c r="G114" s="2"/>
      <c r="H114" s="2"/>
      <c r="I114" s="2"/>
      <c r="J114" s="2"/>
    </row>
    <row r="115" spans="1:10">
      <c r="A115" s="2"/>
      <c r="B115" s="2"/>
      <c r="C115" s="2"/>
      <c r="D115" s="2"/>
      <c r="E115" s="2"/>
      <c r="F115" s="2"/>
      <c r="G115" s="2"/>
      <c r="H115" s="2"/>
      <c r="I115" s="2"/>
      <c r="J115" s="2"/>
    </row>
    <row r="116" spans="1:10">
      <c r="A116" s="2"/>
      <c r="B116" s="2"/>
      <c r="C116" s="2"/>
      <c r="D116" s="2"/>
      <c r="E116" s="2"/>
      <c r="F116" s="2"/>
      <c r="G116" s="2"/>
      <c r="H116" s="2"/>
      <c r="I116" s="2"/>
      <c r="J116" s="2"/>
    </row>
    <row r="117" spans="1:10">
      <c r="A117" s="2"/>
      <c r="B117" s="2"/>
      <c r="C117" s="2"/>
      <c r="D117" s="2"/>
      <c r="E117" s="2"/>
      <c r="F117" s="2"/>
      <c r="G117" s="2"/>
      <c r="H117" s="2"/>
      <c r="I117" s="2"/>
      <c r="J117" s="2"/>
    </row>
    <row r="118" spans="1:10">
      <c r="A118" s="2"/>
      <c r="B118" s="2"/>
      <c r="C118" s="2"/>
      <c r="D118" s="2"/>
      <c r="E118" s="2"/>
      <c r="F118" s="2"/>
      <c r="G118" s="2"/>
      <c r="H118" s="2"/>
      <c r="I118" s="2"/>
      <c r="J118" s="2"/>
    </row>
    <row r="119" spans="1:10">
      <c r="A119" s="2"/>
      <c r="B119" s="2"/>
      <c r="C119" s="2"/>
      <c r="D119" s="2"/>
      <c r="E119" s="2"/>
      <c r="F119" s="2"/>
      <c r="G119" s="2"/>
      <c r="H119" s="2"/>
      <c r="I119" s="2"/>
      <c r="J119" s="2"/>
    </row>
    <row r="120" spans="1:10">
      <c r="A120" s="2"/>
      <c r="B120" s="2"/>
      <c r="C120" s="2"/>
      <c r="D120" s="2"/>
      <c r="E120" s="2"/>
      <c r="F120" s="2"/>
      <c r="G120" s="2"/>
      <c r="H120" s="2"/>
      <c r="I120" s="2"/>
      <c r="J120" s="2"/>
    </row>
    <row r="121" spans="1:10">
      <c r="A121" s="2"/>
      <c r="B121" s="2"/>
      <c r="C121" s="2"/>
      <c r="D121" s="2"/>
      <c r="E121" s="2"/>
      <c r="F121" s="2"/>
      <c r="G121" s="2"/>
      <c r="H121" s="2"/>
      <c r="I121" s="2"/>
      <c r="J121" s="2"/>
    </row>
    <row r="122" spans="1:10">
      <c r="A122" s="2"/>
      <c r="B122" s="2"/>
      <c r="C122" s="2"/>
      <c r="D122" s="2"/>
      <c r="E122" s="2"/>
      <c r="F122" s="2"/>
      <c r="G122" s="2"/>
      <c r="H122" s="2"/>
      <c r="I122" s="2"/>
      <c r="J122" s="2"/>
    </row>
    <row r="123" spans="1:10">
      <c r="A123" s="2"/>
      <c r="B123" s="2"/>
      <c r="C123" s="2"/>
      <c r="D123" s="2"/>
      <c r="E123" s="2"/>
      <c r="F123" s="2"/>
      <c r="G123" s="2"/>
      <c r="H123" s="2"/>
      <c r="I123" s="2"/>
      <c r="J123" s="2"/>
    </row>
    <row r="124" spans="1:10">
      <c r="A124" s="2"/>
      <c r="B124" s="2"/>
      <c r="C124" s="2"/>
      <c r="D124" s="2"/>
      <c r="E124" s="2"/>
      <c r="F124" s="2"/>
      <c r="G124" s="2"/>
      <c r="H124" s="2"/>
      <c r="I124" s="2"/>
      <c r="J124" s="2"/>
    </row>
    <row r="125" spans="1:10">
      <c r="A125" s="2"/>
      <c r="B125" s="2"/>
      <c r="C125" s="2"/>
      <c r="D125" s="2"/>
      <c r="E125" s="2"/>
      <c r="F125" s="2"/>
      <c r="G125" s="2"/>
      <c r="H125" s="2"/>
      <c r="I125" s="2"/>
      <c r="J125" s="2"/>
    </row>
    <row r="126" spans="1:10">
      <c r="A126" s="2"/>
      <c r="B126" s="2"/>
      <c r="C126" s="2"/>
      <c r="D126" s="2"/>
      <c r="E126" s="2"/>
      <c r="F126" s="2"/>
      <c r="G126" s="2"/>
      <c r="H126" s="2"/>
      <c r="I126" s="2"/>
      <c r="J126" s="2"/>
    </row>
    <row r="127" spans="1:10">
      <c r="A127" s="2"/>
      <c r="B127" s="2"/>
      <c r="C127" s="2"/>
      <c r="D127" s="2"/>
      <c r="E127" s="2"/>
      <c r="F127" s="2"/>
      <c r="G127" s="2"/>
      <c r="H127" s="2"/>
      <c r="I127" s="2"/>
      <c r="J127" s="2"/>
    </row>
    <row r="128" spans="1:10">
      <c r="A128" s="2"/>
      <c r="B128" s="2"/>
      <c r="C128" s="2"/>
      <c r="D128" s="2"/>
      <c r="E128" s="2"/>
      <c r="F128" s="2"/>
      <c r="G128" s="2"/>
      <c r="H128" s="2"/>
      <c r="I128" s="2"/>
      <c r="J128" s="2"/>
    </row>
    <row r="129" spans="1:10">
      <c r="A129" s="2"/>
      <c r="B129" s="2"/>
      <c r="C129" s="2"/>
      <c r="D129" s="2"/>
      <c r="E129" s="2"/>
      <c r="F129" s="2"/>
      <c r="G129" s="2"/>
      <c r="H129" s="2"/>
      <c r="I129" s="2"/>
      <c r="J129" s="2"/>
    </row>
    <row r="130" spans="1:10">
      <c r="A130" s="2"/>
      <c r="B130" s="2"/>
      <c r="C130" s="2"/>
      <c r="D130" s="2"/>
      <c r="E130" s="2"/>
      <c r="F130" s="2"/>
      <c r="G130" s="2"/>
      <c r="H130" s="2"/>
      <c r="I130" s="2"/>
      <c r="J130" s="2"/>
    </row>
    <row r="131" spans="1:10">
      <c r="A131" s="2"/>
      <c r="B131" s="2"/>
      <c r="C131" s="2"/>
      <c r="D131" s="2"/>
      <c r="E131" s="2"/>
      <c r="F131" s="2"/>
      <c r="G131" s="2"/>
      <c r="H131" s="2"/>
      <c r="I131" s="2"/>
      <c r="J131" s="2"/>
    </row>
    <row r="132" spans="1:10">
      <c r="A132" s="2"/>
      <c r="B132" s="2"/>
      <c r="C132" s="2"/>
      <c r="D132" s="2"/>
      <c r="E132" s="2"/>
      <c r="F132" s="2"/>
      <c r="G132" s="2"/>
      <c r="H132" s="2"/>
      <c r="I132" s="2"/>
      <c r="J132" s="2"/>
    </row>
    <row r="133" spans="1:10">
      <c r="A133" s="2"/>
      <c r="B133" s="2"/>
      <c r="C133" s="2"/>
      <c r="D133" s="2"/>
      <c r="E133" s="2"/>
      <c r="F133" s="2"/>
      <c r="G133" s="2"/>
      <c r="H133" s="2"/>
      <c r="I133" s="2"/>
      <c r="J133" s="2"/>
    </row>
    <row r="134" spans="1:10">
      <c r="A134" s="2"/>
      <c r="B134" s="2"/>
      <c r="C134" s="2"/>
      <c r="D134" s="2"/>
      <c r="E134" s="2"/>
      <c r="F134" s="2"/>
      <c r="G134" s="2"/>
      <c r="H134" s="2"/>
      <c r="I134" s="2"/>
      <c r="J134" s="2"/>
    </row>
    <row r="135" spans="1:10">
      <c r="A135" s="2"/>
      <c r="B135" s="2"/>
      <c r="C135" s="2"/>
      <c r="D135" s="2"/>
      <c r="E135" s="2"/>
      <c r="F135" s="2"/>
      <c r="G135" s="2"/>
      <c r="H135" s="2"/>
      <c r="I135" s="2"/>
      <c r="J135" s="2"/>
    </row>
    <row r="136" spans="1:10">
      <c r="A136" s="2"/>
      <c r="B136" s="2"/>
      <c r="C136" s="2"/>
      <c r="D136" s="2"/>
      <c r="E136" s="2"/>
      <c r="F136" s="2"/>
      <c r="G136" s="2"/>
      <c r="H136" s="2"/>
      <c r="I136" s="2"/>
      <c r="J136" s="2"/>
    </row>
    <row r="137" spans="1:10">
      <c r="A137" s="2"/>
      <c r="B137" s="2"/>
      <c r="C137" s="2"/>
      <c r="D137" s="2"/>
      <c r="E137" s="2"/>
      <c r="F137" s="2"/>
      <c r="G137" s="2"/>
      <c r="H137" s="2"/>
      <c r="I137" s="2"/>
      <c r="J137" s="2"/>
    </row>
    <row r="138" spans="1:10">
      <c r="A138" s="2"/>
      <c r="B138" s="2"/>
      <c r="C138" s="2"/>
      <c r="D138" s="2"/>
      <c r="E138" s="2"/>
      <c r="F138" s="2"/>
      <c r="G138" s="2"/>
      <c r="H138" s="2"/>
      <c r="I138" s="2"/>
      <c r="J138" s="2"/>
    </row>
    <row r="139" spans="1:10">
      <c r="A139" s="2"/>
      <c r="B139" s="2"/>
      <c r="C139" s="2"/>
      <c r="D139" s="2"/>
      <c r="E139" s="2"/>
      <c r="F139" s="2"/>
      <c r="G139" s="2"/>
      <c r="H139" s="2"/>
      <c r="I139" s="2"/>
      <c r="J139" s="2"/>
    </row>
    <row r="140" spans="1:10">
      <c r="A140" s="2"/>
      <c r="B140" s="2"/>
      <c r="C140" s="2"/>
      <c r="D140" s="2"/>
      <c r="E140" s="2"/>
      <c r="F140" s="2"/>
      <c r="G140" s="2"/>
      <c r="H140" s="2"/>
      <c r="I140" s="2"/>
      <c r="J140" s="2"/>
    </row>
    <row r="141" spans="1:10">
      <c r="A141" s="2"/>
      <c r="B141" s="2"/>
      <c r="C141" s="2"/>
      <c r="D141" s="2"/>
      <c r="E141" s="2"/>
      <c r="F141" s="2"/>
      <c r="G141" s="2"/>
      <c r="H141" s="2"/>
      <c r="I141" s="2"/>
      <c r="J141" s="2"/>
    </row>
    <row r="142" spans="1:10">
      <c r="A142" s="2"/>
      <c r="B142" s="2"/>
      <c r="C142" s="2"/>
      <c r="D142" s="2"/>
      <c r="E142" s="2"/>
      <c r="F142" s="2"/>
      <c r="G142" s="2"/>
      <c r="H142" s="2"/>
      <c r="I142" s="2"/>
      <c r="J142" s="2"/>
    </row>
    <row r="143" spans="1:10">
      <c r="A143" s="2"/>
      <c r="B143" s="2"/>
      <c r="C143" s="2"/>
      <c r="D143" s="2"/>
      <c r="E143" s="2"/>
      <c r="F143" s="2"/>
      <c r="G143" s="2"/>
      <c r="H143" s="2"/>
      <c r="I143" s="2"/>
      <c r="J143" s="2"/>
    </row>
    <row r="144" spans="1:10">
      <c r="A144" s="2"/>
      <c r="B144" s="2"/>
      <c r="C144" s="2"/>
      <c r="D144" s="2"/>
      <c r="E144" s="2"/>
      <c r="F144" s="2"/>
      <c r="G144" s="2"/>
      <c r="H144" s="2"/>
      <c r="I144" s="2"/>
      <c r="J144" s="2"/>
    </row>
    <row r="145" spans="1:10">
      <c r="A145" s="2"/>
      <c r="B145" s="2"/>
      <c r="C145" s="2"/>
      <c r="D145" s="2"/>
      <c r="E145" s="2"/>
      <c r="F145" s="2"/>
      <c r="G145" s="2"/>
      <c r="H145" s="2"/>
      <c r="I145" s="2"/>
      <c r="J145" s="2"/>
    </row>
    <row r="146" spans="1:10">
      <c r="A146" s="2"/>
      <c r="B146" s="2"/>
      <c r="C146" s="2"/>
      <c r="D146" s="2"/>
      <c r="E146" s="2"/>
      <c r="F146" s="2"/>
      <c r="G146" s="2"/>
      <c r="H146" s="2"/>
      <c r="I146" s="2"/>
      <c r="J146" s="2"/>
    </row>
    <row r="147" spans="1:10">
      <c r="A147" s="2"/>
      <c r="B147" s="2"/>
      <c r="C147" s="2"/>
      <c r="D147" s="2"/>
      <c r="E147" s="2"/>
      <c r="F147" s="2"/>
      <c r="G147" s="2"/>
      <c r="H147" s="2"/>
      <c r="I147" s="2"/>
      <c r="J147" s="2"/>
    </row>
    <row r="148" spans="1:10">
      <c r="A148" s="2"/>
      <c r="B148" s="2"/>
      <c r="C148" s="2"/>
      <c r="D148" s="2"/>
      <c r="E148" s="2"/>
      <c r="F148" s="2"/>
      <c r="G148" s="2"/>
      <c r="H148" s="2"/>
      <c r="I148" s="2"/>
      <c r="J148" s="2"/>
    </row>
    <row r="149" spans="1:10">
      <c r="A149" s="2"/>
      <c r="B149" s="2"/>
      <c r="C149" s="2"/>
      <c r="D149" s="2"/>
      <c r="E149" s="2"/>
      <c r="F149" s="2"/>
      <c r="G149" s="2"/>
      <c r="H149" s="2"/>
      <c r="I149" s="2"/>
      <c r="J149" s="2"/>
    </row>
    <row r="150" spans="1:10">
      <c r="A150" s="2"/>
      <c r="B150" s="2"/>
      <c r="C150" s="2"/>
      <c r="D150" s="2"/>
      <c r="E150" s="2"/>
      <c r="F150" s="2"/>
      <c r="G150" s="2"/>
      <c r="H150" s="2"/>
      <c r="I150" s="2"/>
      <c r="J150" s="2"/>
    </row>
    <row r="151" spans="1:10">
      <c r="A151" s="2"/>
      <c r="B151" s="2"/>
      <c r="C151" s="2"/>
      <c r="D151" s="2"/>
      <c r="E151" s="2"/>
      <c r="F151" s="2"/>
      <c r="G151" s="2"/>
      <c r="H151" s="2"/>
      <c r="I151" s="2"/>
      <c r="J151" s="2"/>
    </row>
    <row r="152" spans="1:10">
      <c r="A152" s="2"/>
      <c r="B152" s="2"/>
      <c r="C152" s="2"/>
      <c r="D152" s="2"/>
      <c r="E152" s="2"/>
      <c r="F152" s="2"/>
      <c r="G152" s="2"/>
      <c r="H152" s="2"/>
      <c r="I152" s="2"/>
      <c r="J152" s="2"/>
    </row>
    <row r="153" spans="1:10">
      <c r="A153" s="2"/>
      <c r="B153" s="2"/>
      <c r="C153" s="2"/>
      <c r="D153" s="2"/>
      <c r="E153" s="2"/>
      <c r="F153" s="2"/>
      <c r="G153" s="2"/>
      <c r="H153" s="2"/>
      <c r="I153" s="2"/>
      <c r="J153" s="2"/>
    </row>
    <row r="154" spans="1:10">
      <c r="A154" s="2"/>
      <c r="B154" s="2"/>
      <c r="C154" s="2"/>
      <c r="D154" s="2"/>
      <c r="E154" s="2"/>
      <c r="F154" s="2"/>
      <c r="G154" s="2"/>
      <c r="H154" s="2"/>
      <c r="I154" s="2"/>
      <c r="J154" s="2"/>
    </row>
    <row r="155" spans="1:10">
      <c r="A155" s="2"/>
      <c r="B155" s="2"/>
      <c r="C155" s="2"/>
      <c r="D155" s="2"/>
      <c r="E155" s="2"/>
      <c r="F155" s="2"/>
      <c r="G155" s="2"/>
      <c r="H155" s="2"/>
      <c r="I155" s="2"/>
      <c r="J155" s="2"/>
    </row>
    <row r="156" spans="1:10">
      <c r="A156" s="2"/>
      <c r="B156" s="2"/>
      <c r="C156" s="2"/>
      <c r="D156" s="2"/>
      <c r="E156" s="2"/>
      <c r="F156" s="2"/>
      <c r="G156" s="2"/>
      <c r="H156" s="2"/>
      <c r="I156" s="2"/>
      <c r="J156" s="2"/>
    </row>
    <row r="157" spans="1:10">
      <c r="A157" s="2"/>
      <c r="B157" s="2"/>
      <c r="C157" s="2"/>
      <c r="D157" s="2"/>
      <c r="E157" s="2"/>
      <c r="F157" s="2"/>
      <c r="G157" s="2"/>
      <c r="H157" s="2"/>
      <c r="I157" s="2"/>
      <c r="J157" s="2"/>
    </row>
    <row r="158" spans="1:10">
      <c r="A158" s="2"/>
      <c r="B158" s="2"/>
      <c r="C158" s="2"/>
      <c r="D158" s="2"/>
      <c r="E158" s="2"/>
      <c r="F158" s="2"/>
      <c r="G158" s="2"/>
      <c r="H158" s="2"/>
      <c r="I158" s="2"/>
      <c r="J158" s="2"/>
    </row>
    <row r="159" spans="1:10">
      <c r="A159" s="2"/>
      <c r="B159" s="2"/>
      <c r="C159" s="2"/>
      <c r="D159" s="2"/>
      <c r="E159" s="2"/>
      <c r="F159" s="2"/>
      <c r="G159" s="2"/>
      <c r="H159" s="2"/>
      <c r="I159" s="2"/>
      <c r="J159" s="2"/>
    </row>
    <row r="160" spans="1:10">
      <c r="A160" s="2"/>
      <c r="B160" s="2"/>
      <c r="C160" s="2"/>
      <c r="D160" s="2"/>
      <c r="E160" s="2"/>
      <c r="F160" s="2"/>
      <c r="G160" s="2"/>
      <c r="H160" s="2"/>
      <c r="I160" s="2"/>
      <c r="J160" s="2"/>
    </row>
    <row r="161" spans="1:10">
      <c r="A161" s="2"/>
      <c r="B161" s="2"/>
      <c r="C161" s="2"/>
      <c r="D161" s="2"/>
      <c r="E161" s="2"/>
      <c r="F161" s="2"/>
      <c r="G161" s="2"/>
      <c r="H161" s="2"/>
      <c r="I161" s="2"/>
      <c r="J161" s="2"/>
    </row>
    <row r="162" spans="1:10">
      <c r="A162" s="2"/>
      <c r="B162" s="2"/>
      <c r="C162" s="2"/>
      <c r="D162" s="2"/>
      <c r="E162" s="2"/>
      <c r="F162" s="2"/>
      <c r="G162" s="2"/>
      <c r="H162" s="2"/>
      <c r="I162" s="2"/>
      <c r="J162" s="2"/>
    </row>
    <row r="163" spans="1:10">
      <c r="A163" s="2"/>
      <c r="B163" s="2"/>
      <c r="C163" s="2"/>
      <c r="D163" s="2"/>
      <c r="E163" s="2"/>
      <c r="F163" s="2"/>
      <c r="G163" s="2"/>
      <c r="H163" s="2"/>
      <c r="I163" s="2"/>
      <c r="J163" s="2"/>
    </row>
    <row r="164" spans="1:10">
      <c r="A164" s="2"/>
      <c r="B164" s="2"/>
      <c r="C164" s="2"/>
      <c r="D164" s="2"/>
      <c r="E164" s="2"/>
      <c r="F164" s="2"/>
      <c r="G164" s="2"/>
      <c r="H164" s="2"/>
      <c r="I164" s="2"/>
      <c r="J164" s="2"/>
    </row>
    <row r="165" spans="1:10">
      <c r="A165" s="2"/>
      <c r="B165" s="2"/>
      <c r="C165" s="2"/>
      <c r="D165" s="2"/>
      <c r="E165" s="2"/>
      <c r="F165" s="2"/>
      <c r="G165" s="2"/>
      <c r="H165" s="2"/>
      <c r="I165" s="2"/>
      <c r="J165" s="2"/>
    </row>
    <row r="166" spans="1:10">
      <c r="A166" s="2"/>
      <c r="B166" s="2"/>
      <c r="C166" s="2"/>
      <c r="D166" s="2"/>
      <c r="E166" s="2"/>
      <c r="F166" s="2"/>
      <c r="G166" s="2"/>
      <c r="H166" s="2"/>
      <c r="I166" s="2"/>
      <c r="J166" s="2"/>
    </row>
    <row r="167" spans="1:10">
      <c r="A167" s="2"/>
      <c r="B167" s="2"/>
      <c r="C167" s="2"/>
      <c r="D167" s="2"/>
      <c r="E167" s="2"/>
      <c r="F167" s="2"/>
      <c r="G167" s="2"/>
      <c r="H167" s="2"/>
      <c r="I167" s="2"/>
      <c r="J167" s="2"/>
    </row>
    <row r="168" spans="1:10">
      <c r="A168" s="2"/>
      <c r="B168" s="2"/>
      <c r="C168" s="2"/>
      <c r="D168" s="2"/>
      <c r="E168" s="2"/>
      <c r="F168" s="2"/>
      <c r="G168" s="2"/>
      <c r="H168" s="2"/>
      <c r="I168" s="2"/>
      <c r="J168" s="2"/>
    </row>
    <row r="169" spans="1:10">
      <c r="A169" s="2"/>
      <c r="B169" s="2"/>
      <c r="C169" s="2"/>
      <c r="D169" s="2"/>
      <c r="E169" s="2"/>
      <c r="F169" s="2"/>
      <c r="G169" s="2"/>
      <c r="H169" s="2"/>
      <c r="I169" s="2"/>
      <c r="J169" s="2"/>
    </row>
    <row r="170" spans="1:10">
      <c r="A170" s="2"/>
      <c r="B170" s="2"/>
      <c r="C170" s="2"/>
      <c r="D170" s="2"/>
      <c r="E170" s="2"/>
      <c r="F170" s="2"/>
      <c r="G170" s="2"/>
      <c r="H170" s="2"/>
      <c r="I170" s="2"/>
      <c r="J170" s="2"/>
    </row>
  </sheetData>
  <sheetProtection algorithmName="SHA-512" hashValue="Kmo0thrB4SbqBT+TrNfDtyKwe0qfq8rOSDPJ1elH0NeyhXWE2YQC2yyVhHLSMz9kFUwt17pbNZsMddr8mOeS6Q==" saltValue="c/1NjFms4bhLwNK0G08cJA==" spinCount="100000" sheet="1" objects="1" scenarios="1" selectLockedCells="1"/>
  <customSheetViews>
    <customSheetView guid="{FA063EB1-52B3-49D8-83D1-441968C7020F}">
      <selection activeCell="D8" sqref="D8"/>
      <rowBreaks count="2" manualBreakCount="2">
        <brk id="29" max="16383" man="1"/>
        <brk id="51" max="16383" man="1"/>
      </rowBreaks>
      <pageMargins left="0.5" right="0.5" top="0.75" bottom="0.75" header="0.25" footer="0.25"/>
      <printOptions horizontalCentered="1"/>
      <pageSetup fitToHeight="3" orientation="landscape" r:id="rId1"/>
      <headerFooter>
        <oddHeader>&amp;L&amp;"Arial,Regular"&amp;8Texas Health and Human Services Commission&amp;C&amp;"Arial,Bold"&amp;12DAY ACTIVITY AND HEALTH SERVICES (DAHS)
VEHICLE CHECKLIST&amp;R&amp;"Arial,Regular"&amp;8Page &amp;P</oddHeader>
      </headerFooter>
    </customSheetView>
  </customSheetViews>
  <mergeCells count="160">
    <mergeCell ref="I57:I62"/>
    <mergeCell ref="J57:J62"/>
    <mergeCell ref="K57:K62"/>
    <mergeCell ref="L57:L62"/>
    <mergeCell ref="A71:D71"/>
    <mergeCell ref="A72:D72"/>
    <mergeCell ref="H57:H62"/>
    <mergeCell ref="G57:G62"/>
    <mergeCell ref="E57:E62"/>
    <mergeCell ref="F57:F62"/>
    <mergeCell ref="A73:D73"/>
    <mergeCell ref="A30:D30"/>
    <mergeCell ref="A52:D52"/>
    <mergeCell ref="A66:D66"/>
    <mergeCell ref="A67:D67"/>
    <mergeCell ref="A68:D68"/>
    <mergeCell ref="A69:D69"/>
    <mergeCell ref="A70:D70"/>
    <mergeCell ref="A59:D60"/>
    <mergeCell ref="A61:D62"/>
    <mergeCell ref="A63:D63"/>
    <mergeCell ref="A64:D64"/>
    <mergeCell ref="A65:D65"/>
    <mergeCell ref="A53:D53"/>
    <mergeCell ref="A54:D54"/>
    <mergeCell ref="A55:D56"/>
    <mergeCell ref="A57:D58"/>
    <mergeCell ref="A47:D47"/>
    <mergeCell ref="A48:D48"/>
    <mergeCell ref="A49:D49"/>
    <mergeCell ref="A50:D50"/>
    <mergeCell ref="G55:H55"/>
    <mergeCell ref="G56:H56"/>
    <mergeCell ref="K35:K40"/>
    <mergeCell ref="L35:L40"/>
    <mergeCell ref="E52:F52"/>
    <mergeCell ref="E53:F53"/>
    <mergeCell ref="E54:F54"/>
    <mergeCell ref="E55:F55"/>
    <mergeCell ref="E56:F56"/>
    <mergeCell ref="I52:J52"/>
    <mergeCell ref="K52:L52"/>
    <mergeCell ref="I53:J53"/>
    <mergeCell ref="K53:L53"/>
    <mergeCell ref="I54:J54"/>
    <mergeCell ref="K54:L54"/>
    <mergeCell ref="I55:J55"/>
    <mergeCell ref="K55:L55"/>
    <mergeCell ref="I56:J56"/>
    <mergeCell ref="K56:L56"/>
    <mergeCell ref="G33:H33"/>
    <mergeCell ref="G34:H34"/>
    <mergeCell ref="A31:D31"/>
    <mergeCell ref="A32:D32"/>
    <mergeCell ref="G52:H52"/>
    <mergeCell ref="G53:H53"/>
    <mergeCell ref="G54:H54"/>
    <mergeCell ref="A44:D44"/>
    <mergeCell ref="A45:D45"/>
    <mergeCell ref="A46:D46"/>
    <mergeCell ref="A33:D34"/>
    <mergeCell ref="A35:D36"/>
    <mergeCell ref="A37:D38"/>
    <mergeCell ref="A39:D40"/>
    <mergeCell ref="A41:D41"/>
    <mergeCell ref="A51:D51"/>
    <mergeCell ref="A42:D42"/>
    <mergeCell ref="A43:D43"/>
    <mergeCell ref="E30:F30"/>
    <mergeCell ref="E31:F31"/>
    <mergeCell ref="E32:F32"/>
    <mergeCell ref="E33:F33"/>
    <mergeCell ref="E34:F34"/>
    <mergeCell ref="E35:E40"/>
    <mergeCell ref="F35:F40"/>
    <mergeCell ref="K30:L30"/>
    <mergeCell ref="K31:L31"/>
    <mergeCell ref="K32:L32"/>
    <mergeCell ref="K33:L33"/>
    <mergeCell ref="K34:L34"/>
    <mergeCell ref="G35:G40"/>
    <mergeCell ref="H35:H40"/>
    <mergeCell ref="I30:J30"/>
    <mergeCell ref="I31:J31"/>
    <mergeCell ref="I32:J32"/>
    <mergeCell ref="I33:J33"/>
    <mergeCell ref="I34:J34"/>
    <mergeCell ref="I35:I40"/>
    <mergeCell ref="J35:J40"/>
    <mergeCell ref="G30:H30"/>
    <mergeCell ref="G31:H31"/>
    <mergeCell ref="G32:H32"/>
    <mergeCell ref="K12:L12"/>
    <mergeCell ref="A29:D29"/>
    <mergeCell ref="A23:D23"/>
    <mergeCell ref="A24:D24"/>
    <mergeCell ref="A25:D25"/>
    <mergeCell ref="A26:D26"/>
    <mergeCell ref="A27:D27"/>
    <mergeCell ref="A28:D28"/>
    <mergeCell ref="A15:D16"/>
    <mergeCell ref="A17:D18"/>
    <mergeCell ref="F13:F18"/>
    <mergeCell ref="H13:H18"/>
    <mergeCell ref="J13:J18"/>
    <mergeCell ref="G13:G18"/>
    <mergeCell ref="E13:E18"/>
    <mergeCell ref="I13:I18"/>
    <mergeCell ref="A11:D12"/>
    <mergeCell ref="K13:K18"/>
    <mergeCell ref="L13:L18"/>
    <mergeCell ref="I12:J12"/>
    <mergeCell ref="G11:H11"/>
    <mergeCell ref="I11:J11"/>
    <mergeCell ref="E11:F11"/>
    <mergeCell ref="A6:J6"/>
    <mergeCell ref="A7:J7"/>
    <mergeCell ref="A8:C8"/>
    <mergeCell ref="A9:D9"/>
    <mergeCell ref="E8:F8"/>
    <mergeCell ref="I9:J9"/>
    <mergeCell ref="E10:F10"/>
    <mergeCell ref="G10:H10"/>
    <mergeCell ref="I10:J10"/>
    <mergeCell ref="A10:D10"/>
    <mergeCell ref="A74:L74"/>
    <mergeCell ref="G9:H9"/>
    <mergeCell ref="A1:D1"/>
    <mergeCell ref="E1:F1"/>
    <mergeCell ref="G1:H1"/>
    <mergeCell ref="I1:J1"/>
    <mergeCell ref="A2:D2"/>
    <mergeCell ref="E2:F2"/>
    <mergeCell ref="G2:H2"/>
    <mergeCell ref="I2:J2"/>
    <mergeCell ref="A13:D14"/>
    <mergeCell ref="E12:F12"/>
    <mergeCell ref="G12:H12"/>
    <mergeCell ref="A19:D19"/>
    <mergeCell ref="A20:D20"/>
    <mergeCell ref="A21:D21"/>
    <mergeCell ref="A22:D22"/>
    <mergeCell ref="G8:H8"/>
    <mergeCell ref="I8:J8"/>
    <mergeCell ref="E9:F9"/>
    <mergeCell ref="K8:L8"/>
    <mergeCell ref="K9:L9"/>
    <mergeCell ref="K10:L10"/>
    <mergeCell ref="K11:L11"/>
    <mergeCell ref="I3:J3"/>
    <mergeCell ref="E3:F3"/>
    <mergeCell ref="E4:F4"/>
    <mergeCell ref="E5:F5"/>
    <mergeCell ref="G3:H3"/>
    <mergeCell ref="G4:H4"/>
    <mergeCell ref="G5:H5"/>
    <mergeCell ref="A3:B3"/>
    <mergeCell ref="C3:D3"/>
    <mergeCell ref="C4:D4"/>
    <mergeCell ref="C5:D5"/>
  </mergeCells>
  <dataValidations count="4">
    <dataValidation type="list" allowBlank="1" showInputMessage="1" showErrorMessage="1" sqref="E63:E71 G63:G71 E19:E27 G19:G27 I19:I27 K19:K27 K41:K49 I41:I49 G41:G49 E41:E49 I63:I71 K63:K71" xr:uid="{00000000-0002-0000-2200-000000000000}">
      <formula1>"Y,N"</formula1>
    </dataValidation>
    <dataValidation type="list" allowBlank="1" showInputMessage="1" showErrorMessage="1" sqref="E72:E73 F63:F65 F67:F73 G72:G73 H63:H65 H67:H73 E28:E29 F19:F21 F23:F29 G28:G29 H19:H21 H23:H29 I28:I29 J19:J21 J23:J29 K28:K29 L19:L21 L23:L29 L45:L51 L41:L43 K50:K51 J45:J51 J41:J43 I50:I51 H45:H51 H41:H43 G50:G51 F45:F51 F41:F43 E50:E51 I72:I73 J63:J65 J67:J73 K72:K73 L63:L65 L67:L73" xr:uid="{00000000-0002-0000-2200-000001000000}">
      <formula1>"Y,N,NA"</formula1>
    </dataValidation>
    <dataValidation type="whole" allowBlank="1" showInputMessage="1" showErrorMessage="1" sqref="D8" xr:uid="{00000000-0002-0000-2200-000002000000}">
      <formula1>1</formula1>
      <formula2>999</formula2>
    </dataValidation>
    <dataValidation type="list" allowBlank="1" showInputMessage="1" showErrorMessage="1" sqref="E12:L12 E56:L56 E34:L34" xr:uid="{00000000-0002-0000-2200-000003000000}">
      <formula1>"Type 1,Type 2,Type 3,Type 4"</formula1>
    </dataValidation>
  </dataValidations>
  <printOptions horizontalCentered="1"/>
  <pageMargins left="0.5" right="0.5" top="0.75" bottom="0.75" header="0.25" footer="0.25"/>
  <pageSetup fitToHeight="3" orientation="landscape" r:id="rId2"/>
  <headerFooter>
    <oddHeader>&amp;L&amp;"Arial,Regular"&amp;8Texas Health and Human Services Commission&amp;C&amp;"Arial,Bold"&amp;12DAY ACTIVITY AND HEALTH SERVICES (DAHS)
VEHICLE CHECKLIST&amp;R&amp;"Arial,Regular"&amp;8Page &amp;P</oddHeader>
  </headerFooter>
  <rowBreaks count="2" manualBreakCount="2">
    <brk id="29" max="16383" man="1"/>
    <brk id="5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A1:X81"/>
  <sheetViews>
    <sheetView zoomScale="90" zoomScaleNormal="90" workbookViewId="0">
      <selection activeCell="B19" sqref="B19:D19"/>
    </sheetView>
  </sheetViews>
  <sheetFormatPr defaultRowHeight="14.5"/>
  <cols>
    <col min="5" max="5" width="10.54296875" customWidth="1"/>
    <col min="6" max="9" width="10.6328125" customWidth="1"/>
    <col min="10" max="10" width="13.36328125" customWidth="1"/>
    <col min="11" max="11" width="11.6328125" customWidth="1"/>
    <col min="13" max="13" width="8" customWidth="1"/>
    <col min="14" max="16" width="9.08984375" hidden="1" customWidth="1"/>
  </cols>
  <sheetData>
    <row r="1" spans="1:16" s="1" customFormat="1" ht="15.75" customHeight="1" thickTop="1">
      <c r="A1" s="843" t="s">
        <v>0</v>
      </c>
      <c r="B1" s="844"/>
      <c r="C1" s="844"/>
      <c r="D1" s="845"/>
      <c r="E1" s="843" t="s">
        <v>1</v>
      </c>
      <c r="F1" s="845"/>
      <c r="G1" s="843" t="s">
        <v>2</v>
      </c>
      <c r="H1" s="844"/>
      <c r="I1" s="843" t="s">
        <v>43</v>
      </c>
      <c r="J1" s="845"/>
    </row>
    <row r="2" spans="1:16" s="1" customFormat="1" ht="30.75" customHeight="1" thickBot="1">
      <c r="A2" s="846">
        <f>NameOfLegalEntity</f>
        <v>0</v>
      </c>
      <c r="B2" s="847"/>
      <c r="C2" s="847"/>
      <c r="D2" s="848"/>
      <c r="E2" s="849">
        <f>ReviewLevel</f>
        <v>0</v>
      </c>
      <c r="F2" s="850"/>
      <c r="G2" s="849">
        <f>ReviewType</f>
        <v>0</v>
      </c>
      <c r="H2" s="851"/>
      <c r="I2" s="852">
        <f>ContractNumber</f>
        <v>0</v>
      </c>
      <c r="J2" s="853"/>
    </row>
    <row r="3" spans="1:16" s="1" customFormat="1" ht="15.75" customHeight="1" thickTop="1">
      <c r="A3" s="843" t="s">
        <v>3</v>
      </c>
      <c r="B3" s="844"/>
      <c r="C3" s="844"/>
      <c r="D3" s="844"/>
      <c r="E3" s="845"/>
      <c r="F3" s="860" t="s">
        <v>4</v>
      </c>
      <c r="G3" s="861"/>
      <c r="H3" s="843" t="s">
        <v>567</v>
      </c>
      <c r="I3" s="844"/>
      <c r="J3" s="845"/>
    </row>
    <row r="4" spans="1:16" s="1" customFormat="1" ht="15.5">
      <c r="A4" s="138" t="s">
        <v>6</v>
      </c>
      <c r="B4" s="854">
        <f>CompletedByLastName</f>
        <v>0</v>
      </c>
      <c r="C4" s="854"/>
      <c r="D4" s="854"/>
      <c r="E4" s="855"/>
      <c r="F4" s="862" t="s">
        <v>7</v>
      </c>
      <c r="G4" s="863"/>
      <c r="H4" s="154" t="s">
        <v>8</v>
      </c>
      <c r="I4" s="858" t="str">
        <f>IF(DateOfMonitoringPeriodBegin="","",DateOfMonitoringPeriodBegin)</f>
        <v/>
      </c>
      <c r="J4" s="859"/>
    </row>
    <row r="5" spans="1:16" s="1" customFormat="1" ht="16.5" customHeight="1" thickBot="1">
      <c r="A5" s="138" t="s">
        <v>9</v>
      </c>
      <c r="B5" s="854">
        <f>CompletedByFirstName</f>
        <v>0</v>
      </c>
      <c r="C5" s="854"/>
      <c r="D5" s="854"/>
      <c r="E5" s="855"/>
      <c r="F5" s="856" t="str">
        <f>IF(DateOfEntrance="","",DateOfEntrance)</f>
        <v/>
      </c>
      <c r="G5" s="857"/>
      <c r="H5" s="154" t="s">
        <v>10</v>
      </c>
      <c r="I5" s="858" t="str">
        <f>IF(DateOfMonitoringPeriodEnd="","",DateOfMonitoringPeriodEnd)</f>
        <v/>
      </c>
      <c r="J5" s="859"/>
      <c r="K5"/>
      <c r="L5"/>
      <c r="M5"/>
      <c r="N5"/>
      <c r="O5"/>
      <c r="P5"/>
    </row>
    <row r="6" spans="1:16" ht="16.5" customHeight="1" thickTop="1" thickBot="1">
      <c r="A6" s="647" t="s">
        <v>148</v>
      </c>
      <c r="B6" s="648"/>
      <c r="C6" s="648"/>
      <c r="D6" s="648"/>
      <c r="E6" s="648"/>
      <c r="F6" s="648"/>
      <c r="G6" s="648"/>
      <c r="H6" s="648"/>
      <c r="I6" s="648"/>
      <c r="J6" s="649"/>
    </row>
    <row r="7" spans="1:16" ht="15.75" customHeight="1" thickTop="1">
      <c r="A7" s="864" t="s">
        <v>149</v>
      </c>
      <c r="B7" s="865"/>
      <c r="C7" s="865"/>
      <c r="D7" s="865"/>
      <c r="E7" s="865"/>
      <c r="F7" s="865"/>
      <c r="G7" s="865"/>
      <c r="H7" s="865"/>
      <c r="I7" s="865"/>
      <c r="J7" s="866"/>
    </row>
    <row r="8" spans="1:16" ht="15" customHeight="1">
      <c r="A8" s="867" t="s">
        <v>603</v>
      </c>
      <c r="B8" s="868"/>
      <c r="C8" s="868"/>
      <c r="D8" s="868"/>
      <c r="E8" s="868"/>
      <c r="F8" s="868"/>
      <c r="G8" s="868"/>
      <c r="H8" s="868"/>
      <c r="I8" s="868"/>
      <c r="J8" s="869"/>
    </row>
    <row r="9" spans="1:16" ht="81" customHeight="1">
      <c r="A9" s="876" t="s">
        <v>756</v>
      </c>
      <c r="B9" s="877"/>
      <c r="C9" s="877"/>
      <c r="D9" s="877"/>
      <c r="E9" s="877"/>
      <c r="F9" s="877"/>
      <c r="G9" s="877"/>
      <c r="H9" s="877"/>
      <c r="I9" s="877"/>
      <c r="J9" s="878"/>
    </row>
    <row r="10" spans="1:16" ht="30.75" customHeight="1">
      <c r="A10" s="867" t="s">
        <v>602</v>
      </c>
      <c r="B10" s="868"/>
      <c r="C10" s="868"/>
      <c r="D10" s="868"/>
      <c r="E10" s="868"/>
      <c r="F10" s="868"/>
      <c r="G10" s="868"/>
      <c r="H10" s="868"/>
      <c r="I10" s="868"/>
      <c r="J10" s="869"/>
    </row>
    <row r="11" spans="1:16" ht="41.25" customHeight="1">
      <c r="A11" s="867" t="s">
        <v>757</v>
      </c>
      <c r="B11" s="868"/>
      <c r="C11" s="868"/>
      <c r="D11" s="868"/>
      <c r="E11" s="868"/>
      <c r="F11" s="868"/>
      <c r="G11" s="868"/>
      <c r="H11" s="868"/>
      <c r="I11" s="868"/>
      <c r="J11" s="869"/>
    </row>
    <row r="12" spans="1:16" ht="63.75" customHeight="1">
      <c r="A12" s="873" t="s">
        <v>758</v>
      </c>
      <c r="B12" s="874"/>
      <c r="C12" s="874"/>
      <c r="D12" s="874"/>
      <c r="E12" s="874"/>
      <c r="F12" s="874"/>
      <c r="G12" s="874"/>
      <c r="H12" s="874"/>
      <c r="I12" s="874"/>
      <c r="J12" s="875"/>
    </row>
    <row r="13" spans="1:16" ht="63" customHeight="1">
      <c r="A13" s="867" t="s">
        <v>759</v>
      </c>
      <c r="B13" s="868"/>
      <c r="C13" s="868"/>
      <c r="D13" s="868"/>
      <c r="E13" s="868"/>
      <c r="F13" s="868"/>
      <c r="G13" s="868"/>
      <c r="H13" s="868"/>
      <c r="I13" s="868"/>
      <c r="J13" s="869"/>
    </row>
    <row r="14" spans="1:16" ht="63" customHeight="1">
      <c r="A14" s="867" t="s">
        <v>760</v>
      </c>
      <c r="B14" s="868"/>
      <c r="C14" s="868"/>
      <c r="D14" s="868"/>
      <c r="E14" s="868"/>
      <c r="F14" s="868"/>
      <c r="G14" s="868"/>
      <c r="H14" s="868"/>
      <c r="I14" s="868"/>
      <c r="J14" s="869"/>
    </row>
    <row r="15" spans="1:16" ht="54" customHeight="1">
      <c r="A15" s="867" t="s">
        <v>762</v>
      </c>
      <c r="B15" s="868"/>
      <c r="C15" s="868"/>
      <c r="D15" s="868"/>
      <c r="E15" s="868"/>
      <c r="F15" s="868"/>
      <c r="G15" s="868"/>
      <c r="H15" s="868"/>
      <c r="I15" s="868"/>
      <c r="J15" s="869"/>
    </row>
    <row r="16" spans="1:16" ht="95.25" customHeight="1" thickBot="1">
      <c r="A16" s="882" t="s">
        <v>761</v>
      </c>
      <c r="B16" s="882"/>
      <c r="C16" s="882"/>
      <c r="D16" s="882"/>
      <c r="E16" s="882"/>
      <c r="F16" s="882"/>
      <c r="G16" s="882"/>
      <c r="H16" s="882"/>
      <c r="I16" s="882"/>
      <c r="J16" s="883"/>
    </row>
    <row r="17" spans="1:24" ht="18" customHeight="1" thickTop="1" thickBot="1">
      <c r="A17" s="879"/>
      <c r="B17" s="881" t="s">
        <v>150</v>
      </c>
      <c r="C17" s="881"/>
      <c r="D17" s="881"/>
      <c r="E17" s="145" t="s">
        <v>19</v>
      </c>
      <c r="F17" s="145" t="s">
        <v>589</v>
      </c>
      <c r="G17" s="145" t="s">
        <v>21</v>
      </c>
      <c r="H17" s="145" t="s">
        <v>281</v>
      </c>
      <c r="I17" s="145" t="s">
        <v>41</v>
      </c>
      <c r="J17" s="145" t="s">
        <v>153</v>
      </c>
      <c r="K17" s="214" t="s">
        <v>633</v>
      </c>
    </row>
    <row r="18" spans="1:24" ht="97.5" customHeight="1" thickBot="1">
      <c r="A18" s="879"/>
      <c r="B18" s="880" t="s">
        <v>151</v>
      </c>
      <c r="C18" s="880"/>
      <c r="D18" s="880"/>
      <c r="E18" s="143" t="s">
        <v>152</v>
      </c>
      <c r="F18" s="143" t="s">
        <v>590</v>
      </c>
      <c r="G18" s="143" t="s">
        <v>591</v>
      </c>
      <c r="H18" s="143" t="s">
        <v>592</v>
      </c>
      <c r="I18" s="144" t="s">
        <v>604</v>
      </c>
      <c r="J18" s="144" t="s">
        <v>605</v>
      </c>
      <c r="K18" s="209" t="s">
        <v>634</v>
      </c>
    </row>
    <row r="19" spans="1:24" ht="15" thickBot="1">
      <c r="A19" s="21" t="s">
        <v>45</v>
      </c>
      <c r="B19" s="870"/>
      <c r="C19" s="871"/>
      <c r="D19" s="872"/>
      <c r="E19" s="217"/>
      <c r="F19" s="81"/>
      <c r="G19" s="81"/>
      <c r="H19" s="81"/>
      <c r="I19" s="81"/>
      <c r="J19" s="212"/>
      <c r="K19" s="210"/>
      <c r="L19" s="146"/>
      <c r="M19" s="215"/>
      <c r="N19" s="216" t="str">
        <f>IF(COUNTIF(B19:K19,"")=10,"",IF(COUNTIF(B19,"")=1,"E",IF(AND(B19&lt;&gt;"",J19=""),"E",J19)))</f>
        <v/>
      </c>
      <c r="O19" s="216" t="str">
        <f>IF(COUNTIF(B19:K19,"")=10,"",IF(B19="","E",IF(COUNTIF(F19:I19,"")&gt;0,"E",IF(COUNTIF(F19:I19,"N")&gt;0,"N",IF(COUNTIF(F19:I19,"NA")=4,"NA","Y")))))</f>
        <v/>
      </c>
      <c r="P19" s="216" t="str">
        <f>IF(COUNTBLANK(B19:K19)=10,"",IF(B19="","E",IF(K19="","E",K19)))</f>
        <v/>
      </c>
      <c r="Q19" s="146"/>
      <c r="R19" s="146"/>
      <c r="S19" s="146"/>
      <c r="T19" s="146"/>
      <c r="U19" s="146"/>
      <c r="V19" s="146"/>
      <c r="W19" s="146"/>
      <c r="X19" s="146"/>
    </row>
    <row r="20" spans="1:24" ht="15" thickBot="1">
      <c r="A20" s="21" t="s">
        <v>46</v>
      </c>
      <c r="B20" s="811"/>
      <c r="C20" s="812"/>
      <c r="D20" s="813"/>
      <c r="E20" s="217"/>
      <c r="F20" s="81"/>
      <c r="G20" s="81"/>
      <c r="H20" s="81"/>
      <c r="I20" s="81"/>
      <c r="J20" s="212"/>
      <c r="K20" s="210"/>
      <c r="L20" s="146"/>
      <c r="M20" s="215"/>
      <c r="N20" s="216" t="str">
        <f t="shared" ref="N20:N48" si="0">IF(COUNTIF(B20:K20,"")=10,"",IF(COUNTIF(B20,"")=1,"E",IF(AND(B20&lt;&gt;"",J20=""),"E",J20)))</f>
        <v/>
      </c>
      <c r="O20" s="216" t="str">
        <f t="shared" ref="O20:O48" si="1">IF(COUNTIF(B20:K20,"")=10,"",IF(B20="","E",IF(COUNTIF(F20:I20,"")&gt;0,"E",IF(COUNTIF(F20:I20,"N")&gt;0,"N",IF(COUNTIF(F20:I20,"NA")=4,"NA","Y")))))</f>
        <v/>
      </c>
      <c r="P20" s="216" t="str">
        <f t="shared" ref="P20:P48" si="2">IF(COUNTBLANK(B20:K20)=10,"",IF(B20="","E",IF(K20="","E",K20)))</f>
        <v/>
      </c>
      <c r="Q20" s="146"/>
      <c r="R20" s="146"/>
      <c r="S20" s="146"/>
      <c r="T20" s="146"/>
      <c r="U20" s="146"/>
      <c r="V20" s="146"/>
      <c r="W20" s="146"/>
      <c r="X20" s="146"/>
    </row>
    <row r="21" spans="1:24" ht="15" thickBot="1">
      <c r="A21" s="21" t="s">
        <v>47</v>
      </c>
      <c r="B21" s="811"/>
      <c r="C21" s="812"/>
      <c r="D21" s="813"/>
      <c r="E21" s="217"/>
      <c r="F21" s="81"/>
      <c r="G21" s="81"/>
      <c r="H21" s="81"/>
      <c r="I21" s="81"/>
      <c r="J21" s="212"/>
      <c r="K21" s="210"/>
      <c r="L21" s="146"/>
      <c r="M21" s="215"/>
      <c r="N21" s="216" t="str">
        <f t="shared" si="0"/>
        <v/>
      </c>
      <c r="O21" s="216" t="str">
        <f t="shared" si="1"/>
        <v/>
      </c>
      <c r="P21" s="216" t="str">
        <f t="shared" si="2"/>
        <v/>
      </c>
      <c r="Q21" s="146"/>
      <c r="R21" s="146"/>
      <c r="S21" s="146"/>
      <c r="T21" s="146"/>
      <c r="U21" s="146"/>
      <c r="V21" s="146"/>
      <c r="W21" s="146"/>
      <c r="X21" s="146"/>
    </row>
    <row r="22" spans="1:24" ht="15" thickBot="1">
      <c r="A22" s="21" t="s">
        <v>48</v>
      </c>
      <c r="B22" s="811"/>
      <c r="C22" s="812"/>
      <c r="D22" s="813"/>
      <c r="E22" s="217"/>
      <c r="F22" s="81"/>
      <c r="G22" s="81"/>
      <c r="H22" s="81"/>
      <c r="I22" s="81"/>
      <c r="J22" s="212"/>
      <c r="K22" s="210"/>
      <c r="L22" s="146"/>
      <c r="M22" s="215"/>
      <c r="N22" s="216" t="str">
        <f t="shared" si="0"/>
        <v/>
      </c>
      <c r="O22" s="216" t="str">
        <f t="shared" si="1"/>
        <v/>
      </c>
      <c r="P22" s="216" t="str">
        <f t="shared" si="2"/>
        <v/>
      </c>
      <c r="Q22" s="146"/>
      <c r="R22" s="146"/>
      <c r="S22" s="146"/>
      <c r="T22" s="146"/>
      <c r="U22" s="146"/>
      <c r="V22" s="146"/>
      <c r="W22" s="146"/>
      <c r="X22" s="146"/>
    </row>
    <row r="23" spans="1:24" ht="15" thickBot="1">
      <c r="A23" s="21" t="s">
        <v>49</v>
      </c>
      <c r="B23" s="811"/>
      <c r="C23" s="812"/>
      <c r="D23" s="813"/>
      <c r="E23" s="217"/>
      <c r="F23" s="81"/>
      <c r="G23" s="81"/>
      <c r="H23" s="81"/>
      <c r="I23" s="81"/>
      <c r="J23" s="212"/>
      <c r="K23" s="210"/>
      <c r="L23" s="146"/>
      <c r="M23" s="215"/>
      <c r="N23" s="216" t="str">
        <f t="shared" si="0"/>
        <v/>
      </c>
      <c r="O23" s="216" t="str">
        <f t="shared" si="1"/>
        <v/>
      </c>
      <c r="P23" s="216" t="str">
        <f t="shared" si="2"/>
        <v/>
      </c>
      <c r="Q23" s="146"/>
      <c r="R23" s="146"/>
      <c r="S23" s="146"/>
      <c r="T23" s="146"/>
      <c r="U23" s="146"/>
      <c r="V23" s="146"/>
      <c r="W23" s="146"/>
      <c r="X23" s="146"/>
    </row>
    <row r="24" spans="1:24" ht="15" thickBot="1">
      <c r="A24" s="21" t="s">
        <v>50</v>
      </c>
      <c r="B24" s="811"/>
      <c r="C24" s="812"/>
      <c r="D24" s="813"/>
      <c r="E24" s="217"/>
      <c r="F24" s="81"/>
      <c r="G24" s="81"/>
      <c r="H24" s="81"/>
      <c r="I24" s="81"/>
      <c r="J24" s="212"/>
      <c r="K24" s="210"/>
      <c r="L24" s="146"/>
      <c r="M24" s="215"/>
      <c r="N24" s="216" t="str">
        <f t="shared" si="0"/>
        <v/>
      </c>
      <c r="O24" s="216" t="str">
        <f t="shared" si="1"/>
        <v/>
      </c>
      <c r="P24" s="216" t="str">
        <f t="shared" si="2"/>
        <v/>
      </c>
      <c r="Q24" s="146"/>
      <c r="R24" s="146"/>
      <c r="S24" s="146"/>
      <c r="T24" s="146"/>
      <c r="U24" s="146"/>
      <c r="V24" s="146"/>
      <c r="W24" s="146"/>
      <c r="X24" s="146"/>
    </row>
    <row r="25" spans="1:24" ht="15" thickBot="1">
      <c r="A25" s="21" t="s">
        <v>51</v>
      </c>
      <c r="B25" s="811"/>
      <c r="C25" s="812"/>
      <c r="D25" s="813"/>
      <c r="E25" s="217"/>
      <c r="F25" s="81"/>
      <c r="G25" s="81"/>
      <c r="H25" s="81"/>
      <c r="I25" s="81"/>
      <c r="J25" s="212"/>
      <c r="K25" s="210"/>
      <c r="L25" s="146"/>
      <c r="M25" s="215"/>
      <c r="N25" s="216" t="str">
        <f t="shared" si="0"/>
        <v/>
      </c>
      <c r="O25" s="216" t="str">
        <f t="shared" si="1"/>
        <v/>
      </c>
      <c r="P25" s="216" t="str">
        <f t="shared" si="2"/>
        <v/>
      </c>
      <c r="Q25" s="146"/>
      <c r="R25" s="146"/>
      <c r="S25" s="146"/>
      <c r="T25" s="146"/>
      <c r="U25" s="146"/>
      <c r="V25" s="146"/>
      <c r="W25" s="146"/>
      <c r="X25" s="146"/>
    </row>
    <row r="26" spans="1:24" ht="15" thickBot="1">
      <c r="A26" s="21" t="s">
        <v>52</v>
      </c>
      <c r="B26" s="811"/>
      <c r="C26" s="812"/>
      <c r="D26" s="813"/>
      <c r="E26" s="217"/>
      <c r="F26" s="81"/>
      <c r="G26" s="81"/>
      <c r="H26" s="81"/>
      <c r="I26" s="81"/>
      <c r="J26" s="212"/>
      <c r="K26" s="210"/>
      <c r="L26" s="146"/>
      <c r="M26" s="215"/>
      <c r="N26" s="216" t="str">
        <f t="shared" si="0"/>
        <v/>
      </c>
      <c r="O26" s="216" t="str">
        <f t="shared" si="1"/>
        <v/>
      </c>
      <c r="P26" s="216" t="str">
        <f t="shared" si="2"/>
        <v/>
      </c>
      <c r="Q26" s="146"/>
      <c r="R26" s="146"/>
      <c r="S26" s="146"/>
      <c r="T26" s="146"/>
      <c r="U26" s="146"/>
      <c r="V26" s="146"/>
      <c r="W26" s="146"/>
      <c r="X26" s="146"/>
    </row>
    <row r="27" spans="1:24" ht="15" customHeight="1" thickBot="1">
      <c r="A27" s="21" t="s">
        <v>53</v>
      </c>
      <c r="B27" s="811"/>
      <c r="C27" s="812"/>
      <c r="D27" s="813"/>
      <c r="E27" s="217"/>
      <c r="F27" s="81"/>
      <c r="G27" s="81"/>
      <c r="H27" s="81"/>
      <c r="I27" s="81"/>
      <c r="J27" s="212"/>
      <c r="K27" s="210"/>
      <c r="L27" s="146"/>
      <c r="M27" s="215"/>
      <c r="N27" s="216" t="str">
        <f t="shared" si="0"/>
        <v/>
      </c>
      <c r="O27" s="216" t="str">
        <f t="shared" si="1"/>
        <v/>
      </c>
      <c r="P27" s="216" t="str">
        <f t="shared" si="2"/>
        <v/>
      </c>
      <c r="Q27" s="146"/>
      <c r="R27" s="146"/>
      <c r="S27" s="146"/>
      <c r="T27" s="146"/>
      <c r="U27" s="146"/>
      <c r="V27" s="146"/>
      <c r="W27" s="146"/>
      <c r="X27" s="146"/>
    </row>
    <row r="28" spans="1:24" ht="15" thickBot="1">
      <c r="A28" s="21" t="s">
        <v>58</v>
      </c>
      <c r="B28" s="811"/>
      <c r="C28" s="812"/>
      <c r="D28" s="813"/>
      <c r="E28" s="217"/>
      <c r="F28" s="81"/>
      <c r="G28" s="81"/>
      <c r="H28" s="81"/>
      <c r="I28" s="81"/>
      <c r="J28" s="212"/>
      <c r="K28" s="210"/>
      <c r="L28" s="146"/>
      <c r="M28" s="215"/>
      <c r="N28" s="216" t="str">
        <f t="shared" si="0"/>
        <v/>
      </c>
      <c r="O28" s="216" t="str">
        <f t="shared" si="1"/>
        <v/>
      </c>
      <c r="P28" s="216" t="str">
        <f t="shared" si="2"/>
        <v/>
      </c>
      <c r="Q28" s="146"/>
      <c r="R28" s="146"/>
      <c r="S28" s="146"/>
      <c r="T28" s="146"/>
      <c r="U28" s="146"/>
      <c r="V28" s="146"/>
      <c r="W28" s="146"/>
      <c r="X28" s="146"/>
    </row>
    <row r="29" spans="1:24" ht="15" thickBot="1">
      <c r="A29" s="21" t="s">
        <v>59</v>
      </c>
      <c r="B29" s="811"/>
      <c r="C29" s="812"/>
      <c r="D29" s="813"/>
      <c r="E29" s="217"/>
      <c r="F29" s="81"/>
      <c r="G29" s="81"/>
      <c r="H29" s="81"/>
      <c r="I29" s="81"/>
      <c r="J29" s="212"/>
      <c r="K29" s="210"/>
      <c r="L29" s="146"/>
      <c r="M29" s="215"/>
      <c r="N29" s="216" t="str">
        <f t="shared" si="0"/>
        <v/>
      </c>
      <c r="O29" s="216" t="str">
        <f t="shared" si="1"/>
        <v/>
      </c>
      <c r="P29" s="216" t="str">
        <f t="shared" si="2"/>
        <v/>
      </c>
      <c r="Q29" s="146"/>
      <c r="R29" s="146"/>
      <c r="S29" s="146"/>
      <c r="T29" s="146"/>
      <c r="U29" s="146"/>
      <c r="V29" s="146"/>
      <c r="W29" s="146"/>
      <c r="X29" s="146"/>
    </row>
    <row r="30" spans="1:24" ht="15" thickBot="1">
      <c r="A30" s="21" t="s">
        <v>60</v>
      </c>
      <c r="B30" s="811"/>
      <c r="C30" s="812"/>
      <c r="D30" s="813"/>
      <c r="E30" s="217"/>
      <c r="F30" s="81"/>
      <c r="G30" s="81"/>
      <c r="H30" s="81"/>
      <c r="I30" s="81"/>
      <c r="J30" s="212"/>
      <c r="K30" s="210"/>
      <c r="L30" s="146"/>
      <c r="M30" s="215"/>
      <c r="N30" s="216" t="str">
        <f t="shared" si="0"/>
        <v/>
      </c>
      <c r="O30" s="216" t="str">
        <f t="shared" si="1"/>
        <v/>
      </c>
      <c r="P30" s="216" t="str">
        <f t="shared" si="2"/>
        <v/>
      </c>
      <c r="Q30" s="146"/>
      <c r="R30" s="146"/>
      <c r="S30" s="146"/>
      <c r="T30" s="146"/>
      <c r="U30" s="146"/>
      <c r="V30" s="146"/>
      <c r="W30" s="146"/>
      <c r="X30" s="146"/>
    </row>
    <row r="31" spans="1:24" ht="15" thickBot="1">
      <c r="A31" s="21" t="s">
        <v>61</v>
      </c>
      <c r="B31" s="811"/>
      <c r="C31" s="812"/>
      <c r="D31" s="813"/>
      <c r="E31" s="217"/>
      <c r="F31" s="81"/>
      <c r="G31" s="81"/>
      <c r="H31" s="81"/>
      <c r="I31" s="81"/>
      <c r="J31" s="212"/>
      <c r="K31" s="210"/>
      <c r="L31" s="146"/>
      <c r="M31" s="215"/>
      <c r="N31" s="216" t="str">
        <f t="shared" si="0"/>
        <v/>
      </c>
      <c r="O31" s="216" t="str">
        <f t="shared" si="1"/>
        <v/>
      </c>
      <c r="P31" s="216" t="str">
        <f t="shared" si="2"/>
        <v/>
      </c>
      <c r="Q31" s="146"/>
      <c r="R31" s="146"/>
      <c r="S31" s="146"/>
      <c r="T31" s="146"/>
      <c r="U31" s="146"/>
      <c r="V31" s="146"/>
      <c r="W31" s="146"/>
      <c r="X31" s="146"/>
    </row>
    <row r="32" spans="1:24" ht="15" thickBot="1">
      <c r="A32" s="21" t="s">
        <v>83</v>
      </c>
      <c r="B32" s="811"/>
      <c r="C32" s="812"/>
      <c r="D32" s="813"/>
      <c r="E32" s="217"/>
      <c r="F32" s="81"/>
      <c r="G32" s="81"/>
      <c r="H32" s="81"/>
      <c r="I32" s="81"/>
      <c r="J32" s="212"/>
      <c r="K32" s="210"/>
      <c r="L32" s="146"/>
      <c r="M32" s="215"/>
      <c r="N32" s="216" t="str">
        <f t="shared" si="0"/>
        <v/>
      </c>
      <c r="O32" s="216" t="str">
        <f t="shared" si="1"/>
        <v/>
      </c>
      <c r="P32" s="216" t="str">
        <f t="shared" si="2"/>
        <v/>
      </c>
      <c r="Q32" s="146"/>
      <c r="R32" s="146"/>
      <c r="S32" s="146"/>
      <c r="T32" s="146"/>
      <c r="U32" s="146"/>
      <c r="V32" s="146"/>
      <c r="W32" s="146"/>
      <c r="X32" s="146"/>
    </row>
    <row r="33" spans="1:24" ht="15" thickBot="1">
      <c r="A33" s="21" t="s">
        <v>62</v>
      </c>
      <c r="B33" s="811"/>
      <c r="C33" s="812"/>
      <c r="D33" s="813"/>
      <c r="E33" s="217"/>
      <c r="F33" s="81"/>
      <c r="G33" s="81"/>
      <c r="H33" s="81"/>
      <c r="I33" s="81"/>
      <c r="J33" s="212"/>
      <c r="K33" s="210"/>
      <c r="L33" s="146"/>
      <c r="M33" s="215"/>
      <c r="N33" s="216" t="str">
        <f t="shared" si="0"/>
        <v/>
      </c>
      <c r="O33" s="216" t="str">
        <f t="shared" si="1"/>
        <v/>
      </c>
      <c r="P33" s="216" t="str">
        <f t="shared" si="2"/>
        <v/>
      </c>
      <c r="Q33" s="146"/>
      <c r="R33" s="146"/>
      <c r="S33" s="146"/>
      <c r="T33" s="146"/>
      <c r="U33" s="146"/>
      <c r="V33" s="146"/>
      <c r="W33" s="146"/>
      <c r="X33" s="146"/>
    </row>
    <row r="34" spans="1:24" ht="15" thickBot="1">
      <c r="A34" s="21" t="s">
        <v>63</v>
      </c>
      <c r="B34" s="811"/>
      <c r="C34" s="812"/>
      <c r="D34" s="813"/>
      <c r="E34" s="217"/>
      <c r="F34" s="81"/>
      <c r="G34" s="81"/>
      <c r="H34" s="81"/>
      <c r="I34" s="81"/>
      <c r="J34" s="212"/>
      <c r="K34" s="210"/>
      <c r="L34" s="146"/>
      <c r="M34" s="215"/>
      <c r="N34" s="216" t="str">
        <f t="shared" si="0"/>
        <v/>
      </c>
      <c r="O34" s="216" t="str">
        <f t="shared" si="1"/>
        <v/>
      </c>
      <c r="P34" s="216" t="str">
        <f t="shared" si="2"/>
        <v/>
      </c>
      <c r="Q34" s="146"/>
      <c r="R34" s="146"/>
      <c r="S34" s="146"/>
      <c r="T34" s="146"/>
      <c r="U34" s="146"/>
      <c r="V34" s="146"/>
      <c r="W34" s="146"/>
      <c r="X34" s="146"/>
    </row>
    <row r="35" spans="1:24" ht="15" thickBot="1">
      <c r="A35" s="21" t="s">
        <v>64</v>
      </c>
      <c r="B35" s="811"/>
      <c r="C35" s="812"/>
      <c r="D35" s="813"/>
      <c r="E35" s="217"/>
      <c r="F35" s="81"/>
      <c r="G35" s="81"/>
      <c r="H35" s="81"/>
      <c r="I35" s="81"/>
      <c r="J35" s="212"/>
      <c r="K35" s="210"/>
      <c r="L35" s="146"/>
      <c r="M35" s="215"/>
      <c r="N35" s="216" t="str">
        <f t="shared" si="0"/>
        <v/>
      </c>
      <c r="O35" s="216" t="str">
        <f t="shared" si="1"/>
        <v/>
      </c>
      <c r="P35" s="216" t="str">
        <f t="shared" si="2"/>
        <v/>
      </c>
      <c r="Q35" s="146"/>
      <c r="R35" s="146"/>
      <c r="S35" s="146"/>
      <c r="T35" s="146"/>
      <c r="U35" s="146"/>
      <c r="V35" s="146"/>
      <c r="W35" s="146"/>
      <c r="X35" s="146"/>
    </row>
    <row r="36" spans="1:24" ht="15" thickBot="1">
      <c r="A36" s="21" t="s">
        <v>65</v>
      </c>
      <c r="B36" s="811"/>
      <c r="C36" s="812"/>
      <c r="D36" s="813"/>
      <c r="E36" s="217"/>
      <c r="F36" s="81"/>
      <c r="G36" s="81"/>
      <c r="H36" s="81"/>
      <c r="I36" s="81"/>
      <c r="J36" s="212"/>
      <c r="K36" s="210"/>
      <c r="L36" s="146"/>
      <c r="M36" s="215"/>
      <c r="N36" s="216" t="str">
        <f t="shared" si="0"/>
        <v/>
      </c>
      <c r="O36" s="216" t="str">
        <f t="shared" si="1"/>
        <v/>
      </c>
      <c r="P36" s="216" t="str">
        <f t="shared" si="2"/>
        <v/>
      </c>
      <c r="Q36" s="146"/>
      <c r="R36" s="146"/>
      <c r="S36" s="146"/>
      <c r="T36" s="146"/>
      <c r="U36" s="146"/>
      <c r="V36" s="146"/>
      <c r="W36" s="146"/>
      <c r="X36" s="146"/>
    </row>
    <row r="37" spans="1:24" ht="15" thickBot="1">
      <c r="A37" s="21" t="s">
        <v>66</v>
      </c>
      <c r="B37" s="811"/>
      <c r="C37" s="812"/>
      <c r="D37" s="813"/>
      <c r="E37" s="217"/>
      <c r="F37" s="81"/>
      <c r="G37" s="81"/>
      <c r="H37" s="81"/>
      <c r="I37" s="81"/>
      <c r="J37" s="212"/>
      <c r="K37" s="210"/>
      <c r="L37" s="146"/>
      <c r="M37" s="215"/>
      <c r="N37" s="216" t="str">
        <f t="shared" si="0"/>
        <v/>
      </c>
      <c r="O37" s="216" t="str">
        <f t="shared" si="1"/>
        <v/>
      </c>
      <c r="P37" s="216" t="str">
        <f t="shared" si="2"/>
        <v/>
      </c>
      <c r="Q37" s="146"/>
      <c r="R37" s="146"/>
      <c r="S37" s="146"/>
      <c r="T37" s="146"/>
      <c r="U37" s="146"/>
      <c r="V37" s="146"/>
      <c r="W37" s="146"/>
      <c r="X37" s="146"/>
    </row>
    <row r="38" spans="1:24" ht="15" thickBot="1">
      <c r="A38" s="21" t="s">
        <v>67</v>
      </c>
      <c r="B38" s="811"/>
      <c r="C38" s="812"/>
      <c r="D38" s="813"/>
      <c r="E38" s="217"/>
      <c r="F38" s="81"/>
      <c r="G38" s="81"/>
      <c r="H38" s="81"/>
      <c r="I38" s="81"/>
      <c r="J38" s="212"/>
      <c r="K38" s="210"/>
      <c r="L38" s="146"/>
      <c r="M38" s="215"/>
      <c r="N38" s="216" t="str">
        <f t="shared" si="0"/>
        <v/>
      </c>
      <c r="O38" s="216" t="str">
        <f t="shared" si="1"/>
        <v/>
      </c>
      <c r="P38" s="216" t="str">
        <f t="shared" si="2"/>
        <v/>
      </c>
      <c r="Q38" s="146"/>
      <c r="R38" s="146"/>
      <c r="S38" s="146"/>
      <c r="T38" s="146"/>
      <c r="U38" s="146"/>
      <c r="V38" s="146"/>
      <c r="W38" s="146"/>
      <c r="X38" s="146"/>
    </row>
    <row r="39" spans="1:24" ht="15" thickBot="1">
      <c r="A39" s="21" t="s">
        <v>68</v>
      </c>
      <c r="B39" s="811"/>
      <c r="C39" s="812"/>
      <c r="D39" s="813"/>
      <c r="E39" s="217"/>
      <c r="F39" s="81"/>
      <c r="G39" s="81"/>
      <c r="H39" s="81"/>
      <c r="I39" s="81"/>
      <c r="J39" s="212"/>
      <c r="K39" s="210"/>
      <c r="L39" s="146"/>
      <c r="M39" s="215"/>
      <c r="N39" s="216" t="str">
        <f t="shared" si="0"/>
        <v/>
      </c>
      <c r="O39" s="216" t="str">
        <f t="shared" si="1"/>
        <v/>
      </c>
      <c r="P39" s="216" t="str">
        <f t="shared" si="2"/>
        <v/>
      </c>
      <c r="Q39" s="146"/>
      <c r="R39" s="146"/>
      <c r="S39" s="146"/>
      <c r="T39" s="146"/>
      <c r="U39" s="146"/>
      <c r="V39" s="146"/>
      <c r="W39" s="146"/>
      <c r="X39" s="146"/>
    </row>
    <row r="40" spans="1:24" ht="15" thickBot="1">
      <c r="A40" s="21" t="s">
        <v>69</v>
      </c>
      <c r="B40" s="811"/>
      <c r="C40" s="812"/>
      <c r="D40" s="813"/>
      <c r="E40" s="217"/>
      <c r="F40" s="81"/>
      <c r="G40" s="81"/>
      <c r="H40" s="81"/>
      <c r="I40" s="81"/>
      <c r="J40" s="212"/>
      <c r="K40" s="210"/>
      <c r="L40" s="146"/>
      <c r="M40" s="215"/>
      <c r="N40" s="216" t="str">
        <f t="shared" si="0"/>
        <v/>
      </c>
      <c r="O40" s="216" t="str">
        <f t="shared" si="1"/>
        <v/>
      </c>
      <c r="P40" s="216" t="str">
        <f t="shared" si="2"/>
        <v/>
      </c>
      <c r="Q40" s="146"/>
      <c r="R40" s="146"/>
      <c r="S40" s="146"/>
      <c r="T40" s="146"/>
      <c r="U40" s="146"/>
      <c r="V40" s="146"/>
      <c r="W40" s="146"/>
      <c r="X40" s="146"/>
    </row>
    <row r="41" spans="1:24" ht="15" thickBot="1">
      <c r="A41" s="21" t="s">
        <v>70</v>
      </c>
      <c r="B41" s="811"/>
      <c r="C41" s="812"/>
      <c r="D41" s="813"/>
      <c r="E41" s="217"/>
      <c r="F41" s="81"/>
      <c r="G41" s="81"/>
      <c r="H41" s="81"/>
      <c r="I41" s="81"/>
      <c r="J41" s="212"/>
      <c r="K41" s="210"/>
      <c r="L41" s="146"/>
      <c r="M41" s="215"/>
      <c r="N41" s="216" t="str">
        <f t="shared" si="0"/>
        <v/>
      </c>
      <c r="O41" s="216" t="str">
        <f t="shared" si="1"/>
        <v/>
      </c>
      <c r="P41" s="216" t="str">
        <f t="shared" si="2"/>
        <v/>
      </c>
      <c r="Q41" s="146"/>
      <c r="R41" s="146"/>
      <c r="S41" s="146"/>
      <c r="T41" s="146"/>
      <c r="U41" s="146"/>
      <c r="V41" s="146"/>
      <c r="W41" s="146"/>
      <c r="X41" s="146"/>
    </row>
    <row r="42" spans="1:24" ht="15" thickBot="1">
      <c r="A42" s="21" t="s">
        <v>71</v>
      </c>
      <c r="B42" s="811"/>
      <c r="C42" s="812"/>
      <c r="D42" s="813"/>
      <c r="E42" s="217"/>
      <c r="F42" s="81"/>
      <c r="G42" s="81"/>
      <c r="H42" s="81"/>
      <c r="I42" s="81"/>
      <c r="J42" s="212"/>
      <c r="K42" s="210"/>
      <c r="L42" s="146"/>
      <c r="M42" s="215"/>
      <c r="N42" s="216" t="str">
        <f t="shared" si="0"/>
        <v/>
      </c>
      <c r="O42" s="216" t="str">
        <f t="shared" si="1"/>
        <v/>
      </c>
      <c r="P42" s="216" t="str">
        <f t="shared" si="2"/>
        <v/>
      </c>
      <c r="Q42" s="146"/>
      <c r="R42" s="146"/>
      <c r="S42" s="146"/>
      <c r="T42" s="146"/>
      <c r="U42" s="146"/>
      <c r="V42" s="146"/>
      <c r="W42" s="146"/>
      <c r="X42" s="146"/>
    </row>
    <row r="43" spans="1:24" ht="15" thickBot="1">
      <c r="A43" s="21" t="s">
        <v>288</v>
      </c>
      <c r="B43" s="811"/>
      <c r="C43" s="812"/>
      <c r="D43" s="813"/>
      <c r="E43" s="217"/>
      <c r="F43" s="81"/>
      <c r="G43" s="81"/>
      <c r="H43" s="81"/>
      <c r="I43" s="81"/>
      <c r="J43" s="212"/>
      <c r="K43" s="210"/>
      <c r="L43" s="146"/>
      <c r="M43" s="215"/>
      <c r="N43" s="216" t="str">
        <f t="shared" si="0"/>
        <v/>
      </c>
      <c r="O43" s="216" t="str">
        <f t="shared" si="1"/>
        <v/>
      </c>
      <c r="P43" s="216" t="str">
        <f t="shared" si="2"/>
        <v/>
      </c>
      <c r="Q43" s="146"/>
      <c r="R43" s="146"/>
      <c r="S43" s="146"/>
      <c r="T43" s="146"/>
      <c r="U43" s="146"/>
      <c r="V43" s="146"/>
      <c r="W43" s="146"/>
      <c r="X43" s="146"/>
    </row>
    <row r="44" spans="1:24" ht="15" thickBot="1">
      <c r="A44" s="21" t="s">
        <v>72</v>
      </c>
      <c r="B44" s="811"/>
      <c r="C44" s="812"/>
      <c r="D44" s="813"/>
      <c r="E44" s="217"/>
      <c r="F44" s="81"/>
      <c r="G44" s="81"/>
      <c r="H44" s="81"/>
      <c r="I44" s="81"/>
      <c r="J44" s="212"/>
      <c r="K44" s="210"/>
      <c r="L44" s="146"/>
      <c r="M44" s="215"/>
      <c r="N44" s="216" t="str">
        <f t="shared" si="0"/>
        <v/>
      </c>
      <c r="O44" s="216" t="str">
        <f t="shared" si="1"/>
        <v/>
      </c>
      <c r="P44" s="216" t="str">
        <f t="shared" si="2"/>
        <v/>
      </c>
      <c r="Q44" s="146"/>
      <c r="R44" s="146"/>
      <c r="S44" s="146"/>
      <c r="T44" s="146"/>
      <c r="U44" s="146"/>
      <c r="V44" s="146"/>
      <c r="W44" s="146"/>
      <c r="X44" s="146"/>
    </row>
    <row r="45" spans="1:24" ht="15" thickBot="1">
      <c r="A45" s="21" t="s">
        <v>73</v>
      </c>
      <c r="B45" s="811"/>
      <c r="C45" s="812"/>
      <c r="D45" s="813"/>
      <c r="E45" s="217"/>
      <c r="F45" s="81"/>
      <c r="G45" s="81"/>
      <c r="H45" s="81"/>
      <c r="I45" s="81"/>
      <c r="J45" s="212"/>
      <c r="K45" s="210"/>
      <c r="L45" s="146"/>
      <c r="M45" s="215"/>
      <c r="N45" s="216" t="str">
        <f t="shared" si="0"/>
        <v/>
      </c>
      <c r="O45" s="216" t="str">
        <f t="shared" si="1"/>
        <v/>
      </c>
      <c r="P45" s="216" t="str">
        <f t="shared" si="2"/>
        <v/>
      </c>
      <c r="Q45" s="146"/>
      <c r="R45" s="146"/>
      <c r="S45" s="146"/>
      <c r="T45" s="146"/>
      <c r="U45" s="146"/>
      <c r="V45" s="146"/>
      <c r="W45" s="146"/>
      <c r="X45" s="146"/>
    </row>
    <row r="46" spans="1:24" ht="15" thickBot="1">
      <c r="A46" s="21" t="s">
        <v>74</v>
      </c>
      <c r="B46" s="811"/>
      <c r="C46" s="812"/>
      <c r="D46" s="813"/>
      <c r="E46" s="217"/>
      <c r="F46" s="81"/>
      <c r="G46" s="81"/>
      <c r="H46" s="81"/>
      <c r="I46" s="81"/>
      <c r="J46" s="212"/>
      <c r="K46" s="210"/>
      <c r="L46" s="146"/>
      <c r="M46" s="215"/>
      <c r="N46" s="216" t="str">
        <f t="shared" si="0"/>
        <v/>
      </c>
      <c r="O46" s="216" t="str">
        <f t="shared" si="1"/>
        <v/>
      </c>
      <c r="P46" s="216" t="str">
        <f t="shared" si="2"/>
        <v/>
      </c>
      <c r="Q46" s="146"/>
      <c r="R46" s="146"/>
      <c r="S46" s="146"/>
      <c r="T46" s="146"/>
      <c r="U46" s="146"/>
      <c r="V46" s="146"/>
      <c r="W46" s="146"/>
      <c r="X46" s="146"/>
    </row>
    <row r="47" spans="1:24" ht="15" thickBot="1">
      <c r="A47" s="21" t="s">
        <v>75</v>
      </c>
      <c r="B47" s="811"/>
      <c r="C47" s="812"/>
      <c r="D47" s="813"/>
      <c r="E47" s="217"/>
      <c r="F47" s="81"/>
      <c r="G47" s="81"/>
      <c r="H47" s="81"/>
      <c r="I47" s="81"/>
      <c r="J47" s="212"/>
      <c r="K47" s="210"/>
      <c r="L47" s="146"/>
      <c r="M47" s="215"/>
      <c r="N47" s="216" t="str">
        <f t="shared" si="0"/>
        <v/>
      </c>
      <c r="O47" s="216" t="str">
        <f t="shared" si="1"/>
        <v/>
      </c>
      <c r="P47" s="216" t="str">
        <f t="shared" si="2"/>
        <v/>
      </c>
      <c r="Q47" s="146"/>
      <c r="R47" s="146"/>
      <c r="S47" s="146"/>
      <c r="T47" s="146"/>
      <c r="U47" s="146"/>
      <c r="V47" s="146"/>
      <c r="W47" s="146"/>
      <c r="X47" s="146"/>
    </row>
    <row r="48" spans="1:24" ht="15" thickBot="1">
      <c r="A48" s="20" t="s">
        <v>76</v>
      </c>
      <c r="B48" s="829"/>
      <c r="C48" s="830"/>
      <c r="D48" s="831"/>
      <c r="E48" s="218"/>
      <c r="F48" s="219"/>
      <c r="G48" s="219"/>
      <c r="H48" s="219"/>
      <c r="I48" s="68"/>
      <c r="J48" s="213"/>
      <c r="K48" s="211"/>
      <c r="L48" s="146"/>
      <c r="M48" s="215"/>
      <c r="N48" s="216" t="str">
        <f t="shared" si="0"/>
        <v/>
      </c>
      <c r="O48" s="216" t="str">
        <f t="shared" si="1"/>
        <v/>
      </c>
      <c r="P48" s="216" t="str">
        <f t="shared" si="2"/>
        <v/>
      </c>
      <c r="Q48" s="146"/>
      <c r="R48" s="146"/>
      <c r="S48" s="146"/>
      <c r="T48" s="146"/>
      <c r="U48" s="146"/>
      <c r="V48" s="146"/>
      <c r="W48" s="146"/>
      <c r="X48" s="146"/>
    </row>
    <row r="49" spans="1:12" ht="43.5" customHeight="1" thickTop="1">
      <c r="A49" s="884" t="s">
        <v>588</v>
      </c>
      <c r="B49" s="884"/>
      <c r="C49" s="884"/>
      <c r="D49" s="884"/>
      <c r="E49" s="884"/>
      <c r="F49" s="884"/>
      <c r="G49" s="884"/>
      <c r="H49" s="884"/>
      <c r="I49" s="884"/>
      <c r="J49" s="884"/>
    </row>
    <row r="50" spans="1:12" ht="41.25" customHeight="1" thickBot="1">
      <c r="A50" s="18" t="s">
        <v>222</v>
      </c>
    </row>
    <row r="51" spans="1:12" ht="29.25" customHeight="1" thickTop="1" thickBot="1">
      <c r="A51" s="836" t="s">
        <v>154</v>
      </c>
      <c r="B51" s="837"/>
      <c r="C51" s="837"/>
      <c r="D51" s="837"/>
      <c r="E51" s="837"/>
      <c r="F51" s="837"/>
      <c r="G51" s="837"/>
      <c r="H51" s="837"/>
      <c r="I51" s="837"/>
      <c r="J51" s="837"/>
      <c r="K51" s="837"/>
      <c r="L51" s="838"/>
    </row>
    <row r="52" spans="1:12" ht="15" thickTop="1">
      <c r="A52" s="832" t="s">
        <v>155</v>
      </c>
      <c r="B52" s="832"/>
      <c r="C52" s="832"/>
      <c r="D52" s="832"/>
      <c r="E52" s="832"/>
      <c r="F52" s="253"/>
      <c r="G52" s="839" t="s">
        <v>156</v>
      </c>
      <c r="H52" s="840"/>
      <c r="I52" s="840"/>
      <c r="J52" s="840"/>
      <c r="K52" s="840"/>
      <c r="L52" s="840"/>
    </row>
    <row r="53" spans="1:12" ht="26.25" customHeight="1" thickBot="1">
      <c r="A53" s="833"/>
      <c r="B53" s="833"/>
      <c r="C53" s="833"/>
      <c r="D53" s="833"/>
      <c r="E53" s="833"/>
      <c r="F53" s="834"/>
      <c r="G53" s="841" t="s">
        <v>157</v>
      </c>
      <c r="H53" s="842"/>
      <c r="I53" s="842"/>
      <c r="J53" s="842"/>
      <c r="K53" s="842"/>
      <c r="L53" s="842"/>
    </row>
    <row r="54" spans="1:12" ht="28.5" customHeight="1" thickTop="1" thickBot="1">
      <c r="A54" s="886" t="s">
        <v>223</v>
      </c>
      <c r="B54" s="835"/>
      <c r="C54" s="835" t="s">
        <v>158</v>
      </c>
      <c r="D54" s="835"/>
      <c r="E54" s="835"/>
      <c r="F54" s="887"/>
      <c r="G54" s="835" t="s">
        <v>223</v>
      </c>
      <c r="H54" s="835"/>
      <c r="I54" s="835" t="s">
        <v>158</v>
      </c>
      <c r="J54" s="835"/>
      <c r="K54" s="835"/>
      <c r="L54" s="885"/>
    </row>
    <row r="55" spans="1:12" ht="26.25" customHeight="1" thickTop="1" thickBot="1">
      <c r="A55" s="826" t="s">
        <v>159</v>
      </c>
      <c r="B55" s="824"/>
      <c r="C55" s="827" t="s">
        <v>160</v>
      </c>
      <c r="D55" s="827"/>
      <c r="E55" s="827"/>
      <c r="F55" s="828"/>
      <c r="G55" s="824" t="s">
        <v>161</v>
      </c>
      <c r="H55" s="824"/>
      <c r="I55" s="824" t="s">
        <v>162</v>
      </c>
      <c r="J55" s="824"/>
      <c r="K55" s="824"/>
      <c r="L55" s="825"/>
    </row>
    <row r="56" spans="1:12" ht="15" thickBot="1">
      <c r="A56" s="804" t="s">
        <v>163</v>
      </c>
      <c r="B56" s="805"/>
      <c r="C56" s="806" t="s">
        <v>164</v>
      </c>
      <c r="D56" s="806"/>
      <c r="E56" s="806"/>
      <c r="F56" s="807"/>
      <c r="G56" s="805" t="s">
        <v>165</v>
      </c>
      <c r="H56" s="805"/>
      <c r="I56" s="805" t="s">
        <v>166</v>
      </c>
      <c r="J56" s="805"/>
      <c r="K56" s="805"/>
      <c r="L56" s="809"/>
    </row>
    <row r="57" spans="1:12" ht="26.25" customHeight="1" thickBot="1">
      <c r="A57" s="804" t="s">
        <v>167</v>
      </c>
      <c r="B57" s="805"/>
      <c r="C57" s="806" t="s">
        <v>168</v>
      </c>
      <c r="D57" s="806"/>
      <c r="E57" s="806"/>
      <c r="F57" s="807"/>
      <c r="G57" s="805"/>
      <c r="H57" s="805"/>
      <c r="I57" s="805"/>
      <c r="J57" s="805"/>
      <c r="K57" s="805"/>
      <c r="L57" s="809"/>
    </row>
    <row r="58" spans="1:12" ht="15" thickBot="1">
      <c r="A58" s="804" t="s">
        <v>169</v>
      </c>
      <c r="B58" s="805"/>
      <c r="C58" s="806" t="s">
        <v>170</v>
      </c>
      <c r="D58" s="806"/>
      <c r="E58" s="806"/>
      <c r="F58" s="807"/>
      <c r="G58" s="805" t="s">
        <v>171</v>
      </c>
      <c r="H58" s="805"/>
      <c r="I58" s="805" t="s">
        <v>172</v>
      </c>
      <c r="J58" s="805"/>
      <c r="K58" s="805"/>
      <c r="L58" s="809"/>
    </row>
    <row r="59" spans="1:12" ht="15" thickBot="1">
      <c r="A59" s="804" t="s">
        <v>173</v>
      </c>
      <c r="B59" s="805"/>
      <c r="C59" s="806" t="s">
        <v>174</v>
      </c>
      <c r="D59" s="806"/>
      <c r="E59" s="806"/>
      <c r="F59" s="807"/>
      <c r="G59" s="814" t="s">
        <v>175</v>
      </c>
      <c r="H59" s="821"/>
      <c r="I59" s="814" t="s">
        <v>176</v>
      </c>
      <c r="J59" s="538"/>
      <c r="K59" s="538"/>
      <c r="L59" s="815"/>
    </row>
    <row r="60" spans="1:12" ht="26.25" customHeight="1" thickBot="1">
      <c r="A60" s="804" t="s">
        <v>177</v>
      </c>
      <c r="B60" s="805"/>
      <c r="C60" s="806" t="s">
        <v>178</v>
      </c>
      <c r="D60" s="806"/>
      <c r="E60" s="806"/>
      <c r="F60" s="807"/>
      <c r="G60" s="816"/>
      <c r="H60" s="822"/>
      <c r="I60" s="816"/>
      <c r="J60" s="540"/>
      <c r="K60" s="540"/>
      <c r="L60" s="817"/>
    </row>
    <row r="61" spans="1:12" ht="15" thickBot="1">
      <c r="A61" s="804" t="s">
        <v>179</v>
      </c>
      <c r="B61" s="805"/>
      <c r="C61" s="806" t="s">
        <v>180</v>
      </c>
      <c r="D61" s="806"/>
      <c r="E61" s="806"/>
      <c r="F61" s="807"/>
      <c r="G61" s="818"/>
      <c r="H61" s="823"/>
      <c r="I61" s="818"/>
      <c r="J61" s="819"/>
      <c r="K61" s="819"/>
      <c r="L61" s="820"/>
    </row>
    <row r="62" spans="1:12" ht="18.75" customHeight="1" thickBot="1">
      <c r="A62" s="804" t="s">
        <v>181</v>
      </c>
      <c r="B62" s="805"/>
      <c r="C62" s="806" t="s">
        <v>182</v>
      </c>
      <c r="D62" s="806"/>
      <c r="E62" s="806"/>
      <c r="F62" s="807"/>
      <c r="G62" s="805" t="s">
        <v>183</v>
      </c>
      <c r="H62" s="805"/>
      <c r="I62" s="805" t="s">
        <v>184</v>
      </c>
      <c r="J62" s="805"/>
      <c r="K62" s="805"/>
      <c r="L62" s="809"/>
    </row>
    <row r="63" spans="1:12" ht="18.75" customHeight="1" thickBot="1">
      <c r="A63" s="804" t="s">
        <v>185</v>
      </c>
      <c r="B63" s="805"/>
      <c r="C63" s="806" t="s">
        <v>186</v>
      </c>
      <c r="D63" s="806"/>
      <c r="E63" s="806"/>
      <c r="F63" s="807"/>
      <c r="G63" s="805"/>
      <c r="H63" s="805"/>
      <c r="I63" s="805"/>
      <c r="J63" s="805"/>
      <c r="K63" s="805"/>
      <c r="L63" s="809"/>
    </row>
    <row r="64" spans="1:12" ht="26.25" customHeight="1" thickBot="1">
      <c r="A64" s="804" t="s">
        <v>187</v>
      </c>
      <c r="B64" s="805"/>
      <c r="C64" s="806" t="s">
        <v>188</v>
      </c>
      <c r="D64" s="806"/>
      <c r="E64" s="806"/>
      <c r="F64" s="807"/>
      <c r="G64" s="805" t="s">
        <v>189</v>
      </c>
      <c r="H64" s="805"/>
      <c r="I64" s="805" t="s">
        <v>190</v>
      </c>
      <c r="J64" s="805"/>
      <c r="K64" s="805"/>
      <c r="L64" s="809"/>
    </row>
    <row r="65" spans="1:12" ht="15" thickBot="1">
      <c r="A65" s="804" t="s">
        <v>191</v>
      </c>
      <c r="B65" s="805"/>
      <c r="C65" s="806" t="s">
        <v>192</v>
      </c>
      <c r="D65" s="806"/>
      <c r="E65" s="806"/>
      <c r="F65" s="807"/>
      <c r="G65" s="805" t="s">
        <v>193</v>
      </c>
      <c r="H65" s="805"/>
      <c r="I65" s="805" t="s">
        <v>194</v>
      </c>
      <c r="J65" s="805"/>
      <c r="K65" s="805"/>
      <c r="L65" s="809"/>
    </row>
    <row r="66" spans="1:12" ht="15" thickBot="1">
      <c r="A66" s="804" t="s">
        <v>195</v>
      </c>
      <c r="B66" s="805"/>
      <c r="C66" s="806" t="s">
        <v>196</v>
      </c>
      <c r="D66" s="806"/>
      <c r="E66" s="806"/>
      <c r="F66" s="807"/>
      <c r="G66" s="808"/>
      <c r="H66" s="808"/>
      <c r="I66" s="808"/>
      <c r="J66" s="808"/>
      <c r="K66" s="808"/>
      <c r="L66" s="810"/>
    </row>
    <row r="67" spans="1:12" ht="15" thickBot="1">
      <c r="A67" s="804" t="s">
        <v>197</v>
      </c>
      <c r="B67" s="805"/>
      <c r="C67" s="806" t="s">
        <v>198</v>
      </c>
      <c r="D67" s="806"/>
      <c r="E67" s="806"/>
      <c r="F67" s="807"/>
      <c r="G67" s="795"/>
      <c r="H67" s="796"/>
      <c r="I67" s="796"/>
      <c r="J67" s="796"/>
      <c r="K67" s="796"/>
      <c r="L67" s="797"/>
    </row>
    <row r="68" spans="1:12" ht="15" thickBot="1">
      <c r="A68" s="804" t="s">
        <v>199</v>
      </c>
      <c r="B68" s="805"/>
      <c r="C68" s="806" t="s">
        <v>200</v>
      </c>
      <c r="D68" s="806"/>
      <c r="E68" s="806"/>
      <c r="F68" s="807"/>
      <c r="G68" s="798"/>
      <c r="H68" s="799"/>
      <c r="I68" s="799"/>
      <c r="J68" s="799"/>
      <c r="K68" s="799"/>
      <c r="L68" s="800"/>
    </row>
    <row r="69" spans="1:12" ht="15" thickBot="1">
      <c r="A69" s="804" t="s">
        <v>201</v>
      </c>
      <c r="B69" s="805"/>
      <c r="C69" s="806" t="s">
        <v>202</v>
      </c>
      <c r="D69" s="806"/>
      <c r="E69" s="806"/>
      <c r="F69" s="807"/>
      <c r="G69" s="798"/>
      <c r="H69" s="799"/>
      <c r="I69" s="799"/>
      <c r="J69" s="799"/>
      <c r="K69" s="799"/>
      <c r="L69" s="800"/>
    </row>
    <row r="70" spans="1:12" ht="15" thickBot="1">
      <c r="A70" s="804" t="s">
        <v>203</v>
      </c>
      <c r="B70" s="805"/>
      <c r="C70" s="806" t="s">
        <v>204</v>
      </c>
      <c r="D70" s="806"/>
      <c r="E70" s="806"/>
      <c r="F70" s="807"/>
      <c r="G70" s="798"/>
      <c r="H70" s="799"/>
      <c r="I70" s="799"/>
      <c r="J70" s="799"/>
      <c r="K70" s="799"/>
      <c r="L70" s="800"/>
    </row>
    <row r="71" spans="1:12" ht="15" thickBot="1">
      <c r="A71" s="804" t="s">
        <v>205</v>
      </c>
      <c r="B71" s="805"/>
      <c r="C71" s="806" t="s">
        <v>206</v>
      </c>
      <c r="D71" s="806"/>
      <c r="E71" s="806"/>
      <c r="F71" s="807"/>
      <c r="G71" s="798"/>
      <c r="H71" s="799"/>
      <c r="I71" s="799"/>
      <c r="J71" s="799"/>
      <c r="K71" s="799"/>
      <c r="L71" s="800"/>
    </row>
    <row r="72" spans="1:12" ht="15" thickBot="1">
      <c r="A72" s="804" t="s">
        <v>207</v>
      </c>
      <c r="B72" s="805"/>
      <c r="C72" s="806" t="s">
        <v>208</v>
      </c>
      <c r="D72" s="806"/>
      <c r="E72" s="806"/>
      <c r="F72" s="807"/>
      <c r="G72" s="798"/>
      <c r="H72" s="799"/>
      <c r="I72" s="799"/>
      <c r="J72" s="799"/>
      <c r="K72" s="799"/>
      <c r="L72" s="800"/>
    </row>
    <row r="73" spans="1:12" ht="15" thickBot="1">
      <c r="A73" s="804" t="s">
        <v>209</v>
      </c>
      <c r="B73" s="805"/>
      <c r="C73" s="806" t="s">
        <v>210</v>
      </c>
      <c r="D73" s="806"/>
      <c r="E73" s="806"/>
      <c r="F73" s="807"/>
      <c r="G73" s="798"/>
      <c r="H73" s="799"/>
      <c r="I73" s="799"/>
      <c r="J73" s="799"/>
      <c r="K73" s="799"/>
      <c r="L73" s="800"/>
    </row>
    <row r="74" spans="1:12" ht="15" thickBot="1">
      <c r="A74" s="804" t="s">
        <v>211</v>
      </c>
      <c r="B74" s="805"/>
      <c r="C74" s="806" t="s">
        <v>212</v>
      </c>
      <c r="D74" s="806"/>
      <c r="E74" s="806"/>
      <c r="F74" s="807"/>
      <c r="G74" s="798"/>
      <c r="H74" s="799"/>
      <c r="I74" s="799"/>
      <c r="J74" s="799"/>
      <c r="K74" s="799"/>
      <c r="L74" s="800"/>
    </row>
    <row r="75" spans="1:12" ht="15" thickBot="1">
      <c r="A75" s="804" t="s">
        <v>213</v>
      </c>
      <c r="B75" s="805"/>
      <c r="C75" s="806" t="s">
        <v>214</v>
      </c>
      <c r="D75" s="806"/>
      <c r="E75" s="806"/>
      <c r="F75" s="807"/>
      <c r="G75" s="798"/>
      <c r="H75" s="799"/>
      <c r="I75" s="799"/>
      <c r="J75" s="799"/>
      <c r="K75" s="799"/>
      <c r="L75" s="800"/>
    </row>
    <row r="76" spans="1:12" ht="15" thickBot="1">
      <c r="A76" s="804" t="s">
        <v>215</v>
      </c>
      <c r="B76" s="805"/>
      <c r="C76" s="806" t="s">
        <v>216</v>
      </c>
      <c r="D76" s="806"/>
      <c r="E76" s="806"/>
      <c r="F76" s="807"/>
      <c r="G76" s="798"/>
      <c r="H76" s="799"/>
      <c r="I76" s="799"/>
      <c r="J76" s="799"/>
      <c r="K76" s="799"/>
      <c r="L76" s="800"/>
    </row>
    <row r="77" spans="1:12" ht="15" thickBot="1">
      <c r="A77" s="804" t="s">
        <v>217</v>
      </c>
      <c r="B77" s="805"/>
      <c r="C77" s="806" t="s">
        <v>218</v>
      </c>
      <c r="D77" s="806"/>
      <c r="E77" s="806"/>
      <c r="F77" s="807"/>
      <c r="G77" s="798"/>
      <c r="H77" s="799"/>
      <c r="I77" s="799"/>
      <c r="J77" s="799"/>
      <c r="K77" s="799"/>
      <c r="L77" s="800"/>
    </row>
    <row r="78" spans="1:12" ht="15" thickBot="1">
      <c r="A78" s="804" t="s">
        <v>219</v>
      </c>
      <c r="B78" s="805"/>
      <c r="C78" s="806" t="s">
        <v>220</v>
      </c>
      <c r="D78" s="806"/>
      <c r="E78" s="806"/>
      <c r="F78" s="807"/>
      <c r="G78" s="801"/>
      <c r="H78" s="802"/>
      <c r="I78" s="802"/>
      <c r="J78" s="802"/>
      <c r="K78" s="802"/>
      <c r="L78" s="803"/>
    </row>
    <row r="79" spans="1:12" ht="15.75" customHeight="1" thickTop="1" thickBot="1">
      <c r="A79" s="792" t="s">
        <v>221</v>
      </c>
      <c r="B79" s="793"/>
      <c r="C79" s="793"/>
      <c r="D79" s="793"/>
      <c r="E79" s="793"/>
      <c r="F79" s="793"/>
      <c r="G79" s="793"/>
      <c r="H79" s="793"/>
      <c r="I79" s="793"/>
      <c r="J79" s="793"/>
      <c r="K79" s="793"/>
      <c r="L79" s="794"/>
    </row>
    <row r="80" spans="1:12" ht="15" thickTop="1">
      <c r="A80" s="17"/>
      <c r="B80" s="17"/>
      <c r="C80" s="17"/>
      <c r="D80" s="17"/>
      <c r="E80" s="17"/>
      <c r="F80" s="17"/>
    </row>
    <row r="81" spans="1:1" ht="15.5">
      <c r="A81" s="19"/>
    </row>
  </sheetData>
  <sheetProtection algorithmName="SHA-512" hashValue="+ExxqP3il+IdSepJXRvTqIm+eHGU+PidqX3zfwhUmk6pT+cx3cCl+INn6FFOlpK7b+rzvOYuwAOaz1TPkDLlVA==" saltValue="xwYbJgPTjL8wQ2sv1iSwvQ==" spinCount="100000" sheet="1" objects="1" scenarios="1" selectLockedCells="1"/>
  <customSheetViews>
    <customSheetView guid="{FA063EB1-52B3-49D8-83D1-441968C7020F}" scale="90" fitToPage="1" hiddenColumns="1">
      <selection activeCell="B19" sqref="B19:D19"/>
      <pageMargins left="0.5" right="0.5" top="0.75" bottom="0.75" header="0.25" footer="0.25"/>
      <printOptions horizontalCentered="1"/>
      <pageSetup scale="76" fitToHeight="6" orientation="portrait" r:id="rId1"/>
      <headerFooter>
        <oddHeader>&amp;L&amp;"Arial,Regular"&amp;8Texas Health and Human Services Commission&amp;C&amp;"Arial,Bold"&amp;12DAY ACTIVITY HEALTH SERVICES (DAHS)
EMPLOYEE REQUIREMENTS TABLE&amp;R&amp;"Arial,Regular"&amp;8Page &amp;P</oddHeader>
      </headerFooter>
    </customSheetView>
  </customSheetViews>
  <mergeCells count="134">
    <mergeCell ref="C72:F72"/>
    <mergeCell ref="C70:F70"/>
    <mergeCell ref="A66:B66"/>
    <mergeCell ref="C66:F66"/>
    <mergeCell ref="C56:F56"/>
    <mergeCell ref="B30:D30"/>
    <mergeCell ref="B31:D31"/>
    <mergeCell ref="B32:D32"/>
    <mergeCell ref="B33:D33"/>
    <mergeCell ref="B41:D41"/>
    <mergeCell ref="B42:D42"/>
    <mergeCell ref="B43:D43"/>
    <mergeCell ref="B44:D44"/>
    <mergeCell ref="B45:D45"/>
    <mergeCell ref="B46:D46"/>
    <mergeCell ref="B35:D35"/>
    <mergeCell ref="B39:D39"/>
    <mergeCell ref="B40:D40"/>
    <mergeCell ref="A56:B56"/>
    <mergeCell ref="B34:D34"/>
    <mergeCell ref="A49:J49"/>
    <mergeCell ref="I54:L54"/>
    <mergeCell ref="A54:B54"/>
    <mergeCell ref="C54:F54"/>
    <mergeCell ref="A7:J7"/>
    <mergeCell ref="A8:J8"/>
    <mergeCell ref="B23:D23"/>
    <mergeCell ref="B24:D24"/>
    <mergeCell ref="B25:D25"/>
    <mergeCell ref="B26:D26"/>
    <mergeCell ref="B27:D27"/>
    <mergeCell ref="B28:D28"/>
    <mergeCell ref="B29:D29"/>
    <mergeCell ref="B20:D20"/>
    <mergeCell ref="B19:D19"/>
    <mergeCell ref="A13:J13"/>
    <mergeCell ref="A14:J14"/>
    <mergeCell ref="A10:J10"/>
    <mergeCell ref="A11:J11"/>
    <mergeCell ref="A12:J12"/>
    <mergeCell ref="B21:D21"/>
    <mergeCell ref="B22:D22"/>
    <mergeCell ref="A9:J9"/>
    <mergeCell ref="A17:A18"/>
    <mergeCell ref="B18:D18"/>
    <mergeCell ref="A15:J15"/>
    <mergeCell ref="B17:D17"/>
    <mergeCell ref="A16:J16"/>
    <mergeCell ref="B48:D48"/>
    <mergeCell ref="A52:F53"/>
    <mergeCell ref="G54:H54"/>
    <mergeCell ref="A51:L51"/>
    <mergeCell ref="G52:L52"/>
    <mergeCell ref="G53:L53"/>
    <mergeCell ref="A1:D1"/>
    <mergeCell ref="E1:F1"/>
    <mergeCell ref="G1:H1"/>
    <mergeCell ref="I1:J1"/>
    <mergeCell ref="A2:D2"/>
    <mergeCell ref="E2:F2"/>
    <mergeCell ref="G2:H2"/>
    <mergeCell ref="I2:J2"/>
    <mergeCell ref="A6:J6"/>
    <mergeCell ref="B5:E5"/>
    <mergeCell ref="F5:G5"/>
    <mergeCell ref="I5:J5"/>
    <mergeCell ref="A3:E3"/>
    <mergeCell ref="F3:G3"/>
    <mergeCell ref="H3:J3"/>
    <mergeCell ref="B4:E4"/>
    <mergeCell ref="F4:G4"/>
    <mergeCell ref="I4:J4"/>
    <mergeCell ref="B36:D36"/>
    <mergeCell ref="B37:D37"/>
    <mergeCell ref="B38:D38"/>
    <mergeCell ref="I59:L61"/>
    <mergeCell ref="A59:B59"/>
    <mergeCell ref="C59:F59"/>
    <mergeCell ref="A60:B60"/>
    <mergeCell ref="C60:F60"/>
    <mergeCell ref="A61:B61"/>
    <mergeCell ref="C61:F61"/>
    <mergeCell ref="A57:B57"/>
    <mergeCell ref="C57:F57"/>
    <mergeCell ref="G58:H58"/>
    <mergeCell ref="I58:L58"/>
    <mergeCell ref="A58:B58"/>
    <mergeCell ref="C58:F58"/>
    <mergeCell ref="G56:H57"/>
    <mergeCell ref="I56:L57"/>
    <mergeCell ref="G59:H61"/>
    <mergeCell ref="G55:H55"/>
    <mergeCell ref="I55:L55"/>
    <mergeCell ref="A55:B55"/>
    <mergeCell ref="C55:F55"/>
    <mergeCell ref="B47:D47"/>
    <mergeCell ref="A63:B63"/>
    <mergeCell ref="C63:F63"/>
    <mergeCell ref="G64:H64"/>
    <mergeCell ref="G65:H66"/>
    <mergeCell ref="I64:L64"/>
    <mergeCell ref="I65:L66"/>
    <mergeCell ref="A64:B64"/>
    <mergeCell ref="C64:F64"/>
    <mergeCell ref="A65:B65"/>
    <mergeCell ref="C65:F65"/>
    <mergeCell ref="G62:H63"/>
    <mergeCell ref="I62:L63"/>
    <mergeCell ref="A62:B62"/>
    <mergeCell ref="C62:F62"/>
    <mergeCell ref="A79:L79"/>
    <mergeCell ref="G67:L78"/>
    <mergeCell ref="A67:B67"/>
    <mergeCell ref="C67:F67"/>
    <mergeCell ref="A68:B68"/>
    <mergeCell ref="C68:F68"/>
    <mergeCell ref="A69:B69"/>
    <mergeCell ref="C69:F69"/>
    <mergeCell ref="A70:B70"/>
    <mergeCell ref="A77:B77"/>
    <mergeCell ref="C77:F77"/>
    <mergeCell ref="A78:B78"/>
    <mergeCell ref="C78:F78"/>
    <mergeCell ref="A73:B73"/>
    <mergeCell ref="C73:F73"/>
    <mergeCell ref="A74:B74"/>
    <mergeCell ref="C74:F74"/>
    <mergeCell ref="A75:B75"/>
    <mergeCell ref="C75:F75"/>
    <mergeCell ref="A76:B76"/>
    <mergeCell ref="C76:F76"/>
    <mergeCell ref="A71:B71"/>
    <mergeCell ref="C71:F71"/>
    <mergeCell ref="A72:B72"/>
  </mergeCells>
  <dataValidations count="3">
    <dataValidation type="list" allowBlank="1" showInputMessage="1" showErrorMessage="1" sqref="I19:K48" xr:uid="{00000000-0002-0000-2300-000000000000}">
      <formula1>"Y,N,NA"</formula1>
    </dataValidation>
    <dataValidation type="date" operator="greaterThanOrEqual" allowBlank="1" showInputMessage="1" showErrorMessage="1" sqref="E19:E48" xr:uid="{00000000-0002-0000-2300-000001000000}">
      <formula1>1</formula1>
    </dataValidation>
    <dataValidation type="list" operator="greaterThanOrEqual" allowBlank="1" showInputMessage="1" showErrorMessage="1" sqref="F19:H48" xr:uid="{00000000-0002-0000-2300-000002000000}">
      <formula1>"Y,N,NA"</formula1>
    </dataValidation>
  </dataValidations>
  <printOptions horizontalCentered="1"/>
  <pageMargins left="0.5" right="0.5" top="0.75" bottom="0.75" header="0.25" footer="0.25"/>
  <pageSetup scale="76" fitToHeight="6" orientation="portrait" r:id="rId2"/>
  <headerFooter>
    <oddHeader>&amp;L&amp;"Arial,Regular"&amp;8Texas Health and Human Services Commission&amp;C&amp;"Arial,Bold"&amp;12DAY ACTIVITY HEALTH SERVICES (DAHS)
EMPLOYEE REQUIREMENTS TABLE&amp;R&amp;"Arial,Regular"&amp;8Page &amp;P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E34"/>
  <sheetViews>
    <sheetView workbookViewId="0">
      <selection activeCell="B2" sqref="B2"/>
    </sheetView>
  </sheetViews>
  <sheetFormatPr defaultRowHeight="14.5"/>
  <cols>
    <col min="1" max="1" width="12.36328125" customWidth="1"/>
    <col min="2" max="2" width="20.6328125" customWidth="1"/>
    <col min="3" max="3" width="19.90625" customWidth="1"/>
    <col min="4" max="4" width="20.453125" customWidth="1"/>
    <col min="5" max="5" width="19.453125" customWidth="1"/>
  </cols>
  <sheetData>
    <row r="1" spans="1:5" ht="15" thickBot="1">
      <c r="A1" s="483" t="s">
        <v>567</v>
      </c>
      <c r="B1" s="888"/>
      <c r="C1" s="888"/>
      <c r="D1" s="484"/>
      <c r="E1" s="2"/>
    </row>
    <row r="2" spans="1:5" ht="15" thickBot="1">
      <c r="A2" s="3" t="s">
        <v>8</v>
      </c>
      <c r="B2" s="69"/>
      <c r="C2" s="3" t="s">
        <v>10</v>
      </c>
      <c r="D2" s="70"/>
      <c r="E2" s="2"/>
    </row>
    <row r="3" spans="1:5" ht="16" thickBot="1">
      <c r="A3" s="889"/>
      <c r="B3" s="890"/>
      <c r="C3" s="890"/>
      <c r="D3" s="890"/>
      <c r="E3" s="891"/>
    </row>
    <row r="4" spans="1:5" s="4" customFormat="1" ht="40" thickBot="1">
      <c r="A4" s="9" t="s">
        <v>32</v>
      </c>
      <c r="B4" s="74" t="s">
        <v>33</v>
      </c>
      <c r="C4" s="74" t="s">
        <v>572</v>
      </c>
      <c r="D4" s="73" t="s">
        <v>573</v>
      </c>
      <c r="E4" s="73" t="s">
        <v>574</v>
      </c>
    </row>
    <row r="5" spans="1:5" ht="15" thickBot="1">
      <c r="A5" s="8">
        <v>1</v>
      </c>
      <c r="B5" s="71"/>
      <c r="C5" s="72"/>
      <c r="D5" s="75"/>
      <c r="E5" s="75"/>
    </row>
    <row r="6" spans="1:5" ht="15" thickBot="1">
      <c r="A6" s="8">
        <v>2</v>
      </c>
      <c r="B6" s="71"/>
      <c r="C6" s="72"/>
      <c r="D6" s="75"/>
      <c r="E6" s="75"/>
    </row>
    <row r="7" spans="1:5" ht="15" thickBot="1">
      <c r="A7" s="8">
        <v>3</v>
      </c>
      <c r="B7" s="71"/>
      <c r="C7" s="72"/>
      <c r="D7" s="75"/>
      <c r="E7" s="75"/>
    </row>
    <row r="8" spans="1:5" ht="15" thickBot="1">
      <c r="A8" s="8">
        <v>4</v>
      </c>
      <c r="B8" s="71"/>
      <c r="C8" s="72"/>
      <c r="D8" s="75"/>
      <c r="E8" s="75"/>
    </row>
    <row r="9" spans="1:5" ht="15" thickBot="1">
      <c r="A9" s="8">
        <v>5</v>
      </c>
      <c r="B9" s="71"/>
      <c r="C9" s="72"/>
      <c r="D9" s="75"/>
      <c r="E9" s="75"/>
    </row>
    <row r="10" spans="1:5" ht="15" thickBot="1">
      <c r="A10" s="8">
        <v>6</v>
      </c>
      <c r="B10" s="71"/>
      <c r="C10" s="72"/>
      <c r="D10" s="75"/>
      <c r="E10" s="75"/>
    </row>
    <row r="11" spans="1:5" ht="15" thickBot="1">
      <c r="A11" s="8">
        <v>7</v>
      </c>
      <c r="B11" s="71"/>
      <c r="C11" s="72"/>
      <c r="D11" s="75"/>
      <c r="E11" s="75"/>
    </row>
    <row r="12" spans="1:5" ht="15" thickBot="1">
      <c r="A12" s="8">
        <v>8</v>
      </c>
      <c r="B12" s="71"/>
      <c r="C12" s="72"/>
      <c r="D12" s="75"/>
      <c r="E12" s="75"/>
    </row>
    <row r="13" spans="1:5" ht="15" thickBot="1">
      <c r="A13" s="8">
        <v>9</v>
      </c>
      <c r="B13" s="71"/>
      <c r="C13" s="72"/>
      <c r="D13" s="75"/>
      <c r="E13" s="75"/>
    </row>
    <row r="14" spans="1:5" ht="15" thickBot="1">
      <c r="A14" s="8">
        <v>10</v>
      </c>
      <c r="B14" s="71"/>
      <c r="C14" s="72"/>
      <c r="D14" s="75"/>
      <c r="E14" s="75"/>
    </row>
    <row r="15" spans="1:5" ht="15" thickBot="1">
      <c r="A15" s="8">
        <v>11</v>
      </c>
      <c r="B15" s="71"/>
      <c r="C15" s="72"/>
      <c r="D15" s="75"/>
      <c r="E15" s="75"/>
    </row>
    <row r="16" spans="1:5" ht="15" thickBot="1">
      <c r="A16" s="8">
        <v>12</v>
      </c>
      <c r="B16" s="71"/>
      <c r="C16" s="72"/>
      <c r="D16" s="75"/>
      <c r="E16" s="75"/>
    </row>
    <row r="17" spans="1:5" ht="15" thickBot="1">
      <c r="A17" s="8">
        <v>13</v>
      </c>
      <c r="B17" s="71"/>
      <c r="C17" s="72"/>
      <c r="D17" s="75"/>
      <c r="E17" s="75"/>
    </row>
    <row r="18" spans="1:5" ht="15" thickBot="1">
      <c r="A18" s="8">
        <v>14</v>
      </c>
      <c r="B18" s="71"/>
      <c r="C18" s="72"/>
      <c r="D18" s="75"/>
      <c r="E18" s="75"/>
    </row>
    <row r="19" spans="1:5" ht="15" thickBot="1">
      <c r="A19" s="8">
        <v>15</v>
      </c>
      <c r="B19" s="71"/>
      <c r="C19" s="72"/>
      <c r="D19" s="75"/>
      <c r="E19" s="75"/>
    </row>
    <row r="20" spans="1:5" ht="15" thickBot="1">
      <c r="A20" s="8">
        <v>16</v>
      </c>
      <c r="B20" s="71"/>
      <c r="C20" s="72"/>
      <c r="D20" s="75"/>
      <c r="E20" s="75"/>
    </row>
    <row r="21" spans="1:5" ht="15" thickBot="1">
      <c r="A21" s="8">
        <v>17</v>
      </c>
      <c r="B21" s="71"/>
      <c r="C21" s="72"/>
      <c r="D21" s="75"/>
      <c r="E21" s="75"/>
    </row>
    <row r="22" spans="1:5" ht="15" thickBot="1">
      <c r="A22" s="8">
        <v>18</v>
      </c>
      <c r="B22" s="71"/>
      <c r="C22" s="72"/>
      <c r="D22" s="75"/>
      <c r="E22" s="75"/>
    </row>
    <row r="23" spans="1:5" ht="15" thickBot="1">
      <c r="A23" s="8">
        <v>19</v>
      </c>
      <c r="B23" s="71"/>
      <c r="C23" s="72"/>
      <c r="D23" s="75"/>
      <c r="E23" s="75"/>
    </row>
    <row r="24" spans="1:5" ht="15" thickBot="1">
      <c r="A24" s="8">
        <v>20</v>
      </c>
      <c r="B24" s="71"/>
      <c r="C24" s="72"/>
      <c r="D24" s="75"/>
      <c r="E24" s="75"/>
    </row>
    <row r="25" spans="1:5" ht="15" thickBot="1">
      <c r="A25" s="8">
        <v>21</v>
      </c>
      <c r="B25" s="71"/>
      <c r="C25" s="72"/>
      <c r="D25" s="75"/>
      <c r="E25" s="75"/>
    </row>
    <row r="26" spans="1:5" ht="15" thickBot="1">
      <c r="A26" s="8">
        <v>22</v>
      </c>
      <c r="B26" s="71"/>
      <c r="C26" s="72"/>
      <c r="D26" s="75"/>
      <c r="E26" s="75"/>
    </row>
    <row r="27" spans="1:5" ht="15" thickBot="1">
      <c r="A27" s="8">
        <v>23</v>
      </c>
      <c r="B27" s="71"/>
      <c r="C27" s="72"/>
      <c r="D27" s="75"/>
      <c r="E27" s="75"/>
    </row>
    <row r="28" spans="1:5" ht="15" thickBot="1">
      <c r="A28" s="8">
        <v>24</v>
      </c>
      <c r="B28" s="71"/>
      <c r="C28" s="72"/>
      <c r="D28" s="75"/>
      <c r="E28" s="75"/>
    </row>
    <row r="29" spans="1:5" ht="15" thickBot="1">
      <c r="A29" s="8">
        <v>25</v>
      </c>
      <c r="B29" s="71"/>
      <c r="C29" s="72"/>
      <c r="D29" s="75"/>
      <c r="E29" s="75"/>
    </row>
    <row r="30" spans="1:5" ht="15" thickBot="1">
      <c r="A30" s="8">
        <v>26</v>
      </c>
      <c r="B30" s="71"/>
      <c r="C30" s="72"/>
      <c r="D30" s="75"/>
      <c r="E30" s="75"/>
    </row>
    <row r="31" spans="1:5" ht="15" thickBot="1">
      <c r="A31" s="8">
        <v>27</v>
      </c>
      <c r="B31" s="71"/>
      <c r="C31" s="72"/>
      <c r="D31" s="75"/>
      <c r="E31" s="75"/>
    </row>
    <row r="32" spans="1:5" ht="15" thickBot="1">
      <c r="A32" s="8">
        <v>28</v>
      </c>
      <c r="B32" s="71"/>
      <c r="C32" s="72"/>
      <c r="D32" s="75"/>
      <c r="E32" s="75"/>
    </row>
    <row r="33" spans="1:5" ht="15" thickBot="1">
      <c r="A33" s="8">
        <v>29</v>
      </c>
      <c r="B33" s="71"/>
      <c r="C33" s="72"/>
      <c r="D33" s="75"/>
      <c r="E33" s="75"/>
    </row>
    <row r="34" spans="1:5" ht="15" thickBot="1">
      <c r="A34" s="8">
        <v>30</v>
      </c>
      <c r="B34" s="71"/>
      <c r="C34" s="72"/>
      <c r="D34" s="75"/>
      <c r="E34" s="75"/>
    </row>
  </sheetData>
  <sheetProtection algorithmName="SHA-512" hashValue="Q6zX+U3ezDWJdSVNTemkkEFUdn67XhijOopNhQSj4CNKocoPv9lvTvyVHergoOS65Wt8f+ZRf4nm3zvzbJ6szA==" saltValue="495nOQyVbCY0c1pUD53EiQ==" spinCount="100000" sheet="1" objects="1" scenarios="1" selectLockedCells="1"/>
  <customSheetViews>
    <customSheetView guid="{FA063EB1-52B3-49D8-83D1-441968C7020F}">
      <selection activeCell="B2" sqref="B2"/>
      <pageMargins left="0.7" right="0.7" top="0.75" bottom="0.75" header="0.3" footer="0.3"/>
      <pageSetup orientation="portrait" r:id="rId1"/>
    </customSheetView>
  </customSheetViews>
  <mergeCells count="2">
    <mergeCell ref="A1:D1"/>
    <mergeCell ref="A3:E3"/>
  </mergeCells>
  <dataValidations count="5">
    <dataValidation type="textLength" operator="equal" allowBlank="1" showInputMessage="1" showErrorMessage="1" errorTitle="Contract Number Length" error="Contract Number must be 9 digits including leading zeros." sqref="B5:B34" xr:uid="{00000000-0002-0000-2400-000000000000}">
      <formula1>9</formula1>
    </dataValidation>
    <dataValidation type="whole" operator="greaterThan" allowBlank="1" showInputMessage="1" showErrorMessage="1" sqref="C5:C34" xr:uid="{00000000-0002-0000-2400-000001000000}">
      <formula1>0</formula1>
    </dataValidation>
    <dataValidation type="textLength" operator="lessThanOrEqual" allowBlank="1" showInputMessage="1" showErrorMessage="1" sqref="D5:E34" xr:uid="{00000000-0002-0000-2400-000002000000}">
      <formula1>255</formula1>
    </dataValidation>
    <dataValidation type="date" operator="greaterThanOrEqual" allowBlank="1" showInputMessage="1" showErrorMessage="1" sqref="B2" xr:uid="{00000000-0002-0000-2400-000003000000}">
      <formula1>1</formula1>
    </dataValidation>
    <dataValidation type="date" operator="greaterThanOrEqual" allowBlank="1" showInputMessage="1" showErrorMessage="1" errorTitle="Date Error" error="End date cannot be earlier than begin date." sqref="D2" xr:uid="{00000000-0002-0000-2400-000004000000}">
      <formula1>B2</formula1>
    </dataValidation>
  </dataValidations>
  <pageMargins left="0.7" right="0.7" top="0.75" bottom="0.75" header="0.3" footer="0.3"/>
  <pageSetup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L27"/>
  <sheetViews>
    <sheetView workbookViewId="0">
      <selection activeCell="A7" sqref="A7:B7"/>
    </sheetView>
  </sheetViews>
  <sheetFormatPr defaultColWidth="9.08984375" defaultRowHeight="15" customHeight="1"/>
  <sheetData>
    <row r="1" spans="1:12" ht="15" customHeight="1">
      <c r="A1" s="928" t="s">
        <v>0</v>
      </c>
      <c r="B1" s="929"/>
      <c r="C1" s="929"/>
      <c r="D1" s="930"/>
      <c r="E1" s="918" t="s">
        <v>1</v>
      </c>
      <c r="F1" s="922"/>
      <c r="G1" s="919"/>
      <c r="H1" s="918" t="s">
        <v>2</v>
      </c>
      <c r="I1" s="922"/>
      <c r="J1" s="919"/>
      <c r="K1" s="918" t="s">
        <v>43</v>
      </c>
      <c r="L1" s="919"/>
    </row>
    <row r="2" spans="1:12" ht="15" customHeight="1" thickBot="1">
      <c r="A2" s="931">
        <f>NameOfLegalEntity</f>
        <v>0</v>
      </c>
      <c r="B2" s="932"/>
      <c r="C2" s="932"/>
      <c r="D2" s="933"/>
      <c r="E2" s="920">
        <f>ReviewLevel</f>
        <v>0</v>
      </c>
      <c r="F2" s="927"/>
      <c r="G2" s="921"/>
      <c r="H2" s="920">
        <f>ReviewType</f>
        <v>0</v>
      </c>
      <c r="I2" s="927"/>
      <c r="J2" s="921"/>
      <c r="K2" s="920">
        <f>ContractNumber</f>
        <v>0</v>
      </c>
      <c r="L2" s="921"/>
    </row>
    <row r="3" spans="1:12" ht="15" customHeight="1">
      <c r="A3" s="902" t="s">
        <v>3</v>
      </c>
      <c r="B3" s="903"/>
      <c r="C3" s="904"/>
      <c r="D3" s="912" t="s">
        <v>4</v>
      </c>
      <c r="E3" s="913"/>
      <c r="F3" s="912" t="s">
        <v>531</v>
      </c>
      <c r="G3" s="913"/>
      <c r="H3" s="912" t="s">
        <v>531</v>
      </c>
      <c r="I3" s="913"/>
      <c r="J3" s="918" t="s">
        <v>567</v>
      </c>
      <c r="K3" s="922"/>
      <c r="L3" s="919"/>
    </row>
    <row r="4" spans="1:12" ht="15" customHeight="1">
      <c r="A4" s="205" t="s">
        <v>6</v>
      </c>
      <c r="B4" s="905">
        <f>CompletedByLastName</f>
        <v>0</v>
      </c>
      <c r="C4" s="906"/>
      <c r="D4" s="914" t="s">
        <v>7</v>
      </c>
      <c r="E4" s="915"/>
      <c r="F4" s="914" t="s">
        <v>532</v>
      </c>
      <c r="G4" s="915"/>
      <c r="H4" s="914" t="s">
        <v>578</v>
      </c>
      <c r="I4" s="915"/>
      <c r="J4" s="207" t="s">
        <v>8</v>
      </c>
      <c r="K4" s="923" t="str">
        <f>IF(DateOfMonitoringPeriodBegin="","",DateOfMonitoringPeriodBegin)</f>
        <v/>
      </c>
      <c r="L4" s="924"/>
    </row>
    <row r="5" spans="1:12" ht="15" customHeight="1" thickBot="1">
      <c r="A5" s="206" t="s">
        <v>9</v>
      </c>
      <c r="B5" s="907">
        <f>CompletedByFirstName</f>
        <v>0</v>
      </c>
      <c r="C5" s="908"/>
      <c r="D5" s="900" t="str">
        <f>IF(DateOfEntrance="","",DateOfEntrance)</f>
        <v/>
      </c>
      <c r="E5" s="901"/>
      <c r="F5" s="916" t="str">
        <f>IF(DateofExit="","",DateofExit)</f>
        <v/>
      </c>
      <c r="G5" s="917"/>
      <c r="H5" s="916" t="str">
        <f>IF(DateOfExitRevised="","",DateOfExitRevised)</f>
        <v/>
      </c>
      <c r="I5" s="917"/>
      <c r="J5" s="208" t="s">
        <v>10</v>
      </c>
      <c r="K5" s="925" t="str">
        <f>IF(DateOfMonitoringPeriodEnd="","",DateOfMonitoringPeriodEnd)</f>
        <v/>
      </c>
      <c r="L5" s="926"/>
    </row>
    <row r="6" spans="1:12" ht="15" customHeight="1">
      <c r="A6" s="909" t="s">
        <v>36</v>
      </c>
      <c r="B6" s="910"/>
      <c r="C6" s="910" t="s">
        <v>623</v>
      </c>
      <c r="D6" s="910"/>
      <c r="E6" s="910" t="s">
        <v>624</v>
      </c>
      <c r="F6" s="910"/>
      <c r="G6" s="910"/>
      <c r="H6" s="910"/>
      <c r="I6" s="910"/>
      <c r="J6" s="910"/>
      <c r="K6" s="910"/>
      <c r="L6" s="911"/>
    </row>
    <row r="7" spans="1:12" ht="45" customHeight="1">
      <c r="A7" s="896"/>
      <c r="B7" s="897"/>
      <c r="C7" s="897"/>
      <c r="D7" s="897"/>
      <c r="E7" s="898"/>
      <c r="F7" s="898"/>
      <c r="G7" s="898"/>
      <c r="H7" s="898"/>
      <c r="I7" s="898"/>
      <c r="J7" s="898"/>
      <c r="K7" s="898"/>
      <c r="L7" s="899"/>
    </row>
    <row r="8" spans="1:12" ht="45" customHeight="1">
      <c r="A8" s="896"/>
      <c r="B8" s="897"/>
      <c r="C8" s="897"/>
      <c r="D8" s="897"/>
      <c r="E8" s="898"/>
      <c r="F8" s="898"/>
      <c r="G8" s="898"/>
      <c r="H8" s="898"/>
      <c r="I8" s="898"/>
      <c r="J8" s="898"/>
      <c r="K8" s="898"/>
      <c r="L8" s="899"/>
    </row>
    <row r="9" spans="1:12" ht="45" customHeight="1">
      <c r="A9" s="896"/>
      <c r="B9" s="897"/>
      <c r="C9" s="897"/>
      <c r="D9" s="897"/>
      <c r="E9" s="898"/>
      <c r="F9" s="898"/>
      <c r="G9" s="898"/>
      <c r="H9" s="898"/>
      <c r="I9" s="898"/>
      <c r="J9" s="898"/>
      <c r="K9" s="898"/>
      <c r="L9" s="899"/>
    </row>
    <row r="10" spans="1:12" ht="45" customHeight="1">
      <c r="A10" s="896"/>
      <c r="B10" s="897"/>
      <c r="C10" s="897"/>
      <c r="D10" s="897"/>
      <c r="E10" s="898"/>
      <c r="F10" s="898"/>
      <c r="G10" s="898"/>
      <c r="H10" s="898"/>
      <c r="I10" s="898"/>
      <c r="J10" s="898"/>
      <c r="K10" s="898"/>
      <c r="L10" s="899"/>
    </row>
    <row r="11" spans="1:12" ht="45" customHeight="1">
      <c r="A11" s="896"/>
      <c r="B11" s="897"/>
      <c r="C11" s="897"/>
      <c r="D11" s="897"/>
      <c r="E11" s="898"/>
      <c r="F11" s="898"/>
      <c r="G11" s="898"/>
      <c r="H11" s="898"/>
      <c r="I11" s="898"/>
      <c r="J11" s="898"/>
      <c r="K11" s="898"/>
      <c r="L11" s="899"/>
    </row>
    <row r="12" spans="1:12" ht="45" customHeight="1">
      <c r="A12" s="896"/>
      <c r="B12" s="897"/>
      <c r="C12" s="897"/>
      <c r="D12" s="897"/>
      <c r="E12" s="898"/>
      <c r="F12" s="898"/>
      <c r="G12" s="898"/>
      <c r="H12" s="898"/>
      <c r="I12" s="898"/>
      <c r="J12" s="898"/>
      <c r="K12" s="898"/>
      <c r="L12" s="899"/>
    </row>
    <row r="13" spans="1:12" ht="45" customHeight="1">
      <c r="A13" s="896"/>
      <c r="B13" s="897"/>
      <c r="C13" s="897"/>
      <c r="D13" s="897"/>
      <c r="E13" s="898"/>
      <c r="F13" s="898"/>
      <c r="G13" s="898"/>
      <c r="H13" s="898"/>
      <c r="I13" s="898"/>
      <c r="J13" s="898"/>
      <c r="K13" s="898"/>
      <c r="L13" s="899"/>
    </row>
    <row r="14" spans="1:12" ht="45" customHeight="1">
      <c r="A14" s="896"/>
      <c r="B14" s="897"/>
      <c r="C14" s="897"/>
      <c r="D14" s="897"/>
      <c r="E14" s="898"/>
      <c r="F14" s="898"/>
      <c r="G14" s="898"/>
      <c r="H14" s="898"/>
      <c r="I14" s="898"/>
      <c r="J14" s="898"/>
      <c r="K14" s="898"/>
      <c r="L14" s="899"/>
    </row>
    <row r="15" spans="1:12" ht="45" customHeight="1">
      <c r="A15" s="896"/>
      <c r="B15" s="897"/>
      <c r="C15" s="897"/>
      <c r="D15" s="897"/>
      <c r="E15" s="898"/>
      <c r="F15" s="898"/>
      <c r="G15" s="898"/>
      <c r="H15" s="898"/>
      <c r="I15" s="898"/>
      <c r="J15" s="898"/>
      <c r="K15" s="898"/>
      <c r="L15" s="899"/>
    </row>
    <row r="16" spans="1:12" ht="45" customHeight="1">
      <c r="A16" s="896"/>
      <c r="B16" s="897"/>
      <c r="C16" s="897"/>
      <c r="D16" s="897"/>
      <c r="E16" s="898"/>
      <c r="F16" s="898"/>
      <c r="G16" s="898"/>
      <c r="H16" s="898"/>
      <c r="I16" s="898"/>
      <c r="J16" s="898"/>
      <c r="K16" s="898"/>
      <c r="L16" s="899"/>
    </row>
    <row r="17" spans="1:12" ht="45" customHeight="1">
      <c r="A17" s="896"/>
      <c r="B17" s="897"/>
      <c r="C17" s="897"/>
      <c r="D17" s="897"/>
      <c r="E17" s="898"/>
      <c r="F17" s="898"/>
      <c r="G17" s="898"/>
      <c r="H17" s="898"/>
      <c r="I17" s="898"/>
      <c r="J17" s="898"/>
      <c r="K17" s="898"/>
      <c r="L17" s="899"/>
    </row>
    <row r="18" spans="1:12" ht="45" customHeight="1">
      <c r="A18" s="896"/>
      <c r="B18" s="897"/>
      <c r="C18" s="897"/>
      <c r="D18" s="897"/>
      <c r="E18" s="898"/>
      <c r="F18" s="898"/>
      <c r="G18" s="898"/>
      <c r="H18" s="898"/>
      <c r="I18" s="898"/>
      <c r="J18" s="898"/>
      <c r="K18" s="898"/>
      <c r="L18" s="899"/>
    </row>
    <row r="19" spans="1:12" ht="45" customHeight="1">
      <c r="A19" s="896"/>
      <c r="B19" s="897"/>
      <c r="C19" s="897"/>
      <c r="D19" s="897"/>
      <c r="E19" s="898"/>
      <c r="F19" s="898"/>
      <c r="G19" s="898"/>
      <c r="H19" s="898"/>
      <c r="I19" s="898"/>
      <c r="J19" s="898"/>
      <c r="K19" s="898"/>
      <c r="L19" s="899"/>
    </row>
    <row r="20" spans="1:12" ht="45" customHeight="1">
      <c r="A20" s="896"/>
      <c r="B20" s="897"/>
      <c r="C20" s="897"/>
      <c r="D20" s="897"/>
      <c r="E20" s="898"/>
      <c r="F20" s="898"/>
      <c r="G20" s="898"/>
      <c r="H20" s="898"/>
      <c r="I20" s="898"/>
      <c r="J20" s="898"/>
      <c r="K20" s="898"/>
      <c r="L20" s="899"/>
    </row>
    <row r="21" spans="1:12" ht="45" customHeight="1">
      <c r="A21" s="896"/>
      <c r="B21" s="897"/>
      <c r="C21" s="897"/>
      <c r="D21" s="897"/>
      <c r="E21" s="898"/>
      <c r="F21" s="898"/>
      <c r="G21" s="898"/>
      <c r="H21" s="898"/>
      <c r="I21" s="898"/>
      <c r="J21" s="898"/>
      <c r="K21" s="898"/>
      <c r="L21" s="899"/>
    </row>
    <row r="22" spans="1:12" ht="45" customHeight="1">
      <c r="A22" s="896"/>
      <c r="B22" s="897"/>
      <c r="C22" s="897"/>
      <c r="D22" s="897"/>
      <c r="E22" s="898"/>
      <c r="F22" s="898"/>
      <c r="G22" s="898"/>
      <c r="H22" s="898"/>
      <c r="I22" s="898"/>
      <c r="J22" s="898"/>
      <c r="K22" s="898"/>
      <c r="L22" s="899"/>
    </row>
    <row r="23" spans="1:12" ht="45" customHeight="1">
      <c r="A23" s="896"/>
      <c r="B23" s="897"/>
      <c r="C23" s="897"/>
      <c r="D23" s="897"/>
      <c r="E23" s="898"/>
      <c r="F23" s="898"/>
      <c r="G23" s="898"/>
      <c r="H23" s="898"/>
      <c r="I23" s="898"/>
      <c r="J23" s="898"/>
      <c r="K23" s="898"/>
      <c r="L23" s="899"/>
    </row>
    <row r="24" spans="1:12" ht="45" customHeight="1">
      <c r="A24" s="896"/>
      <c r="B24" s="897"/>
      <c r="C24" s="897"/>
      <c r="D24" s="897"/>
      <c r="E24" s="898"/>
      <c r="F24" s="898"/>
      <c r="G24" s="898"/>
      <c r="H24" s="898"/>
      <c r="I24" s="898"/>
      <c r="J24" s="898"/>
      <c r="K24" s="898"/>
      <c r="L24" s="899"/>
    </row>
    <row r="25" spans="1:12" ht="45" customHeight="1">
      <c r="A25" s="896"/>
      <c r="B25" s="897"/>
      <c r="C25" s="897"/>
      <c r="D25" s="897"/>
      <c r="E25" s="898"/>
      <c r="F25" s="898"/>
      <c r="G25" s="898"/>
      <c r="H25" s="898"/>
      <c r="I25" s="898"/>
      <c r="J25" s="898"/>
      <c r="K25" s="898"/>
      <c r="L25" s="899"/>
    </row>
    <row r="26" spans="1:12" ht="45" customHeight="1">
      <c r="A26" s="896"/>
      <c r="B26" s="897"/>
      <c r="C26" s="897"/>
      <c r="D26" s="897"/>
      <c r="E26" s="898"/>
      <c r="F26" s="898"/>
      <c r="G26" s="898"/>
      <c r="H26" s="898"/>
      <c r="I26" s="898"/>
      <c r="J26" s="898"/>
      <c r="K26" s="898"/>
      <c r="L26" s="899"/>
    </row>
    <row r="27" spans="1:12" ht="45" customHeight="1" thickBot="1">
      <c r="A27" s="892"/>
      <c r="B27" s="893"/>
      <c r="C27" s="893"/>
      <c r="D27" s="893"/>
      <c r="E27" s="894"/>
      <c r="F27" s="894"/>
      <c r="G27" s="894"/>
      <c r="H27" s="894"/>
      <c r="I27" s="894"/>
      <c r="J27" s="894"/>
      <c r="K27" s="894"/>
      <c r="L27" s="895"/>
    </row>
  </sheetData>
  <sheetProtection algorithmName="SHA-512" hashValue="CToTy5RnmHcz/hucBlJ3Jla9wbRQuX8eXqhxmOmukHldJG8b6A+5E3EiB9GNVdd8SyHO94YN/xI4QTLbVyTtzA==" saltValue="P7h1i6PLOujhvV/EpO9prw==" spinCount="100000" sheet="1" objects="1" scenarios="1" selectLockedCells="1"/>
  <customSheetViews>
    <customSheetView guid="{FA063EB1-52B3-49D8-83D1-441968C7020F}">
      <selection activeCell="A7" sqref="A7:B7"/>
      <pageMargins left="0.7" right="0.7" top="0.75" bottom="0.75" header="0.3" footer="0.3"/>
      <pageSetup orientation="landscape" r:id="rId1"/>
    </customSheetView>
  </customSheetViews>
  <mergeCells count="89">
    <mergeCell ref="E1:G1"/>
    <mergeCell ref="E2:G2"/>
    <mergeCell ref="H1:J1"/>
    <mergeCell ref="H2:J2"/>
    <mergeCell ref="F3:G3"/>
    <mergeCell ref="D3:E3"/>
    <mergeCell ref="A1:D1"/>
    <mergeCell ref="A2:D2"/>
    <mergeCell ref="K1:L1"/>
    <mergeCell ref="K2:L2"/>
    <mergeCell ref="J3:L3"/>
    <mergeCell ref="K4:L4"/>
    <mergeCell ref="K5:L5"/>
    <mergeCell ref="D5:E5"/>
    <mergeCell ref="A3:C3"/>
    <mergeCell ref="B4:C4"/>
    <mergeCell ref="B5:C5"/>
    <mergeCell ref="A6:B6"/>
    <mergeCell ref="C6:D6"/>
    <mergeCell ref="E6:L6"/>
    <mergeCell ref="H3:I3"/>
    <mergeCell ref="H4:I4"/>
    <mergeCell ref="H5:I5"/>
    <mergeCell ref="F4:G4"/>
    <mergeCell ref="F5:G5"/>
    <mergeCell ref="D4:E4"/>
    <mergeCell ref="A7:B7"/>
    <mergeCell ref="C7:D7"/>
    <mergeCell ref="E7:L7"/>
    <mergeCell ref="A8:B8"/>
    <mergeCell ref="C8:D8"/>
    <mergeCell ref="E8:L8"/>
    <mergeCell ref="A9:B9"/>
    <mergeCell ref="C9:D9"/>
    <mergeCell ref="E9:L9"/>
    <mergeCell ref="A10:B10"/>
    <mergeCell ref="C10:D10"/>
    <mergeCell ref="E10:L10"/>
    <mergeCell ref="A11:B11"/>
    <mergeCell ref="C11:D11"/>
    <mergeCell ref="E11:L11"/>
    <mergeCell ref="A12:B12"/>
    <mergeCell ref="C12:D12"/>
    <mergeCell ref="E12:L12"/>
    <mergeCell ref="A13:B13"/>
    <mergeCell ref="C13:D13"/>
    <mergeCell ref="E13:L13"/>
    <mergeCell ref="A14:B14"/>
    <mergeCell ref="C14:D14"/>
    <mergeCell ref="E14:L14"/>
    <mergeCell ref="A15:B15"/>
    <mergeCell ref="C15:D15"/>
    <mergeCell ref="E15:L15"/>
    <mergeCell ref="A16:B16"/>
    <mergeCell ref="C16:D16"/>
    <mergeCell ref="E16:L16"/>
    <mergeCell ref="A17:B17"/>
    <mergeCell ref="C17:D17"/>
    <mergeCell ref="E17:L17"/>
    <mergeCell ref="A18:B18"/>
    <mergeCell ref="C18:D18"/>
    <mergeCell ref="E18:L18"/>
    <mergeCell ref="A19:B19"/>
    <mergeCell ref="C19:D19"/>
    <mergeCell ref="E19:L19"/>
    <mergeCell ref="A20:B20"/>
    <mergeCell ref="C20:D20"/>
    <mergeCell ref="E20:L20"/>
    <mergeCell ref="A21:B21"/>
    <mergeCell ref="C21:D21"/>
    <mergeCell ref="E21:L21"/>
    <mergeCell ref="A22:B22"/>
    <mergeCell ref="C22:D22"/>
    <mergeCell ref="E22:L22"/>
    <mergeCell ref="A23:B23"/>
    <mergeCell ref="C23:D23"/>
    <mergeCell ref="E23:L23"/>
    <mergeCell ref="A24:B24"/>
    <mergeCell ref="C24:D24"/>
    <mergeCell ref="E24:L24"/>
    <mergeCell ref="A27:B27"/>
    <mergeCell ref="C27:D27"/>
    <mergeCell ref="E27:L27"/>
    <mergeCell ref="A25:B25"/>
    <mergeCell ref="C25:D25"/>
    <mergeCell ref="E25:L25"/>
    <mergeCell ref="A26:B26"/>
    <mergeCell ref="C26:D26"/>
    <mergeCell ref="E26:L26"/>
  </mergeCells>
  <pageMargins left="0.7" right="0.7" top="0.75" bottom="0.75" header="0.3" footer="0.3"/>
  <pageSetup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2</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WuqWQgxBmYe+Mh4CABygyszEoyGUOe6ElYDpXeRtZxkmlfiD/OaQPY51EYYG69gPT/xBFWpzpIFBb5Df2TzFUA==" saltValue="V8uNWIdUriJKlYRCVWqzX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300-000000000000}">
      <formula1>I6</formula1>
    </dataValidation>
    <dataValidation type="date" operator="greaterThanOrEqual" allowBlank="1" showInputMessage="1" showErrorMessage="1" errorTitle="Date Error" error="End date must be later than begin date." sqref="C81:C86 C90:C95" xr:uid="{00000000-0002-0000-0300-000001000000}">
      <formula1>B81</formula1>
    </dataValidation>
    <dataValidation type="list" allowBlank="1" showInputMessage="1" showErrorMessage="1" sqref="I12 I14 I20 I23 I38:J38" xr:uid="{00000000-0002-0000-0300-000002000000}">
      <formula1>"Y,N"</formula1>
    </dataValidation>
    <dataValidation type="list" allowBlank="1" showInputMessage="1" showErrorMessage="1" sqref="D2" xr:uid="{00000000-0002-0000-0300-000003000000}">
      <formula1>"29,29A"</formula1>
    </dataValidation>
    <dataValidation type="whole" allowBlank="1" showInputMessage="1" showErrorMessage="1" sqref="A2" xr:uid="{00000000-0002-0000-0300-000004000000}">
      <formula1>1</formula1>
      <formula2>99</formula2>
    </dataValidation>
    <dataValidation type="textLength" operator="greaterThan" allowBlank="1" showInputMessage="1" showErrorMessage="1" sqref="D3:F4" xr:uid="{00000000-0002-0000-0300-000005000000}">
      <formula1>1</formula1>
    </dataValidation>
    <dataValidation type="whole" allowBlank="1" showInputMessage="1" showErrorMessage="1" sqref="X81:X86 V90:V95 V81:V86 X90:X95" xr:uid="{00000000-0002-0000-0300-000006000000}">
      <formula1>0</formula1>
      <formula2>99</formula2>
    </dataValidation>
    <dataValidation type="whole" allowBlank="1" showInputMessage="1" showErrorMessage="1" sqref="S81:S86 S90:S95" xr:uid="{00000000-0002-0000-0300-000007000000}">
      <formula1>0</formula1>
      <formula2>14</formula2>
    </dataValidation>
    <dataValidation type="date" operator="greaterThan" allowBlank="1" showInputMessage="1" showErrorMessage="1" errorTitle="Date Error" error="Begin date must be later than previous end date." sqref="B82:B86 B91:B95" xr:uid="{00000000-0002-0000-0300-000008000000}">
      <formula1>C81</formula1>
    </dataValidation>
    <dataValidation type="decimal" operator="greaterThanOrEqual" allowBlank="1" showInputMessage="1" showErrorMessage="1" sqref="F81:F86 L90:L95 P90:P95 H81:H86 J81:J86 L81:L86 D90:D95 F90:F95 P81:P86 N81:N86 H90:H95 J90:J95 D81:D86 N90:N95" xr:uid="{00000000-0002-0000-0300-000009000000}">
      <formula1>0</formula1>
    </dataValidation>
    <dataValidation type="list" allowBlank="1" showInputMessage="1" showErrorMessage="1" sqref="I42:J42 C45 H45 I46:J46 C49 H49 I50:J50 C53 H53 I35:J35 I65 I25:J28 I54:J61" xr:uid="{00000000-0002-0000-0300-00000A000000}">
      <formula1>"Y,N,NA"</formula1>
    </dataValidation>
    <dataValidation type="date" operator="greaterThanOrEqual" allowBlank="1" showInputMessage="1" showErrorMessage="1" sqref="E45 J45 E49 J49 E53 J53 B81 B90 G4:J4 I8:J11 I6:J6 L2 J2 D6:E11" xr:uid="{00000000-0002-0000-03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0"/>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3</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6iFvANLjyZGG84bgpTMc52Opst1+yDEsX/AlopqdXKA7OyIDO2tjn3SjMWU3TjKwzgysCQ0r3DJzFmK2BpIZHw==" saltValue="4PIRhHWPWKs41Cpi6qa2Vg=="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400-000000000000}">
      <formula1>I6</formula1>
    </dataValidation>
    <dataValidation type="date" operator="greaterThanOrEqual" allowBlank="1" showInputMessage="1" showErrorMessage="1" errorTitle="Date Error" error="End date must be later than begin date." sqref="C81:C86 C90:C95" xr:uid="{00000000-0002-0000-0400-000001000000}">
      <formula1>B81</formula1>
    </dataValidation>
    <dataValidation type="list" allowBlank="1" showInputMessage="1" showErrorMessage="1" sqref="I12 I14 I20 I23 I38:J38" xr:uid="{00000000-0002-0000-0400-000002000000}">
      <formula1>"Y,N"</formula1>
    </dataValidation>
    <dataValidation type="list" allowBlank="1" showInputMessage="1" showErrorMessage="1" sqref="D2" xr:uid="{00000000-0002-0000-0400-000003000000}">
      <formula1>"29,29A"</formula1>
    </dataValidation>
    <dataValidation type="whole" allowBlank="1" showInputMessage="1" showErrorMessage="1" sqref="A2" xr:uid="{00000000-0002-0000-0400-000004000000}">
      <formula1>1</formula1>
      <formula2>99</formula2>
    </dataValidation>
    <dataValidation type="textLength" operator="greaterThan" allowBlank="1" showInputMessage="1" showErrorMessage="1" sqref="D3:F4" xr:uid="{00000000-0002-0000-0400-000005000000}">
      <formula1>1</formula1>
    </dataValidation>
    <dataValidation type="whole" allowBlank="1" showInputMessage="1" showErrorMessage="1" sqref="X81:X86 V90:V95 V81:V86 X90:X95" xr:uid="{00000000-0002-0000-0400-000006000000}">
      <formula1>0</formula1>
      <formula2>99</formula2>
    </dataValidation>
    <dataValidation type="whole" allowBlank="1" showInputMessage="1" showErrorMessage="1" sqref="S81:S86 S90:S95" xr:uid="{00000000-0002-0000-0400-000007000000}">
      <formula1>0</formula1>
      <formula2>14</formula2>
    </dataValidation>
    <dataValidation type="date" operator="greaterThan" allowBlank="1" showInputMessage="1" showErrorMessage="1" errorTitle="Date Error" error="Begin date must be later than previous end date." sqref="B82:B86 B91:B95" xr:uid="{00000000-0002-0000-0400-000008000000}">
      <formula1>C81</formula1>
    </dataValidation>
    <dataValidation type="decimal" operator="greaterThanOrEqual" allowBlank="1" showInputMessage="1" showErrorMessage="1" sqref="F81:F86 L90:L95 P90:P95 H81:H86 J81:J86 L81:L86 D90:D95 F90:F95 P81:P86 N81:N86 H90:H95 J90:J95 D81:D86 N90:N95" xr:uid="{00000000-0002-0000-0400-000009000000}">
      <formula1>0</formula1>
    </dataValidation>
    <dataValidation type="list" allowBlank="1" showInputMessage="1" showErrorMessage="1" sqref="I42:J42 C45 H45 I46:J46 C49 H49 I50:J50 C53 H53 I35:J35 I65 I25:J28 I54:J61" xr:uid="{00000000-0002-0000-0400-00000A000000}">
      <formula1>"Y,N,NA"</formula1>
    </dataValidation>
    <dataValidation type="date" operator="greaterThanOrEqual" allowBlank="1" showInputMessage="1" showErrorMessage="1" sqref="E45 J45 E49 J49 E53 J53 B81 B90 G4:J4 I8:J11 I6:J6 L2 J2 D6:E11" xr:uid="{00000000-0002-0000-04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9"/>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4</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Px7rqEboojt+vH6OrehdYByruiA5zEDBBALl6n75akiat0eyIyzZHGzDw6BBN0LO8n49AyOqCROUmReVWGdi9w==" saltValue="ihpy0AZgJx75qmz3GQuWQ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500-000000000000}">
      <formula1>I6</formula1>
    </dataValidation>
    <dataValidation type="date" operator="greaterThanOrEqual" allowBlank="1" showInputMessage="1" showErrorMessage="1" errorTitle="Date Error" error="End date must be later than begin date." sqref="C81:C86 C90:C95" xr:uid="{00000000-0002-0000-0500-000001000000}">
      <formula1>B81</formula1>
    </dataValidation>
    <dataValidation type="list" allowBlank="1" showInputMessage="1" showErrorMessage="1" sqref="I12 I14 I20 I23 I38:J38" xr:uid="{00000000-0002-0000-0500-000002000000}">
      <formula1>"Y,N"</formula1>
    </dataValidation>
    <dataValidation type="list" allowBlank="1" showInputMessage="1" showErrorMessage="1" sqref="D2" xr:uid="{00000000-0002-0000-0500-000003000000}">
      <formula1>"29,29A"</formula1>
    </dataValidation>
    <dataValidation type="whole" allowBlank="1" showInputMessage="1" showErrorMessage="1" sqref="A2" xr:uid="{00000000-0002-0000-0500-000004000000}">
      <formula1>1</formula1>
      <formula2>99</formula2>
    </dataValidation>
    <dataValidation type="textLength" operator="greaterThan" allowBlank="1" showInputMessage="1" showErrorMessage="1" sqref="D3:F4" xr:uid="{00000000-0002-0000-0500-000005000000}">
      <formula1>1</formula1>
    </dataValidation>
    <dataValidation type="whole" allowBlank="1" showInputMessage="1" showErrorMessage="1" sqref="X81:X86 V90:V95 V81:V86 X90:X95" xr:uid="{00000000-0002-0000-0500-000006000000}">
      <formula1>0</formula1>
      <formula2>99</formula2>
    </dataValidation>
    <dataValidation type="whole" allowBlank="1" showInputMessage="1" showErrorMessage="1" sqref="S81:S86 S90:S95" xr:uid="{00000000-0002-0000-0500-000007000000}">
      <formula1>0</formula1>
      <formula2>14</formula2>
    </dataValidation>
    <dataValidation type="date" operator="greaterThan" allowBlank="1" showInputMessage="1" showErrorMessage="1" errorTitle="Date Error" error="Begin date must be later than previous end date." sqref="B82:B86 B91:B95" xr:uid="{00000000-0002-0000-0500-000008000000}">
      <formula1>C81</formula1>
    </dataValidation>
    <dataValidation type="decimal" operator="greaterThanOrEqual" allowBlank="1" showInputMessage="1" showErrorMessage="1" sqref="F81:F86 L90:L95 P90:P95 H81:H86 J81:J86 L81:L86 D90:D95 F90:F95 P81:P86 N81:N86 H90:H95 J90:J95 D81:D86 N90:N95" xr:uid="{00000000-0002-0000-0500-000009000000}">
      <formula1>0</formula1>
    </dataValidation>
    <dataValidation type="list" allowBlank="1" showInputMessage="1" showErrorMessage="1" sqref="I42:J42 C45 H45 I46:J46 C49 H49 I50:J50 C53 H53 I35:J35 I65 I25:J28 I54:J61" xr:uid="{00000000-0002-0000-0500-00000A000000}">
      <formula1>"Y,N,NA"</formula1>
    </dataValidation>
    <dataValidation type="date" operator="greaterThanOrEqual" allowBlank="1" showInputMessage="1" showErrorMessage="1" sqref="E45 J45 E49 J49 E53 J53 B81 B90 G4:J4 I8:J11 I6:J6 L2 J2 D6:E11" xr:uid="{00000000-0002-0000-05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5</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o3YOtLi/3ZTLcFObi8K528yABBI11zRRjMHwkY+c3E050O5pc8o8sCrKnkpkfmGvxfgHWNWIdnLyz2v8+dNt5w==" saltValue="ZO1UjvxE/MYtQQsSAGDsbg=="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600-000000000000}">
      <formula1>I6</formula1>
    </dataValidation>
    <dataValidation type="date" operator="greaterThanOrEqual" allowBlank="1" showInputMessage="1" showErrorMessage="1" errorTitle="Date Error" error="End date must be later than begin date." sqref="C81:C86 C90:C95" xr:uid="{00000000-0002-0000-0600-000001000000}">
      <formula1>B81</formula1>
    </dataValidation>
    <dataValidation type="list" allowBlank="1" showInputMessage="1" showErrorMessage="1" sqref="I12 I14 I20 I23 I38:J38" xr:uid="{00000000-0002-0000-0600-000002000000}">
      <formula1>"Y,N"</formula1>
    </dataValidation>
    <dataValidation type="list" allowBlank="1" showInputMessage="1" showErrorMessage="1" sqref="D2" xr:uid="{00000000-0002-0000-0600-000003000000}">
      <formula1>"29,29A"</formula1>
    </dataValidation>
    <dataValidation type="whole" allowBlank="1" showInputMessage="1" showErrorMessage="1" sqref="A2" xr:uid="{00000000-0002-0000-0600-000004000000}">
      <formula1>1</formula1>
      <formula2>99</formula2>
    </dataValidation>
    <dataValidation type="textLength" operator="greaterThan" allowBlank="1" showInputMessage="1" showErrorMessage="1" sqref="D3:F4" xr:uid="{00000000-0002-0000-0600-000005000000}">
      <formula1>1</formula1>
    </dataValidation>
    <dataValidation type="whole" allowBlank="1" showInputMessage="1" showErrorMessage="1" sqref="X81:X86 V90:V95 V81:V86 X90:X95" xr:uid="{00000000-0002-0000-0600-000006000000}">
      <formula1>0</formula1>
      <formula2>99</formula2>
    </dataValidation>
    <dataValidation type="whole" allowBlank="1" showInputMessage="1" showErrorMessage="1" sqref="S81:S86 S90:S95" xr:uid="{00000000-0002-0000-0600-000007000000}">
      <formula1>0</formula1>
      <formula2>14</formula2>
    </dataValidation>
    <dataValidation type="date" operator="greaterThan" allowBlank="1" showInputMessage="1" showErrorMessage="1" errorTitle="Date Error" error="Begin date must be later than previous end date." sqref="B82:B86 B91:B95" xr:uid="{00000000-0002-0000-0600-000008000000}">
      <formula1>C81</formula1>
    </dataValidation>
    <dataValidation type="decimal" operator="greaterThanOrEqual" allowBlank="1" showInputMessage="1" showErrorMessage="1" sqref="F81:F86 L90:L95 P90:P95 H81:H86 J81:J86 L81:L86 D90:D95 F90:F95 P81:P86 N81:N86 H90:H95 J90:J95 D81:D86 N90:N95" xr:uid="{00000000-0002-0000-0600-000009000000}">
      <formula1>0</formula1>
    </dataValidation>
    <dataValidation type="list" allowBlank="1" showInputMessage="1" showErrorMessage="1" sqref="I42:J42 C45 H45 I46:J46 C49 H49 I50:J50 C53 H53 I35:J35 I65 I25:J28 I54:J61" xr:uid="{00000000-0002-0000-0600-00000A000000}">
      <formula1>"Y,N,NA"</formula1>
    </dataValidation>
    <dataValidation type="date" operator="greaterThanOrEqual" allowBlank="1" showInputMessage="1" showErrorMessage="1" sqref="E45 J45 E49 J49 E53 J53 B81 B90 G4:J4 I8:J11 I6:J6 L2 J2 D6:E11" xr:uid="{00000000-0002-0000-06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6</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568" t="s">
        <v>717</v>
      </c>
      <c r="B6" s="569"/>
      <c r="C6" s="569"/>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xj7xKTeU4xR239Hk9D/kdGTprCa/vmyQN2b6ueH306bQ6yvFfNjhnWwoOAqEn82gqM6SCh3eDcGx0krVji5Jtg==" saltValue="6H5smykMlX+3KKJDkg8IQw=="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700-000000000000}">
      <formula1>I6</formula1>
    </dataValidation>
    <dataValidation type="date" operator="greaterThanOrEqual" allowBlank="1" showInputMessage="1" showErrorMessage="1" errorTitle="Date Error" error="End date must be later than begin date." sqref="C81:C86 C90:C95" xr:uid="{00000000-0002-0000-0700-000001000000}">
      <formula1>B81</formula1>
    </dataValidation>
    <dataValidation type="list" allowBlank="1" showInputMessage="1" showErrorMessage="1" sqref="I12 I14 I20 I23 I38:J38" xr:uid="{00000000-0002-0000-0700-000002000000}">
      <formula1>"Y,N"</formula1>
    </dataValidation>
    <dataValidation type="list" allowBlank="1" showInputMessage="1" showErrorMessage="1" sqref="D2" xr:uid="{00000000-0002-0000-0700-000003000000}">
      <formula1>"29,29A"</formula1>
    </dataValidation>
    <dataValidation type="whole" allowBlank="1" showInputMessage="1" showErrorMessage="1" sqref="A2" xr:uid="{00000000-0002-0000-0700-000004000000}">
      <formula1>1</formula1>
      <formula2>99</formula2>
    </dataValidation>
    <dataValidation type="textLength" operator="greaterThan" allowBlank="1" showInputMessage="1" showErrorMessage="1" sqref="D3:F4" xr:uid="{00000000-0002-0000-0700-000005000000}">
      <formula1>1</formula1>
    </dataValidation>
    <dataValidation type="whole" allowBlank="1" showInputMessage="1" showErrorMessage="1" sqref="X81:X86 V90:V95 V81:V86 X90:X95" xr:uid="{00000000-0002-0000-0700-000006000000}">
      <formula1>0</formula1>
      <formula2>99</formula2>
    </dataValidation>
    <dataValidation type="whole" allowBlank="1" showInputMessage="1" showErrorMessage="1" sqref="S81:S86 S90:S95" xr:uid="{00000000-0002-0000-0700-000007000000}">
      <formula1>0</formula1>
      <formula2>14</formula2>
    </dataValidation>
    <dataValidation type="date" operator="greaterThan" allowBlank="1" showInputMessage="1" showErrorMessage="1" errorTitle="Date Error" error="Begin date must be later than previous end date." sqref="B82:B86 B91:B95" xr:uid="{00000000-0002-0000-0700-000008000000}">
      <formula1>C81</formula1>
    </dataValidation>
    <dataValidation type="decimal" operator="greaterThanOrEqual" allowBlank="1" showInputMessage="1" showErrorMessage="1" sqref="F81:F86 L90:L95 P90:P95 H81:H86 J81:J86 L81:L86 D90:D95 F90:F95 P81:P86 N81:N86 H90:H95 J90:J95 D81:D86 N90:N95" xr:uid="{00000000-0002-0000-0700-000009000000}">
      <formula1>0</formula1>
    </dataValidation>
    <dataValidation type="list" allowBlank="1" showInputMessage="1" showErrorMessage="1" sqref="I42:J42 C45 H45 I46:J46 C49 H49 I50:J50 C53 H53 I35:J35 I65 I25:J28 I54:J61" xr:uid="{00000000-0002-0000-0700-00000A000000}">
      <formula1>"Y,N,NA"</formula1>
    </dataValidation>
    <dataValidation type="date" operator="greaterThanOrEqual" allowBlank="1" showInputMessage="1" showErrorMessage="1" sqref="E45 J45 E49 J49 E53 J53 B81 B90 G4:J4 I8:J11 I6:J6 L2 J2 D6:E11" xr:uid="{00000000-0002-0000-07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6"/>
  <dimension ref="A1:AZ216"/>
  <sheetViews>
    <sheetView zoomScaleNormal="100" workbookViewId="0">
      <selection activeCell="D2" sqref="D2"/>
    </sheetView>
  </sheetViews>
  <sheetFormatPr defaultRowHeight="14.5"/>
  <cols>
    <col min="2" max="3" width="10.08984375" bestFit="1" customWidth="1"/>
    <col min="5" max="5" width="10.08984375" bestFit="1" customWidth="1"/>
    <col min="6" max="6" width="10.36328125" customWidth="1"/>
    <col min="7" max="7" width="10.54296875" bestFit="1" customWidth="1"/>
    <col min="8" max="8" width="10.453125" customWidth="1"/>
    <col min="10" max="11" width="10.08984375" bestFit="1" customWidth="1"/>
    <col min="12" max="12" width="10.6328125" customWidth="1"/>
    <col min="13" max="13" width="9.6328125" bestFit="1" customWidth="1"/>
    <col min="20" max="20" width="9.08984375" hidden="1" customWidth="1"/>
    <col min="26" max="27" width="0" hidden="1" customWidth="1"/>
  </cols>
  <sheetData>
    <row r="1" spans="1:20" s="6" customFormat="1" ht="27" customHeight="1" thickTop="1">
      <c r="A1" s="84" t="s">
        <v>36</v>
      </c>
      <c r="B1" s="533" t="s">
        <v>37</v>
      </c>
      <c r="C1" s="534"/>
      <c r="D1" s="85" t="s">
        <v>250</v>
      </c>
      <c r="E1" s="552" t="s">
        <v>5</v>
      </c>
      <c r="F1" s="553"/>
      <c r="G1" s="553"/>
      <c r="H1" s="554"/>
      <c r="I1" s="552" t="s">
        <v>569</v>
      </c>
      <c r="J1" s="553"/>
      <c r="K1" s="553"/>
      <c r="L1" s="555"/>
      <c r="T1" s="6" t="s">
        <v>44</v>
      </c>
    </row>
    <row r="2" spans="1:20" ht="24.5" thickBot="1">
      <c r="A2" s="86">
        <v>7</v>
      </c>
      <c r="B2" s="535" t="str">
        <f ca="1">IF(INDIRECT("'Samples (Print)'!B" &amp; (4+SampleNumber))="","",INDIRECT("'Samples (Print)'!B" &amp; (4+SampleNumber)))</f>
        <v/>
      </c>
      <c r="C2" s="536"/>
      <c r="D2" s="87"/>
      <c r="E2" s="76" t="s">
        <v>8</v>
      </c>
      <c r="F2" s="88" t="str">
        <f ca="1">IF(INDIRECT("'Samples (Print)'!D" &amp; (4+SampleNumber))="","",INDIRECT("'Samples (Print)'!D" &amp; (4+SampleNumber)))</f>
        <v/>
      </c>
      <c r="G2" s="77" t="s">
        <v>10</v>
      </c>
      <c r="H2" s="89" t="str">
        <f ca="1">IF(INDIRECT("'Samples (Print)'!E" &amp; (4+SampleNumber))="","",INDIRECT("'Samples (Print)'!E" &amp; (4+SampleNumber)))</f>
        <v/>
      </c>
      <c r="I2" s="90" t="s">
        <v>570</v>
      </c>
      <c r="J2" s="91"/>
      <c r="K2" s="92" t="s">
        <v>571</v>
      </c>
      <c r="L2" s="93"/>
      <c r="T2" s="7">
        <f>'Samples (Print)'!C5</f>
        <v>0</v>
      </c>
    </row>
    <row r="3" spans="1:20">
      <c r="A3" s="537" t="s">
        <v>3</v>
      </c>
      <c r="B3" s="538"/>
      <c r="C3" s="94" t="s">
        <v>38</v>
      </c>
      <c r="D3" s="541"/>
      <c r="E3" s="542"/>
      <c r="F3" s="543"/>
      <c r="G3" s="544" t="s">
        <v>39</v>
      </c>
      <c r="H3" s="544"/>
      <c r="I3" s="545"/>
      <c r="J3" s="546"/>
      <c r="K3" s="95"/>
      <c r="L3" s="95"/>
    </row>
    <row r="4" spans="1:20" ht="15" thickBot="1">
      <c r="A4" s="539"/>
      <c r="B4" s="540"/>
      <c r="C4" s="96" t="s">
        <v>40</v>
      </c>
      <c r="D4" s="547"/>
      <c r="E4" s="548"/>
      <c r="F4" s="549"/>
      <c r="G4" s="550"/>
      <c r="H4" s="550"/>
      <c r="I4" s="550"/>
      <c r="J4" s="551"/>
      <c r="K4" s="95"/>
      <c r="L4" s="95"/>
      <c r="T4" s="53"/>
    </row>
    <row r="5" spans="1:20" ht="16.5" customHeight="1" thickTop="1" thickBot="1">
      <c r="A5" s="485" t="s">
        <v>251</v>
      </c>
      <c r="B5" s="486"/>
      <c r="C5" s="486"/>
      <c r="D5" s="486"/>
      <c r="E5" s="486"/>
      <c r="F5" s="486"/>
      <c r="G5" s="486"/>
      <c r="H5" s="486"/>
      <c r="I5" s="486"/>
      <c r="J5" s="487"/>
      <c r="N5" s="5"/>
      <c r="O5" s="5"/>
      <c r="P5" s="5"/>
      <c r="Q5" s="5"/>
    </row>
    <row r="6" spans="1:20" s="6" customFormat="1" ht="26.25" customHeight="1" thickTop="1" thickBot="1">
      <c r="A6" s="635" t="s">
        <v>717</v>
      </c>
      <c r="B6" s="571"/>
      <c r="C6" s="571"/>
      <c r="D6" s="570"/>
      <c r="E6" s="570"/>
      <c r="F6" s="571" t="s">
        <v>718</v>
      </c>
      <c r="G6" s="571"/>
      <c r="H6" s="571"/>
      <c r="I6" s="570"/>
      <c r="J6" s="572"/>
      <c r="K6" s="2"/>
      <c r="L6" s="2"/>
      <c r="M6" s="2"/>
      <c r="N6" s="2"/>
      <c r="O6" s="2"/>
      <c r="T6" s="53"/>
    </row>
    <row r="7" spans="1:20" s="6" customFormat="1" ht="16.5" customHeight="1" thickBot="1">
      <c r="A7" s="573" t="s">
        <v>720</v>
      </c>
      <c r="B7" s="574"/>
      <c r="C7" s="574"/>
      <c r="D7" s="475"/>
      <c r="E7" s="475"/>
      <c r="F7" s="574" t="s">
        <v>719</v>
      </c>
      <c r="G7" s="574"/>
      <c r="H7" s="574"/>
      <c r="I7" s="475"/>
      <c r="J7" s="476"/>
      <c r="K7" s="2"/>
      <c r="L7" s="2"/>
      <c r="M7" s="2"/>
      <c r="N7" s="2"/>
      <c r="O7" s="2"/>
    </row>
    <row r="8" spans="1:20" s="6" customFormat="1" ht="26.25" customHeight="1" thickBot="1">
      <c r="A8" s="473" t="s">
        <v>721</v>
      </c>
      <c r="B8" s="474"/>
      <c r="C8" s="474"/>
      <c r="D8" s="475"/>
      <c r="E8" s="475"/>
      <c r="F8" s="474" t="s">
        <v>722</v>
      </c>
      <c r="G8" s="474"/>
      <c r="H8" s="474"/>
      <c r="I8" s="475"/>
      <c r="J8" s="476"/>
      <c r="K8" s="47" t="str">
        <f>IF(AND(Std4DateOfVerbalPhysOrders="",Std4DateOfWrittenPhysPhysOrders=""),"E",MIN(Std4DateOfVerbalPhysOrders,Std4DateOfWrittenPhysPhysOrders))</f>
        <v>E</v>
      </c>
      <c r="L8" s="46"/>
      <c r="M8" s="46"/>
      <c r="N8" s="2"/>
      <c r="O8" s="2"/>
    </row>
    <row r="9" spans="1:20" s="6" customFormat="1" ht="26.25" customHeight="1" thickBot="1">
      <c r="A9" s="473" t="s">
        <v>629</v>
      </c>
      <c r="B9" s="474"/>
      <c r="C9" s="474"/>
      <c r="D9" s="475"/>
      <c r="E9" s="475"/>
      <c r="F9" s="474" t="s">
        <v>705</v>
      </c>
      <c r="G9" s="474"/>
      <c r="H9" s="474"/>
      <c r="I9" s="475"/>
      <c r="J9" s="476"/>
      <c r="K9" s="47"/>
      <c r="L9" s="46"/>
      <c r="M9" s="46"/>
      <c r="N9" s="2"/>
      <c r="O9" s="2"/>
    </row>
    <row r="10" spans="1:20" s="6" customFormat="1" ht="26.25" customHeight="1" thickBot="1">
      <c r="A10" s="473" t="s">
        <v>630</v>
      </c>
      <c r="B10" s="474"/>
      <c r="C10" s="474"/>
      <c r="D10" s="475"/>
      <c r="E10" s="475"/>
      <c r="F10" s="474" t="s">
        <v>706</v>
      </c>
      <c r="G10" s="474"/>
      <c r="H10" s="474"/>
      <c r="I10" s="475"/>
      <c r="J10" s="476"/>
      <c r="K10" s="46"/>
      <c r="L10" s="46"/>
      <c r="M10" s="46"/>
      <c r="N10" s="2"/>
      <c r="O10" s="2"/>
    </row>
    <row r="11" spans="1:20" s="6" customFormat="1" ht="26.25" customHeight="1" thickBot="1">
      <c r="A11" s="556" t="s">
        <v>707</v>
      </c>
      <c r="B11" s="557"/>
      <c r="C11" s="557"/>
      <c r="D11" s="558"/>
      <c r="E11" s="558"/>
      <c r="F11" s="557" t="s">
        <v>631</v>
      </c>
      <c r="G11" s="557"/>
      <c r="H11" s="557"/>
      <c r="I11" s="558"/>
      <c r="J11" s="559"/>
      <c r="K11" s="46"/>
      <c r="L11" s="46"/>
      <c r="M11" s="46"/>
      <c r="N11" s="2"/>
      <c r="O11" s="2"/>
    </row>
    <row r="12" spans="1:20" s="6" customFormat="1" ht="39.75" customHeight="1" thickTop="1">
      <c r="A12" s="503" t="s">
        <v>289</v>
      </c>
      <c r="B12" s="565" t="s">
        <v>568</v>
      </c>
      <c r="C12" s="566"/>
      <c r="D12" s="566"/>
      <c r="E12" s="566"/>
      <c r="F12" s="566"/>
      <c r="G12" s="566"/>
      <c r="H12" s="567"/>
      <c r="I12" s="520"/>
      <c r="J12" s="521"/>
      <c r="K12" s="46"/>
      <c r="L12" s="46"/>
      <c r="M12" s="46"/>
      <c r="N12" s="2"/>
      <c r="O12" s="2"/>
    </row>
    <row r="13" spans="1:20" s="6" customFormat="1" ht="26.25" customHeight="1" thickBot="1">
      <c r="A13" s="505"/>
      <c r="B13" s="560" t="s">
        <v>534</v>
      </c>
      <c r="C13" s="561"/>
      <c r="D13" s="561"/>
      <c r="E13" s="561"/>
      <c r="F13" s="561"/>
      <c r="G13" s="561"/>
      <c r="H13" s="562"/>
      <c r="I13" s="563"/>
      <c r="J13" s="564"/>
      <c r="K13" s="46"/>
      <c r="L13" s="46"/>
      <c r="M13" s="46"/>
      <c r="N13" s="2"/>
      <c r="O13" s="2"/>
    </row>
    <row r="14" spans="1:20" s="6" customFormat="1" ht="27" customHeight="1" thickTop="1">
      <c r="A14" s="503" t="s">
        <v>290</v>
      </c>
      <c r="B14" s="565" t="s">
        <v>737</v>
      </c>
      <c r="C14" s="566"/>
      <c r="D14" s="566"/>
      <c r="E14" s="566"/>
      <c r="F14" s="566"/>
      <c r="G14" s="566"/>
      <c r="H14" s="567"/>
      <c r="I14" s="520"/>
      <c r="J14" s="521"/>
      <c r="K14" s="46"/>
      <c r="L14" s="46"/>
      <c r="M14" s="46"/>
      <c r="N14" s="2"/>
      <c r="O14" s="2"/>
    </row>
    <row r="15" spans="1:20" s="6" customFormat="1" ht="45" customHeight="1" thickBot="1">
      <c r="A15" s="575"/>
      <c r="B15" s="561" t="s">
        <v>535</v>
      </c>
      <c r="C15" s="561"/>
      <c r="D15" s="561"/>
      <c r="E15" s="561"/>
      <c r="F15" s="561"/>
      <c r="G15" s="561"/>
      <c r="H15" s="562"/>
      <c r="I15" s="563"/>
      <c r="J15" s="564"/>
      <c r="K15" s="46"/>
      <c r="L15" s="46"/>
      <c r="M15" s="46"/>
      <c r="N15" s="2"/>
      <c r="O15" s="2"/>
    </row>
    <row r="16" spans="1:20" s="6" customFormat="1" ht="108" customHeight="1" thickTop="1" thickBot="1">
      <c r="A16" s="30"/>
      <c r="B16" s="596" t="s">
        <v>738</v>
      </c>
      <c r="C16" s="596"/>
      <c r="D16" s="596"/>
      <c r="E16" s="596"/>
      <c r="F16" s="596"/>
      <c r="G16" s="596"/>
      <c r="H16" s="596"/>
      <c r="I16" s="597" t="str">
        <f>IF(Std4dot1aNotCalc="","",IF(Std4dot1aNotCalc="N","NA",IF(Std4dot1bNotCalc="","",IF(Std4dot1bNotCalc="N","NA",IF(OR(Std5_Min_EF="E",Std4DateOfForm3050="",Std4FirstDayOfSvc=""),"",IF(AND(Std4DateOfForm3050&lt;=Std4FirstDayOfSvc,Std5_Min_EF&lt;=Std4FirstDayOfSvc),"Y","N"))))))</f>
        <v/>
      </c>
      <c r="J16" s="597"/>
      <c r="K16" s="46"/>
      <c r="L16" s="46"/>
      <c r="M16" s="46"/>
      <c r="N16" s="2"/>
      <c r="O16" s="2"/>
    </row>
    <row r="17" spans="1:27" s="6" customFormat="1" ht="90" customHeight="1" thickTop="1" thickBot="1">
      <c r="A17" s="31"/>
      <c r="B17" s="530" t="s">
        <v>739</v>
      </c>
      <c r="C17" s="530"/>
      <c r="D17" s="530"/>
      <c r="E17" s="530"/>
      <c r="F17" s="530"/>
      <c r="G17" s="530"/>
      <c r="H17" s="530"/>
      <c r="I17" s="597" t="str">
        <f>IF(Std4dot1aNotCalc="","",IF(Std4dot1aNotCalc="N","NA",IF(Std4dot1bNotCalc="","",IF(Std4dot1bNotCalc="N","NA",IF(AND(Std4DateOfVerbalPhysOrders="",Std4DateOfWrittenPhysPhysOrders=""),"",IF(OR(Std4DateForm3050SubmittedDadsRegNurse="",Std4DateForm3055SubmittedDadsRegNurse=""),"",IF(AND(ABS(Std4DateForm3050SubmittedDadsRegNurse-Std5_Min_EF)&lt;=30,ABS(Std4DateForm3055SubmittedDadsRegNurse-Std5_Min_EF)&lt;=30),"Y","N")))))))</f>
        <v/>
      </c>
      <c r="J17" s="597"/>
      <c r="K17" s="2"/>
      <c r="L17" s="2"/>
      <c r="M17" s="2"/>
      <c r="N17" s="2"/>
      <c r="O17" s="2"/>
    </row>
    <row r="18" spans="1:27" s="6" customFormat="1" ht="39.75" customHeight="1" thickTop="1">
      <c r="A18" s="576" t="s">
        <v>252</v>
      </c>
      <c r="B18" s="352" t="s">
        <v>291</v>
      </c>
      <c r="C18" s="353"/>
      <c r="D18" s="353"/>
      <c r="E18" s="353"/>
      <c r="F18" s="353"/>
      <c r="G18" s="353"/>
      <c r="H18" s="354"/>
      <c r="I18" s="407" t="str">
        <f>IF(Std4dot1aNotCalc = "", "", IF(Std4dot1aNotCalc = "N", "NA", IF(Std4dot1bNotCalc = "", "", IF(Std4dot1bNotCalc = "N", "NA", IF(OR(Std4dot1a = "", Std4dot1b = ""), "", IF(AND(Std4dot1a = "Y", Std4dot1b = "Y"), "Y", "N"))))))</f>
        <v/>
      </c>
      <c r="J18" s="408"/>
      <c r="K18" s="2"/>
      <c r="L18" s="2"/>
      <c r="M18" s="2"/>
      <c r="N18" s="2"/>
      <c r="O18" s="2"/>
    </row>
    <row r="19" spans="1:27" s="6" customFormat="1" ht="15.75" customHeight="1" thickBot="1">
      <c r="A19" s="577"/>
      <c r="B19" s="593"/>
      <c r="C19" s="594"/>
      <c r="D19" s="594"/>
      <c r="E19" s="594"/>
      <c r="F19" s="594"/>
      <c r="G19" s="594"/>
      <c r="H19" s="595"/>
      <c r="I19" s="578"/>
      <c r="J19" s="579"/>
      <c r="K19" s="2"/>
      <c r="L19" s="2"/>
      <c r="M19" s="2"/>
      <c r="N19" s="2"/>
      <c r="O19" s="2"/>
    </row>
    <row r="20" spans="1:27" s="6" customFormat="1" ht="27" customHeight="1" thickTop="1">
      <c r="A20" s="503" t="s">
        <v>253</v>
      </c>
      <c r="B20" s="565" t="s">
        <v>536</v>
      </c>
      <c r="C20" s="566"/>
      <c r="D20" s="566"/>
      <c r="E20" s="566"/>
      <c r="F20" s="566"/>
      <c r="G20" s="566"/>
      <c r="H20" s="567"/>
      <c r="I20" s="520"/>
      <c r="J20" s="521"/>
      <c r="K20" s="2"/>
      <c r="L20" s="2"/>
      <c r="M20" s="2"/>
      <c r="N20" s="2"/>
      <c r="O20" s="2"/>
    </row>
    <row r="21" spans="1:27" s="6" customFormat="1" ht="43.5" customHeight="1" thickBot="1">
      <c r="A21" s="505"/>
      <c r="B21" s="560" t="s">
        <v>723</v>
      </c>
      <c r="C21" s="561"/>
      <c r="D21" s="561"/>
      <c r="E21" s="561"/>
      <c r="F21" s="561"/>
      <c r="G21" s="561"/>
      <c r="H21" s="562"/>
      <c r="I21" s="563"/>
      <c r="J21" s="564"/>
      <c r="K21" s="2"/>
      <c r="L21" s="2"/>
      <c r="M21" s="2"/>
      <c r="N21" s="2"/>
      <c r="O21" s="2"/>
    </row>
    <row r="22" spans="1:27" s="6" customFormat="1" ht="96" customHeight="1" thickTop="1" thickBot="1">
      <c r="A22" s="580" t="s">
        <v>740</v>
      </c>
      <c r="B22" s="581"/>
      <c r="C22" s="581"/>
      <c r="D22" s="581"/>
      <c r="E22" s="581"/>
      <c r="F22" s="581"/>
      <c r="G22" s="581"/>
      <c r="H22" s="582"/>
      <c r="I22" s="583" t="str">
        <f>IF(Std4dot1aNotCalc="","",IF(Std4dot1aNotCalc="N","NA",IF(Std4dot2NotCalc="","",IF(Std4dot2NotCalc="N","NA",IF(OR(D10="",I11=""),"",IF(D10&lt;=I11,"Y","N"))))))</f>
        <v/>
      </c>
      <c r="J22" s="584"/>
      <c r="K22" s="2"/>
      <c r="L22" s="2"/>
      <c r="M22" s="2"/>
      <c r="N22" s="2"/>
      <c r="O22" s="2"/>
    </row>
    <row r="23" spans="1:27" s="6" customFormat="1" ht="26.25" customHeight="1" thickTop="1">
      <c r="A23" s="503" t="s">
        <v>254</v>
      </c>
      <c r="B23" s="565" t="s">
        <v>537</v>
      </c>
      <c r="C23" s="566"/>
      <c r="D23" s="566"/>
      <c r="E23" s="566"/>
      <c r="F23" s="566"/>
      <c r="G23" s="566"/>
      <c r="H23" s="567"/>
      <c r="I23" s="520"/>
      <c r="J23" s="521"/>
      <c r="K23" s="2"/>
      <c r="L23" s="2"/>
      <c r="M23" s="2"/>
      <c r="N23" s="2"/>
      <c r="O23" s="2"/>
    </row>
    <row r="24" spans="1:27" s="6" customFormat="1" ht="39.9" customHeight="1" thickBot="1">
      <c r="A24" s="504"/>
      <c r="B24" s="560" t="s">
        <v>538</v>
      </c>
      <c r="C24" s="561"/>
      <c r="D24" s="561"/>
      <c r="E24" s="561"/>
      <c r="F24" s="561"/>
      <c r="G24" s="561"/>
      <c r="H24" s="562"/>
      <c r="I24" s="563"/>
      <c r="J24" s="564"/>
      <c r="K24" s="2"/>
      <c r="L24" s="2"/>
      <c r="M24" s="2"/>
      <c r="N24" s="2"/>
      <c r="O24" s="2"/>
    </row>
    <row r="25" spans="1:27" s="6" customFormat="1" ht="105" customHeight="1" thickTop="1" thickBot="1">
      <c r="A25" s="504"/>
      <c r="B25" s="587" t="s">
        <v>741</v>
      </c>
      <c r="C25" s="588"/>
      <c r="D25" s="588"/>
      <c r="E25" s="588"/>
      <c r="F25" s="588"/>
      <c r="G25" s="588"/>
      <c r="H25" s="589"/>
      <c r="I25" s="585"/>
      <c r="J25" s="586"/>
      <c r="K25" s="2"/>
      <c r="L25" s="2"/>
      <c r="M25" s="2"/>
      <c r="N25" s="2"/>
      <c r="O25" s="2"/>
    </row>
    <row r="26" spans="1:27" s="6" customFormat="1" ht="38.25" customHeight="1" thickBot="1">
      <c r="A26" s="504"/>
      <c r="B26" s="590" t="s">
        <v>742</v>
      </c>
      <c r="C26" s="591"/>
      <c r="D26" s="591"/>
      <c r="E26" s="591"/>
      <c r="F26" s="591"/>
      <c r="G26" s="591"/>
      <c r="H26" s="592"/>
      <c r="I26" s="531"/>
      <c r="J26" s="532"/>
      <c r="K26" s="2"/>
      <c r="L26" s="2"/>
      <c r="M26" s="2"/>
      <c r="N26" s="2"/>
      <c r="O26" s="2"/>
    </row>
    <row r="27" spans="1:27" s="6" customFormat="1" ht="75" customHeight="1" thickBot="1">
      <c r="A27" s="504"/>
      <c r="B27" s="590" t="s">
        <v>743</v>
      </c>
      <c r="C27" s="591"/>
      <c r="D27" s="591"/>
      <c r="E27" s="591"/>
      <c r="F27" s="591"/>
      <c r="G27" s="591"/>
      <c r="H27" s="592"/>
      <c r="I27" s="531"/>
      <c r="J27" s="532"/>
      <c r="K27" s="2"/>
      <c r="L27" s="2"/>
      <c r="M27" s="2"/>
      <c r="N27" s="2"/>
      <c r="O27" s="2"/>
    </row>
    <row r="28" spans="1:27" s="6" customFormat="1" ht="39" customHeight="1" thickBot="1">
      <c r="A28" s="505"/>
      <c r="B28" s="590" t="s">
        <v>744</v>
      </c>
      <c r="C28" s="591"/>
      <c r="D28" s="591"/>
      <c r="E28" s="591"/>
      <c r="F28" s="591"/>
      <c r="G28" s="591"/>
      <c r="H28" s="592"/>
      <c r="I28" s="531"/>
      <c r="J28" s="532"/>
      <c r="K28" s="2"/>
      <c r="L28" s="2"/>
      <c r="M28" s="2"/>
      <c r="N28" s="2"/>
      <c r="O28" s="2"/>
    </row>
    <row r="29" spans="1:27" s="6" customFormat="1" ht="13.5" customHeight="1" thickTop="1">
      <c r="A29" s="352" t="s">
        <v>745</v>
      </c>
      <c r="B29" s="353"/>
      <c r="C29" s="353"/>
      <c r="D29" s="353"/>
      <c r="E29" s="353"/>
      <c r="F29" s="353"/>
      <c r="G29" s="353"/>
      <c r="H29" s="354"/>
      <c r="I29" s="407" t="str">
        <f>IF(Std4dot1aNotCalc="","",IF(Std4dot1aNotCalc="N","NA",IF(Std4dot3NotCalc="","", IF(Std4dot3NotCalc="N","NA", IF(OR(Std4dot3AB = "", Std4dot3CD = ""), "", IF(Std4dot3AB = "Y", Std4dot3CD, "N"))))))</f>
        <v/>
      </c>
      <c r="J29" s="408"/>
      <c r="K29" s="2"/>
      <c r="L29" s="2"/>
      <c r="M29" s="2"/>
      <c r="N29" s="2"/>
      <c r="O29" s="2"/>
      <c r="Z29" s="6" t="s">
        <v>528</v>
      </c>
      <c r="AA29" s="6" t="str">
        <f>IF(Std4dot3a = "", "", IF(Std4dot3a = "Y", IF(OR(Std4dot3b = "", Std4dot3b = "NA"), "Y", ""), IF(OR(Std4dot3b = "", Std4dot3b = "NA"), "", Std4dot3b)))</f>
        <v/>
      </c>
    </row>
    <row r="30" spans="1:27" s="6" customFormat="1" ht="15" customHeight="1">
      <c r="A30" s="278"/>
      <c r="B30" s="279"/>
      <c r="C30" s="279"/>
      <c r="D30" s="279"/>
      <c r="E30" s="279"/>
      <c r="F30" s="279"/>
      <c r="G30" s="279"/>
      <c r="H30" s="280"/>
      <c r="I30" s="409"/>
      <c r="J30" s="410"/>
      <c r="K30" s="2"/>
      <c r="L30" s="2"/>
      <c r="M30" s="2"/>
      <c r="N30" s="2"/>
      <c r="O30" s="2"/>
      <c r="Z30" s="6" t="s">
        <v>529</v>
      </c>
      <c r="AA30" s="6" t="str">
        <f>IF(Std4dot3c = "", "", IF(Std4dot3c = "Y", IF(OR(Std4dot3d = "", Std4dot3d = "NA"), "Y", ""), IF(OR(Std4dot3d = "", Std4dot3d = "NA"), "", Std4dot3d)))</f>
        <v/>
      </c>
    </row>
    <row r="31" spans="1:27" s="6" customFormat="1" ht="15.75" customHeight="1" thickBot="1">
      <c r="A31" s="593"/>
      <c r="B31" s="594"/>
      <c r="C31" s="594"/>
      <c r="D31" s="594"/>
      <c r="E31" s="594"/>
      <c r="F31" s="594"/>
      <c r="G31" s="594"/>
      <c r="H31" s="595"/>
      <c r="I31" s="409"/>
      <c r="J31" s="410"/>
      <c r="K31" s="2"/>
      <c r="L31" s="2"/>
      <c r="M31" s="2"/>
      <c r="N31" s="2"/>
      <c r="O31" s="2"/>
    </row>
    <row r="32" spans="1:27" s="6" customFormat="1" ht="27" customHeight="1" thickTop="1" thickBot="1">
      <c r="A32" s="50" t="s">
        <v>530</v>
      </c>
      <c r="B32" s="618"/>
      <c r="C32" s="619"/>
      <c r="D32" s="619"/>
      <c r="E32" s="619"/>
      <c r="F32" s="619"/>
      <c r="G32" s="619"/>
      <c r="H32" s="619"/>
      <c r="I32" s="619"/>
      <c r="J32" s="620"/>
      <c r="K32" s="2"/>
      <c r="L32" s="2"/>
      <c r="M32" s="2"/>
      <c r="N32" s="2"/>
      <c r="O32" s="2"/>
    </row>
    <row r="33" spans="1:15" s="6" customFormat="1" ht="15.75" customHeight="1">
      <c r="A33" s="610" t="s">
        <v>724</v>
      </c>
      <c r="B33" s="611"/>
      <c r="C33" s="611"/>
      <c r="D33" s="611"/>
      <c r="E33" s="611"/>
      <c r="F33" s="611"/>
      <c r="G33" s="611"/>
      <c r="H33" s="612"/>
      <c r="I33" s="409" t="str">
        <f>IF(Std4dot2NotCalc="Y","NA",IF(Std4dot1aNotCalc="","",IF(Std4dot1bNotCalc="Y","NA",IF(Std4dot1aNotCalc="N","NA",IF(OR(Std4BeginDate="",Std4FirstDayOfSvc=""),"",IF(Std4BeginDate&gt;Std4FirstDayOfSvc,"",IF(Std4FirstDayOfSvc-Std4BeginDate&gt;7,"N","Y")))))))</f>
        <v/>
      </c>
      <c r="J33" s="410"/>
      <c r="K33" s="2"/>
      <c r="L33" s="2"/>
      <c r="M33" s="2"/>
      <c r="N33" s="2"/>
      <c r="O33" s="2"/>
    </row>
    <row r="34" spans="1:15" s="6" customFormat="1" ht="15.75" customHeight="1" thickBot="1">
      <c r="A34" s="613"/>
      <c r="B34" s="614"/>
      <c r="C34" s="614"/>
      <c r="D34" s="614"/>
      <c r="E34" s="614"/>
      <c r="F34" s="614"/>
      <c r="G34" s="614"/>
      <c r="H34" s="615"/>
      <c r="I34" s="616"/>
      <c r="J34" s="617"/>
      <c r="K34" s="2"/>
      <c r="L34" s="2"/>
      <c r="M34" s="2"/>
      <c r="N34" s="2"/>
      <c r="O34" s="2"/>
    </row>
    <row r="35" spans="1:15" s="6" customFormat="1" ht="38.25" customHeight="1" thickBot="1">
      <c r="A35" s="604" t="s">
        <v>746</v>
      </c>
      <c r="B35" s="605"/>
      <c r="C35" s="605"/>
      <c r="D35" s="605"/>
      <c r="E35" s="605"/>
      <c r="F35" s="605"/>
      <c r="G35" s="605"/>
      <c r="H35" s="606"/>
      <c r="I35" s="509"/>
      <c r="J35" s="510"/>
      <c r="K35" s="2"/>
      <c r="L35" s="2"/>
      <c r="M35" s="2"/>
      <c r="N35" s="2"/>
      <c r="O35" s="2"/>
    </row>
    <row r="36" spans="1:15" s="6" customFormat="1" ht="29.25" customHeight="1" thickTop="1" thickBot="1">
      <c r="A36" s="607" t="s">
        <v>255</v>
      </c>
      <c r="B36" s="608"/>
      <c r="C36" s="608"/>
      <c r="D36" s="608"/>
      <c r="E36" s="608"/>
      <c r="F36" s="608"/>
      <c r="G36" s="608"/>
      <c r="H36" s="609"/>
      <c r="I36" s="407" t="str">
        <f>IF(Std4dot2NotCalc="Y","NA",IF(Std4dot1aNotCalc="","",IF(Std4dot1bNotCalc="Y","NA",IF(Std4dot1aNotCalc="N","NA",IF(OR(Std4dot4a = "", Std4dot4b = ""), "", IF(Std4dot4a = "Y", "Y", IF(AND(Std4dot4a = "N", Std4dot4b = "Y"), "Y", IF(AND(Std4dot4a = "N", Std4dot4b = "N"), "N", ""))))))))</f>
        <v/>
      </c>
      <c r="J36" s="408"/>
      <c r="K36" s="2"/>
      <c r="L36" s="2"/>
      <c r="M36" s="2"/>
      <c r="N36" s="2"/>
      <c r="O36" s="2"/>
    </row>
    <row r="37" spans="1:15" s="36" customFormat="1" ht="15" customHeight="1" thickTop="1" thickBot="1">
      <c r="A37" s="466" t="s">
        <v>135</v>
      </c>
      <c r="B37" s="467"/>
      <c r="C37" s="467"/>
      <c r="D37" s="467"/>
      <c r="E37" s="467"/>
      <c r="F37" s="467"/>
      <c r="G37" s="467"/>
      <c r="H37" s="467"/>
      <c r="I37" s="468"/>
      <c r="J37" s="469"/>
      <c r="K37" s="35"/>
      <c r="L37" s="35"/>
      <c r="M37" s="35"/>
      <c r="N37" s="35"/>
      <c r="O37" s="35"/>
    </row>
    <row r="38" spans="1:15" s="36" customFormat="1" ht="140.25" customHeight="1" thickTop="1" thickBot="1">
      <c r="A38" s="470" t="s">
        <v>725</v>
      </c>
      <c r="B38" s="281"/>
      <c r="C38" s="281"/>
      <c r="D38" s="281"/>
      <c r="E38" s="281"/>
      <c r="F38" s="281"/>
      <c r="G38" s="281"/>
      <c r="H38" s="282"/>
      <c r="I38" s="471"/>
      <c r="J38" s="472"/>
      <c r="K38" s="35"/>
      <c r="L38" s="35"/>
      <c r="M38" s="35"/>
      <c r="N38" s="35"/>
      <c r="O38" s="35"/>
    </row>
    <row r="39" spans="1:15" s="6" customFormat="1" ht="65.25" customHeight="1" thickTop="1" thickBot="1">
      <c r="A39" s="504" t="s">
        <v>256</v>
      </c>
      <c r="B39" s="621" t="s">
        <v>726</v>
      </c>
      <c r="C39" s="622"/>
      <c r="D39" s="622"/>
      <c r="E39" s="622"/>
      <c r="F39" s="622"/>
      <c r="G39" s="622"/>
      <c r="H39" s="622"/>
      <c r="I39" s="622"/>
      <c r="J39" s="623"/>
      <c r="K39" s="2"/>
      <c r="L39" s="2"/>
      <c r="M39" s="2"/>
      <c r="N39" s="2"/>
      <c r="O39" s="2"/>
    </row>
    <row r="40" spans="1:15" s="6" customFormat="1" ht="126.75" customHeight="1" thickTop="1">
      <c r="A40" s="504"/>
      <c r="B40" s="601" t="s">
        <v>727</v>
      </c>
      <c r="C40" s="602"/>
      <c r="D40" s="602"/>
      <c r="E40" s="602"/>
      <c r="F40" s="602"/>
      <c r="G40" s="602"/>
      <c r="H40" s="602"/>
      <c r="I40" s="602"/>
      <c r="J40" s="603"/>
      <c r="K40" s="2"/>
      <c r="L40" s="2"/>
      <c r="M40" s="2"/>
      <c r="N40" s="2"/>
      <c r="O40" s="2"/>
    </row>
    <row r="41" spans="1:15" s="6" customFormat="1" ht="54" customHeight="1" thickBot="1">
      <c r="A41" s="505"/>
      <c r="B41" s="560" t="s">
        <v>747</v>
      </c>
      <c r="C41" s="561"/>
      <c r="D41" s="561"/>
      <c r="E41" s="561"/>
      <c r="F41" s="561"/>
      <c r="G41" s="561"/>
      <c r="H41" s="561"/>
      <c r="I41" s="561"/>
      <c r="J41" s="562"/>
      <c r="K41" s="2"/>
      <c r="L41" s="2"/>
      <c r="M41" s="2"/>
      <c r="N41" s="2"/>
      <c r="O41" s="2"/>
    </row>
    <row r="42" spans="1:15" s="6" customFormat="1" ht="38.25" customHeight="1" thickTop="1" thickBot="1">
      <c r="A42" s="506" t="s">
        <v>628</v>
      </c>
      <c r="B42" s="507"/>
      <c r="C42" s="507"/>
      <c r="D42" s="507"/>
      <c r="E42" s="507"/>
      <c r="F42" s="507"/>
      <c r="G42" s="507"/>
      <c r="H42" s="508"/>
      <c r="I42" s="509" t="s">
        <v>80</v>
      </c>
      <c r="J42" s="510"/>
      <c r="K42" s="2"/>
      <c r="L42" s="2"/>
      <c r="M42" s="2"/>
      <c r="N42" s="2"/>
      <c r="O42" s="2"/>
    </row>
    <row r="43" spans="1:15" s="36" customFormat="1" ht="154.5" customHeight="1" thickTop="1">
      <c r="A43" s="503" t="s">
        <v>257</v>
      </c>
      <c r="B43" s="511" t="s">
        <v>728</v>
      </c>
      <c r="C43" s="512"/>
      <c r="D43" s="512"/>
      <c r="E43" s="512"/>
      <c r="F43" s="512"/>
      <c r="G43" s="512"/>
      <c r="H43" s="512"/>
      <c r="I43" s="512"/>
      <c r="J43" s="513"/>
      <c r="K43" s="35"/>
      <c r="L43" s="35"/>
      <c r="M43" s="35"/>
      <c r="N43" s="35"/>
      <c r="O43" s="35"/>
    </row>
    <row r="44" spans="1:15" s="6" customFormat="1" ht="60" customHeight="1">
      <c r="A44" s="504"/>
      <c r="B44" s="624" t="s">
        <v>764</v>
      </c>
      <c r="C44" s="625"/>
      <c r="D44" s="625"/>
      <c r="E44" s="625"/>
      <c r="F44" s="625"/>
      <c r="G44" s="625"/>
      <c r="H44" s="625"/>
      <c r="I44" s="625"/>
      <c r="J44" s="626"/>
    </row>
    <row r="45" spans="1:15" s="2" customFormat="1" ht="16.5" customHeight="1" thickBot="1">
      <c r="A45" s="505"/>
      <c r="B45" s="25" t="s">
        <v>258</v>
      </c>
      <c r="C45" s="57"/>
      <c r="D45" s="25" t="s">
        <v>259</v>
      </c>
      <c r="E45" s="58"/>
      <c r="F45" s="24"/>
      <c r="G45" s="25" t="s">
        <v>260</v>
      </c>
      <c r="H45" s="57"/>
      <c r="I45" s="25" t="s">
        <v>259</v>
      </c>
      <c r="J45" s="59"/>
    </row>
    <row r="46" spans="1:15" s="6" customFormat="1" ht="27.75" customHeight="1" thickTop="1" thickBot="1">
      <c r="A46" s="506" t="s">
        <v>261</v>
      </c>
      <c r="B46" s="507"/>
      <c r="C46" s="507"/>
      <c r="D46" s="507"/>
      <c r="E46" s="507"/>
      <c r="F46" s="507"/>
      <c r="G46" s="507"/>
      <c r="H46" s="508"/>
      <c r="I46" s="509"/>
      <c r="J46" s="510"/>
    </row>
    <row r="47" spans="1:15" s="6" customFormat="1" ht="117" customHeight="1" thickTop="1">
      <c r="A47" s="503" t="s">
        <v>262</v>
      </c>
      <c r="B47" s="511" t="s">
        <v>729</v>
      </c>
      <c r="C47" s="512"/>
      <c r="D47" s="512"/>
      <c r="E47" s="512"/>
      <c r="F47" s="512"/>
      <c r="G47" s="512"/>
      <c r="H47" s="512"/>
      <c r="I47" s="512"/>
      <c r="J47" s="513"/>
      <c r="K47" s="2"/>
      <c r="L47" s="2"/>
      <c r="M47" s="2"/>
      <c r="N47" s="2"/>
      <c r="O47" s="2"/>
    </row>
    <row r="48" spans="1:15" s="6" customFormat="1" ht="60" customHeight="1">
      <c r="A48" s="504"/>
      <c r="B48" s="598" t="s">
        <v>635</v>
      </c>
      <c r="C48" s="599"/>
      <c r="D48" s="599"/>
      <c r="E48" s="599"/>
      <c r="F48" s="599"/>
      <c r="G48" s="599"/>
      <c r="H48" s="599"/>
      <c r="I48" s="599"/>
      <c r="J48" s="600"/>
    </row>
    <row r="49" spans="1:20" s="2" customFormat="1" ht="16.5" customHeight="1" thickBot="1">
      <c r="A49" s="505"/>
      <c r="B49" s="25" t="s">
        <v>258</v>
      </c>
      <c r="C49" s="57"/>
      <c r="D49" s="25" t="s">
        <v>259</v>
      </c>
      <c r="E49" s="58"/>
      <c r="F49" s="24"/>
      <c r="G49" s="25" t="s">
        <v>260</v>
      </c>
      <c r="H49" s="57"/>
      <c r="I49" s="25" t="s">
        <v>259</v>
      </c>
      <c r="J49" s="59"/>
    </row>
    <row r="50" spans="1:20" s="6" customFormat="1" ht="42" customHeight="1" thickTop="1" thickBot="1">
      <c r="A50" s="514" t="s">
        <v>748</v>
      </c>
      <c r="B50" s="515"/>
      <c r="C50" s="515"/>
      <c r="D50" s="515"/>
      <c r="E50" s="515"/>
      <c r="F50" s="515"/>
      <c r="G50" s="515"/>
      <c r="H50" s="516"/>
      <c r="I50" s="509" t="s">
        <v>80</v>
      </c>
      <c r="J50" s="510"/>
    </row>
    <row r="51" spans="1:20" s="6" customFormat="1" ht="66" customHeight="1" thickTop="1">
      <c r="A51" s="503" t="s">
        <v>263</v>
      </c>
      <c r="B51" s="511" t="s">
        <v>749</v>
      </c>
      <c r="C51" s="512"/>
      <c r="D51" s="512"/>
      <c r="E51" s="512"/>
      <c r="F51" s="512"/>
      <c r="G51" s="512"/>
      <c r="H51" s="512"/>
      <c r="I51" s="512"/>
      <c r="J51" s="513"/>
      <c r="K51" s="2"/>
      <c r="L51" s="2"/>
      <c r="M51" s="2"/>
      <c r="N51" s="2"/>
      <c r="O51" s="2"/>
    </row>
    <row r="52" spans="1:20" s="6" customFormat="1" ht="38.25" customHeight="1">
      <c r="A52" s="504"/>
      <c r="B52" s="495" t="s">
        <v>636</v>
      </c>
      <c r="C52" s="495"/>
      <c r="D52" s="495"/>
      <c r="E52" s="495"/>
      <c r="F52" s="495"/>
      <c r="G52" s="495"/>
      <c r="H52" s="495"/>
      <c r="I52" s="495"/>
      <c r="J52" s="496"/>
    </row>
    <row r="53" spans="1:20" s="2" customFormat="1" ht="16.5" customHeight="1" thickBot="1">
      <c r="A53" s="505"/>
      <c r="B53" s="25" t="s">
        <v>258</v>
      </c>
      <c r="C53" s="57"/>
      <c r="D53" s="25" t="s">
        <v>259</v>
      </c>
      <c r="E53" s="58"/>
      <c r="F53" s="24"/>
      <c r="G53" s="25" t="s">
        <v>260</v>
      </c>
      <c r="H53" s="57"/>
      <c r="I53" s="25" t="s">
        <v>259</v>
      </c>
      <c r="J53" s="59"/>
    </row>
    <row r="54" spans="1:20" s="6" customFormat="1" ht="27" customHeight="1" thickTop="1" thickBot="1">
      <c r="A54" s="506" t="s">
        <v>768</v>
      </c>
      <c r="B54" s="507"/>
      <c r="C54" s="507"/>
      <c r="D54" s="507"/>
      <c r="E54" s="507"/>
      <c r="F54" s="507"/>
      <c r="G54" s="507"/>
      <c r="H54" s="508"/>
      <c r="I54" s="509" t="s">
        <v>80</v>
      </c>
      <c r="J54" s="510"/>
    </row>
    <row r="55" spans="1:20" s="6" customFormat="1" ht="43.5" customHeight="1" thickTop="1">
      <c r="A55" s="253" t="s">
        <v>674</v>
      </c>
      <c r="B55" s="254"/>
      <c r="C55" s="254"/>
      <c r="D55" s="254"/>
      <c r="E55" s="254"/>
      <c r="F55" s="254"/>
      <c r="G55" s="254"/>
      <c r="H55" s="255"/>
      <c r="I55" s="520"/>
      <c r="J55" s="521"/>
    </row>
    <row r="56" spans="1:20" s="6" customFormat="1" ht="27.75" customHeight="1">
      <c r="A56" s="610" t="s">
        <v>750</v>
      </c>
      <c r="B56" s="611"/>
      <c r="C56" s="611"/>
      <c r="D56" s="611"/>
      <c r="E56" s="611"/>
      <c r="F56" s="611"/>
      <c r="G56" s="611"/>
      <c r="H56" s="612"/>
      <c r="I56" s="522"/>
      <c r="J56" s="523"/>
    </row>
    <row r="57" spans="1:20" s="6" customFormat="1" ht="42.75" customHeight="1" thickBot="1">
      <c r="A57" s="604" t="s">
        <v>751</v>
      </c>
      <c r="B57" s="605"/>
      <c r="C57" s="605"/>
      <c r="D57" s="605"/>
      <c r="E57" s="605"/>
      <c r="F57" s="605"/>
      <c r="G57" s="605"/>
      <c r="H57" s="606"/>
      <c r="I57" s="563"/>
      <c r="J57" s="564"/>
    </row>
    <row r="58" spans="1:20" s="6" customFormat="1" ht="42.75" customHeight="1" thickTop="1">
      <c r="A58" s="253" t="s">
        <v>675</v>
      </c>
      <c r="B58" s="254"/>
      <c r="C58" s="254"/>
      <c r="D58" s="254"/>
      <c r="E58" s="254"/>
      <c r="F58" s="254"/>
      <c r="G58" s="254"/>
      <c r="H58" s="255"/>
      <c r="I58" s="630"/>
      <c r="J58" s="523"/>
    </row>
    <row r="59" spans="1:20" s="231" customFormat="1" ht="45" customHeight="1">
      <c r="A59" s="497" t="s">
        <v>698</v>
      </c>
      <c r="B59" s="498"/>
      <c r="C59" s="498"/>
      <c r="D59" s="498"/>
      <c r="E59" s="498"/>
      <c r="F59" s="498"/>
      <c r="G59" s="498"/>
      <c r="H59" s="499"/>
      <c r="I59" s="630"/>
      <c r="J59" s="523"/>
    </row>
    <row r="60" spans="1:20" s="6" customFormat="1" ht="17.25" customHeight="1">
      <c r="A60" s="610" t="s">
        <v>676</v>
      </c>
      <c r="B60" s="611"/>
      <c r="C60" s="611"/>
      <c r="D60" s="611"/>
      <c r="E60" s="611"/>
      <c r="F60" s="611"/>
      <c r="G60" s="611"/>
      <c r="H60" s="612"/>
      <c r="I60" s="630"/>
      <c r="J60" s="523"/>
    </row>
    <row r="61" spans="1:20" s="6" customFormat="1" ht="27.75" customHeight="1" thickBot="1">
      <c r="A61" s="604" t="s">
        <v>752</v>
      </c>
      <c r="B61" s="605"/>
      <c r="C61" s="605"/>
      <c r="D61" s="605"/>
      <c r="E61" s="605"/>
      <c r="F61" s="605"/>
      <c r="G61" s="605"/>
      <c r="H61" s="606"/>
      <c r="I61" s="631"/>
      <c r="J61" s="564"/>
    </row>
    <row r="62" spans="1:20" ht="17.25" customHeight="1" thickTop="1">
      <c r="A62" s="524" t="s">
        <v>137</v>
      </c>
      <c r="B62" s="525"/>
      <c r="C62" s="525"/>
      <c r="D62" s="525"/>
      <c r="E62" s="525"/>
      <c r="F62" s="525"/>
      <c r="G62" s="525"/>
      <c r="H62" s="525"/>
      <c r="I62" s="525"/>
      <c r="J62" s="526"/>
      <c r="N62" s="5"/>
      <c r="O62" s="5"/>
      <c r="P62" s="5"/>
      <c r="Q62" s="5"/>
      <c r="T62" t="s">
        <v>35</v>
      </c>
    </row>
    <row r="63" spans="1:20" s="6" customFormat="1" ht="26.25" customHeight="1" thickBot="1">
      <c r="A63" s="527" t="s">
        <v>637</v>
      </c>
      <c r="B63" s="528"/>
      <c r="C63" s="528"/>
      <c r="D63" s="528"/>
      <c r="E63" s="528"/>
      <c r="F63" s="528"/>
      <c r="G63" s="528"/>
      <c r="H63" s="528"/>
      <c r="I63" s="528"/>
      <c r="J63" s="529"/>
    </row>
    <row r="64" spans="1:20" s="6" customFormat="1" ht="17.25" customHeight="1" thickTop="1" thickBot="1">
      <c r="A64" s="26" t="s">
        <v>264</v>
      </c>
      <c r="B64" s="530" t="s">
        <v>265</v>
      </c>
      <c r="C64" s="530"/>
      <c r="D64" s="530"/>
      <c r="E64" s="530"/>
      <c r="F64" s="530"/>
      <c r="G64" s="530"/>
      <c r="H64" s="530"/>
      <c r="I64" s="530"/>
      <c r="J64" s="530"/>
    </row>
    <row r="65" spans="1:52" s="6" customFormat="1" ht="27" customHeight="1" thickTop="1">
      <c r="A65" s="253" t="s">
        <v>708</v>
      </c>
      <c r="B65" s="254"/>
      <c r="C65" s="254"/>
      <c r="D65" s="254"/>
      <c r="E65" s="254"/>
      <c r="F65" s="254"/>
      <c r="G65" s="254"/>
      <c r="H65" s="255"/>
      <c r="I65" s="520"/>
      <c r="J65" s="521"/>
    </row>
    <row r="66" spans="1:52" s="6" customFormat="1" ht="13">
      <c r="A66" s="517" t="s">
        <v>292</v>
      </c>
      <c r="B66" s="518"/>
      <c r="C66" s="518"/>
      <c r="D66" s="518"/>
      <c r="E66" s="518"/>
      <c r="F66" s="518"/>
      <c r="G66" s="518"/>
      <c r="H66" s="519"/>
      <c r="I66" s="522"/>
      <c r="J66" s="523"/>
    </row>
    <row r="67" spans="1:52" s="6" customFormat="1" ht="38.25" customHeight="1">
      <c r="A67" s="517" t="s">
        <v>677</v>
      </c>
      <c r="B67" s="518"/>
      <c r="C67" s="518"/>
      <c r="D67" s="518"/>
      <c r="E67" s="518"/>
      <c r="F67" s="518"/>
      <c r="G67" s="518"/>
      <c r="H67" s="519"/>
      <c r="I67" s="522"/>
      <c r="J67" s="523"/>
    </row>
    <row r="68" spans="1:52" s="6" customFormat="1" ht="20.149999999999999" customHeight="1">
      <c r="A68" s="497" t="s">
        <v>753</v>
      </c>
      <c r="B68" s="498"/>
      <c r="C68" s="498"/>
      <c r="D68" s="498"/>
      <c r="E68" s="498"/>
      <c r="F68" s="498"/>
      <c r="G68" s="498"/>
      <c r="H68" s="499"/>
      <c r="I68" s="522"/>
      <c r="J68" s="523"/>
    </row>
    <row r="69" spans="1:52" ht="24.9" customHeight="1" thickBot="1">
      <c r="A69" s="500"/>
      <c r="B69" s="501"/>
      <c r="C69" s="501"/>
      <c r="D69" s="501"/>
      <c r="E69" s="501"/>
      <c r="F69" s="501"/>
      <c r="G69" s="501"/>
      <c r="H69" s="502"/>
      <c r="I69" s="522"/>
      <c r="J69" s="523"/>
    </row>
    <row r="70" spans="1:52" ht="16.5" customHeight="1" thickTop="1" thickBot="1">
      <c r="A70" s="485" t="s">
        <v>266</v>
      </c>
      <c r="B70" s="486"/>
      <c r="C70" s="486"/>
      <c r="D70" s="486"/>
      <c r="E70" s="486"/>
      <c r="F70" s="486"/>
      <c r="G70" s="486"/>
      <c r="H70" s="486"/>
      <c r="I70" s="486"/>
      <c r="J70" s="486"/>
      <c r="K70" s="486"/>
      <c r="L70" s="486"/>
      <c r="M70" s="486"/>
      <c r="N70" s="486"/>
      <c r="O70" s="486"/>
      <c r="P70" s="486"/>
      <c r="Q70" s="486"/>
      <c r="R70" s="486"/>
      <c r="S70" s="486"/>
      <c r="T70" s="486"/>
      <c r="U70" s="486"/>
      <c r="V70" s="486"/>
      <c r="W70" s="486"/>
      <c r="X70" s="487"/>
    </row>
    <row r="71" spans="1:52" ht="26.25" customHeight="1" thickTop="1">
      <c r="A71" s="488" t="s">
        <v>763</v>
      </c>
      <c r="B71" s="489"/>
      <c r="C71" s="489"/>
      <c r="D71" s="489"/>
      <c r="E71" s="489"/>
      <c r="F71" s="489"/>
      <c r="G71" s="489"/>
      <c r="H71" s="489"/>
      <c r="I71" s="489"/>
      <c r="J71" s="489"/>
      <c r="K71" s="489"/>
      <c r="L71" s="489"/>
      <c r="M71" s="489"/>
      <c r="N71" s="489"/>
      <c r="O71" s="489"/>
      <c r="P71" s="489"/>
      <c r="Q71" s="489"/>
      <c r="R71" s="489"/>
      <c r="S71" s="489"/>
      <c r="T71" s="489"/>
      <c r="U71" s="489"/>
      <c r="V71" s="489"/>
      <c r="W71" s="489"/>
      <c r="X71" s="490"/>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row>
    <row r="72" spans="1:52" s="51" customFormat="1" ht="53.25" customHeight="1">
      <c r="A72" s="494" t="s">
        <v>754</v>
      </c>
      <c r="B72" s="495"/>
      <c r="C72" s="495"/>
      <c r="D72" s="495"/>
      <c r="E72" s="495"/>
      <c r="F72" s="495"/>
      <c r="G72" s="495"/>
      <c r="H72" s="495"/>
      <c r="I72" s="495"/>
      <c r="J72" s="495"/>
      <c r="K72" s="495"/>
      <c r="L72" s="495"/>
      <c r="M72" s="495"/>
      <c r="N72" s="495"/>
      <c r="O72" s="495"/>
      <c r="P72" s="495"/>
      <c r="Q72" s="495"/>
      <c r="R72" s="495"/>
      <c r="S72" s="495"/>
      <c r="T72" s="495"/>
      <c r="U72" s="495"/>
      <c r="V72" s="495"/>
      <c r="W72" s="495"/>
      <c r="X72" s="496"/>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row>
    <row r="73" spans="1:52" ht="15" customHeight="1">
      <c r="A73" s="491" t="s">
        <v>730</v>
      </c>
      <c r="B73" s="492"/>
      <c r="C73" s="492"/>
      <c r="D73" s="492"/>
      <c r="E73" s="492"/>
      <c r="F73" s="492"/>
      <c r="G73" s="492"/>
      <c r="H73" s="492"/>
      <c r="I73" s="492"/>
      <c r="J73" s="492"/>
      <c r="K73" s="492"/>
      <c r="L73" s="492"/>
      <c r="M73" s="492"/>
      <c r="N73" s="492"/>
      <c r="O73" s="492"/>
      <c r="P73" s="492"/>
      <c r="Q73" s="492"/>
      <c r="R73" s="492"/>
      <c r="S73" s="492"/>
      <c r="T73" s="492"/>
      <c r="U73" s="492"/>
      <c r="V73" s="492"/>
      <c r="W73" s="492"/>
      <c r="X73" s="493"/>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row>
    <row r="74" spans="1:52" ht="15" customHeight="1">
      <c r="A74" s="491" t="s">
        <v>731</v>
      </c>
      <c r="B74" s="492"/>
      <c r="C74" s="492"/>
      <c r="D74" s="492"/>
      <c r="E74" s="492"/>
      <c r="F74" s="492"/>
      <c r="G74" s="492"/>
      <c r="H74" s="492"/>
      <c r="I74" s="492"/>
      <c r="J74" s="492"/>
      <c r="K74" s="492"/>
      <c r="L74" s="492"/>
      <c r="M74" s="492"/>
      <c r="N74" s="492"/>
      <c r="O74" s="492"/>
      <c r="P74" s="492"/>
      <c r="Q74" s="492"/>
      <c r="R74" s="492"/>
      <c r="S74" s="492"/>
      <c r="T74" s="492"/>
      <c r="U74" s="492"/>
      <c r="V74" s="492"/>
      <c r="W74" s="492"/>
      <c r="X74" s="493"/>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ht="26.25" customHeight="1">
      <c r="A75" s="491" t="s">
        <v>625</v>
      </c>
      <c r="B75" s="492"/>
      <c r="C75" s="492"/>
      <c r="D75" s="492"/>
      <c r="E75" s="492"/>
      <c r="F75" s="492"/>
      <c r="G75" s="492"/>
      <c r="H75" s="492"/>
      <c r="I75" s="492"/>
      <c r="J75" s="492"/>
      <c r="K75" s="492"/>
      <c r="L75" s="492"/>
      <c r="M75" s="492"/>
      <c r="N75" s="492"/>
      <c r="O75" s="492"/>
      <c r="P75" s="492"/>
      <c r="Q75" s="492"/>
      <c r="R75" s="492"/>
      <c r="S75" s="492"/>
      <c r="T75" s="492"/>
      <c r="U75" s="492"/>
      <c r="V75" s="492"/>
      <c r="W75" s="492"/>
      <c r="X75" s="493"/>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row>
    <row r="76" spans="1:52" ht="15" customHeight="1">
      <c r="A76" s="491" t="s">
        <v>709</v>
      </c>
      <c r="B76" s="492"/>
      <c r="C76" s="492"/>
      <c r="D76" s="492"/>
      <c r="E76" s="492"/>
      <c r="F76" s="492"/>
      <c r="G76" s="492"/>
      <c r="H76" s="492"/>
      <c r="I76" s="492"/>
      <c r="J76" s="492"/>
      <c r="K76" s="492"/>
      <c r="L76" s="492"/>
      <c r="M76" s="492"/>
      <c r="N76" s="492"/>
      <c r="O76" s="492"/>
      <c r="P76" s="492"/>
      <c r="Q76" s="492"/>
      <c r="R76" s="492"/>
      <c r="S76" s="492"/>
      <c r="T76" s="492"/>
      <c r="U76" s="492"/>
      <c r="V76" s="492"/>
      <c r="W76" s="492"/>
      <c r="X76" s="493"/>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row>
    <row r="77" spans="1:52" ht="15" customHeight="1" thickBot="1">
      <c r="A77" s="491" t="s">
        <v>710</v>
      </c>
      <c r="B77" s="492"/>
      <c r="C77" s="492"/>
      <c r="D77" s="492"/>
      <c r="E77" s="492"/>
      <c r="F77" s="492"/>
      <c r="G77" s="492"/>
      <c r="H77" s="492"/>
      <c r="I77" s="492"/>
      <c r="J77" s="492"/>
      <c r="K77" s="492"/>
      <c r="L77" s="492"/>
      <c r="M77" s="492"/>
      <c r="N77" s="492"/>
      <c r="O77" s="492"/>
      <c r="P77" s="492"/>
      <c r="Q77" s="492"/>
      <c r="R77" s="492"/>
      <c r="S77" s="492"/>
      <c r="T77" s="492"/>
      <c r="U77" s="492"/>
      <c r="V77" s="492"/>
      <c r="W77" s="492"/>
      <c r="X77" s="493"/>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row>
    <row r="78" spans="1:52" ht="16.5" customHeight="1" thickTop="1" thickBot="1">
      <c r="A78" s="632" t="s">
        <v>594</v>
      </c>
      <c r="B78" s="633"/>
      <c r="C78" s="633"/>
      <c r="D78" s="633"/>
      <c r="E78" s="633"/>
      <c r="F78" s="633"/>
      <c r="G78" s="633"/>
      <c r="H78" s="633"/>
      <c r="I78" s="633"/>
      <c r="J78" s="633"/>
      <c r="K78" s="633"/>
      <c r="L78" s="633"/>
      <c r="M78" s="633"/>
      <c r="N78" s="633"/>
      <c r="O78" s="633"/>
      <c r="P78" s="633"/>
      <c r="Q78" s="633"/>
      <c r="R78" s="633"/>
      <c r="S78" s="633"/>
      <c r="T78" s="633"/>
      <c r="U78" s="633"/>
      <c r="V78" s="633"/>
      <c r="W78" s="633"/>
      <c r="X78" s="634"/>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row>
    <row r="79" spans="1:52" ht="30.75" customHeight="1" thickBot="1">
      <c r="A79" s="480" t="s">
        <v>564</v>
      </c>
      <c r="B79" s="481"/>
      <c r="C79" s="481"/>
      <c r="D79" s="482" t="s">
        <v>272</v>
      </c>
      <c r="E79" s="482"/>
      <c r="F79" s="482" t="s">
        <v>275</v>
      </c>
      <c r="G79" s="482"/>
      <c r="H79" s="482" t="s">
        <v>276</v>
      </c>
      <c r="I79" s="482"/>
      <c r="J79" s="483" t="s">
        <v>277</v>
      </c>
      <c r="K79" s="484"/>
      <c r="L79" s="482" t="s">
        <v>278</v>
      </c>
      <c r="M79" s="482"/>
      <c r="N79" s="482" t="s">
        <v>279</v>
      </c>
      <c r="O79" s="482"/>
      <c r="P79" s="482" t="s">
        <v>280</v>
      </c>
      <c r="Q79" s="482"/>
      <c r="R79" s="82" t="s">
        <v>18</v>
      </c>
      <c r="S79" s="82" t="s">
        <v>19</v>
      </c>
      <c r="T79" s="82"/>
      <c r="U79" s="82" t="s">
        <v>20</v>
      </c>
      <c r="V79" s="82" t="s">
        <v>21</v>
      </c>
      <c r="W79" s="82" t="s">
        <v>281</v>
      </c>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row>
    <row r="80" spans="1:52" ht="66.75" customHeight="1" thickBot="1">
      <c r="A80" s="27"/>
      <c r="B80" s="98" t="s">
        <v>8</v>
      </c>
      <c r="C80" s="98" t="s">
        <v>10</v>
      </c>
      <c r="D80" s="37" t="s">
        <v>273</v>
      </c>
      <c r="E80" s="37" t="s">
        <v>274</v>
      </c>
      <c r="F80" s="37" t="s">
        <v>273</v>
      </c>
      <c r="G80" s="37" t="s">
        <v>274</v>
      </c>
      <c r="H80" s="37" t="s">
        <v>273</v>
      </c>
      <c r="I80" s="37" t="s">
        <v>274</v>
      </c>
      <c r="J80" s="37" t="s">
        <v>273</v>
      </c>
      <c r="K80" s="37" t="s">
        <v>274</v>
      </c>
      <c r="L80" s="37" t="s">
        <v>273</v>
      </c>
      <c r="M80" s="37" t="s">
        <v>274</v>
      </c>
      <c r="N80" s="37" t="s">
        <v>273</v>
      </c>
      <c r="O80" s="37" t="s">
        <v>274</v>
      </c>
      <c r="P80" s="37" t="s">
        <v>273</v>
      </c>
      <c r="Q80" s="37" t="s">
        <v>274</v>
      </c>
      <c r="R80" s="38" t="s">
        <v>282</v>
      </c>
      <c r="S80" s="38" t="s">
        <v>283</v>
      </c>
      <c r="T80" s="38"/>
      <c r="U80" s="38" t="s">
        <v>284</v>
      </c>
      <c r="V80" s="38" t="s">
        <v>285</v>
      </c>
      <c r="W80" s="38" t="s">
        <v>286</v>
      </c>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row>
    <row r="81" spans="1:52" ht="15" thickBot="1">
      <c r="A81" s="97" t="s">
        <v>267</v>
      </c>
      <c r="B81" s="60"/>
      <c r="C81" s="60"/>
      <c r="D81" s="83"/>
      <c r="E81" s="29" t="str">
        <f>IF(D81="","",IF(D81&lt;3, 0, IF(D81&lt;6,1,2)))</f>
        <v/>
      </c>
      <c r="F81" s="83"/>
      <c r="G81" s="29" t="str">
        <f>IF(F81="","",IF(F81&lt;3, 0, IF(F81&lt;6,1,2)))</f>
        <v/>
      </c>
      <c r="H81" s="83"/>
      <c r="I81" s="29" t="str">
        <f>IF(H81="","",IF(H81&lt;3, 0, IF(H81&lt;6,1,2)))</f>
        <v/>
      </c>
      <c r="J81" s="83"/>
      <c r="K81" s="29" t="str">
        <f t="shared" ref="K81:K86" si="0">IF(J81="","",IF(J81&lt;3, 0, IF(J81&lt;6,1,2)))</f>
        <v/>
      </c>
      <c r="L81" s="83"/>
      <c r="M81" s="29" t="str">
        <f>IF(L81="","",IF(L81&lt;3, 0, IF(L81&lt;6,1,2)))</f>
        <v/>
      </c>
      <c r="N81" s="83"/>
      <c r="O81" s="29" t="str">
        <f>IF(N81="","",IF(N81&lt;3, 0, IF(N81&lt;6,1,2)))</f>
        <v/>
      </c>
      <c r="P81" s="83"/>
      <c r="Q81" s="29" t="str">
        <f>IF(P81="","",IF(P81&lt;3, 0, IF(P81&lt;6,1,2)))</f>
        <v/>
      </c>
      <c r="R81" s="29" t="str">
        <f t="shared" ref="R81:R86" si="1">IF(COUNTBLANK(B81:C81)&gt;0,"", SUM(E81,G81,I81,K81,M81,O81,Q81))</f>
        <v/>
      </c>
      <c r="S81" s="61"/>
      <c r="T81" s="28"/>
      <c r="U81" s="28" t="str">
        <f t="shared" ref="U81:U86" si="2">IF(COUNTBLANK(B81:C81) &gt; 0, "", IF(S81 = "", "", MIN(R81, S81)))</f>
        <v/>
      </c>
      <c r="V81" s="61"/>
      <c r="W81" s="32" t="str">
        <f>IF(OR(U81 = "", V81 = ""), "", U81 - V81)</f>
        <v/>
      </c>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row>
    <row r="82" spans="1:52" ht="15" thickBot="1">
      <c r="A82" s="97" t="s">
        <v>268</v>
      </c>
      <c r="B82" s="60"/>
      <c r="C82" s="60"/>
      <c r="D82" s="83"/>
      <c r="E82" s="29" t="str">
        <f t="shared" ref="E82:G86" si="3">IF(D82="","",IF(D82&lt;3, 0, IF(D82&lt;6,1,2)))</f>
        <v/>
      </c>
      <c r="F82" s="83"/>
      <c r="G82" s="29" t="str">
        <f t="shared" si="3"/>
        <v/>
      </c>
      <c r="H82" s="83"/>
      <c r="I82" s="29" t="str">
        <f t="shared" ref="I82:I86" si="4">IF(H82="","",IF(H82&lt;3, 0, IF(H82&lt;6,1,2)))</f>
        <v/>
      </c>
      <c r="J82" s="83"/>
      <c r="K82" s="29" t="str">
        <f t="shared" si="0"/>
        <v/>
      </c>
      <c r="L82" s="83"/>
      <c r="M82" s="29" t="str">
        <f t="shared" ref="M82:M86" si="5">IF(L82="","",IF(L82&lt;3, 0, IF(L82&lt;6,1,2)))</f>
        <v/>
      </c>
      <c r="N82" s="83"/>
      <c r="O82" s="29" t="str">
        <f t="shared" ref="O82:O86" si="6">IF(N82="","",IF(N82&lt;3, 0, IF(N82&lt;6,1,2)))</f>
        <v/>
      </c>
      <c r="P82" s="83"/>
      <c r="Q82" s="29" t="str">
        <f t="shared" ref="Q82:Q84" si="7">IF(P82="","",IF(P82&lt;3, 0, IF(P82&lt;6,1,2)))</f>
        <v/>
      </c>
      <c r="R82" s="29" t="str">
        <f t="shared" si="1"/>
        <v/>
      </c>
      <c r="S82" s="61"/>
      <c r="T82" s="28"/>
      <c r="U82" s="28" t="str">
        <f t="shared" si="2"/>
        <v/>
      </c>
      <c r="V82" s="61"/>
      <c r="W82" s="32" t="str">
        <f t="shared" ref="W82:W86" si="8">IF(OR(U82 = "", V82 = ""), "", U82 - V82)</f>
        <v/>
      </c>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row>
    <row r="83" spans="1:52" ht="15" thickBot="1">
      <c r="A83" s="97" t="s">
        <v>269</v>
      </c>
      <c r="B83" s="60"/>
      <c r="C83" s="60"/>
      <c r="D83" s="83"/>
      <c r="E83" s="29" t="str">
        <f t="shared" si="3"/>
        <v/>
      </c>
      <c r="F83" s="83"/>
      <c r="G83" s="29" t="str">
        <f t="shared" si="3"/>
        <v/>
      </c>
      <c r="H83" s="83"/>
      <c r="I83" s="29" t="str">
        <f t="shared" si="4"/>
        <v/>
      </c>
      <c r="J83" s="83"/>
      <c r="K83" s="29" t="str">
        <f t="shared" si="0"/>
        <v/>
      </c>
      <c r="L83" s="83"/>
      <c r="M83" s="29" t="str">
        <f t="shared" si="5"/>
        <v/>
      </c>
      <c r="N83" s="83"/>
      <c r="O83" s="29" t="str">
        <f t="shared" si="6"/>
        <v/>
      </c>
      <c r="P83" s="83"/>
      <c r="Q83" s="29" t="str">
        <f t="shared" si="7"/>
        <v/>
      </c>
      <c r="R83" s="29" t="str">
        <f t="shared" si="1"/>
        <v/>
      </c>
      <c r="S83" s="61"/>
      <c r="T83" s="28"/>
      <c r="U83" s="28" t="str">
        <f t="shared" si="2"/>
        <v/>
      </c>
      <c r="V83" s="61"/>
      <c r="W83" s="32" t="str">
        <f t="shared" si="8"/>
        <v/>
      </c>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row>
    <row r="84" spans="1:52" ht="15" thickBot="1">
      <c r="A84" s="97" t="s">
        <v>270</v>
      </c>
      <c r="B84" s="60"/>
      <c r="C84" s="60"/>
      <c r="D84" s="83"/>
      <c r="E84" s="29" t="str">
        <f t="shared" si="3"/>
        <v/>
      </c>
      <c r="F84" s="83"/>
      <c r="G84" s="29" t="str">
        <f t="shared" si="3"/>
        <v/>
      </c>
      <c r="H84" s="83"/>
      <c r="I84" s="29" t="str">
        <f t="shared" si="4"/>
        <v/>
      </c>
      <c r="J84" s="83"/>
      <c r="K84" s="29" t="str">
        <f t="shared" si="0"/>
        <v/>
      </c>
      <c r="L84" s="83"/>
      <c r="M84" s="29" t="str">
        <f t="shared" si="5"/>
        <v/>
      </c>
      <c r="N84" s="83"/>
      <c r="O84" s="29" t="str">
        <f t="shared" si="6"/>
        <v/>
      </c>
      <c r="P84" s="83"/>
      <c r="Q84" s="29" t="str">
        <f t="shared" si="7"/>
        <v/>
      </c>
      <c r="R84" s="29" t="str">
        <f t="shared" si="1"/>
        <v/>
      </c>
      <c r="S84" s="61"/>
      <c r="T84" s="28"/>
      <c r="U84" s="28" t="str">
        <f t="shared" si="2"/>
        <v/>
      </c>
      <c r="V84" s="61"/>
      <c r="W84" s="32" t="str">
        <f t="shared" si="8"/>
        <v/>
      </c>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row>
    <row r="85" spans="1:52" ht="15" thickBot="1">
      <c r="A85" s="97" t="s">
        <v>271</v>
      </c>
      <c r="B85" s="60"/>
      <c r="C85" s="60"/>
      <c r="D85" s="83"/>
      <c r="E85" s="29" t="str">
        <f t="shared" si="3"/>
        <v/>
      </c>
      <c r="F85" s="83"/>
      <c r="G85" s="29" t="str">
        <f t="shared" si="3"/>
        <v/>
      </c>
      <c r="H85" s="83"/>
      <c r="I85" s="29" t="str">
        <f t="shared" si="4"/>
        <v/>
      </c>
      <c r="J85" s="83"/>
      <c r="K85" s="29" t="str">
        <f t="shared" si="0"/>
        <v/>
      </c>
      <c r="L85" s="83"/>
      <c r="M85" s="29" t="str">
        <f t="shared" si="5"/>
        <v/>
      </c>
      <c r="N85" s="83"/>
      <c r="O85" s="29" t="str">
        <f t="shared" si="6"/>
        <v/>
      </c>
      <c r="P85" s="83"/>
      <c r="Q85" s="29" t="str">
        <f>IF(P85="","",IF(P85&lt;3, 0, IF(P85&lt;6,1,2)))</f>
        <v/>
      </c>
      <c r="R85" s="29" t="str">
        <f t="shared" si="1"/>
        <v/>
      </c>
      <c r="S85" s="61"/>
      <c r="T85" s="28"/>
      <c r="U85" s="28" t="str">
        <f t="shared" si="2"/>
        <v/>
      </c>
      <c r="V85" s="61"/>
      <c r="W85" s="32" t="str">
        <f t="shared" si="8"/>
        <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row>
    <row r="86" spans="1:52" ht="15" thickBot="1">
      <c r="A86" s="97" t="s">
        <v>593</v>
      </c>
      <c r="B86" s="60"/>
      <c r="C86" s="60"/>
      <c r="D86" s="83"/>
      <c r="E86" s="29" t="str">
        <f t="shared" si="3"/>
        <v/>
      </c>
      <c r="F86" s="83"/>
      <c r="G86" s="29" t="str">
        <f t="shared" si="3"/>
        <v/>
      </c>
      <c r="H86" s="83"/>
      <c r="I86" s="29" t="str">
        <f t="shared" si="4"/>
        <v/>
      </c>
      <c r="J86" s="83"/>
      <c r="K86" s="29" t="str">
        <f t="shared" si="0"/>
        <v/>
      </c>
      <c r="L86" s="83"/>
      <c r="M86" s="29" t="str">
        <f t="shared" si="5"/>
        <v/>
      </c>
      <c r="N86" s="83"/>
      <c r="O86" s="29" t="str">
        <f t="shared" si="6"/>
        <v/>
      </c>
      <c r="P86" s="83"/>
      <c r="Q86" s="29" t="str">
        <f>IF(P86="","",IF(P86&lt;3, 0, IF(P86&lt;6,1,2)))</f>
        <v/>
      </c>
      <c r="R86" s="29" t="str">
        <f t="shared" si="1"/>
        <v/>
      </c>
      <c r="S86" s="61"/>
      <c r="T86" s="28"/>
      <c r="U86" s="28" t="str">
        <f t="shared" si="2"/>
        <v/>
      </c>
      <c r="V86" s="61"/>
      <c r="W86" s="32" t="str">
        <f t="shared" si="8"/>
        <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row>
    <row r="87" spans="1:52" ht="15" thickBot="1">
      <c r="A87" s="477" t="s">
        <v>287</v>
      </c>
      <c r="B87" s="478"/>
      <c r="C87" s="478"/>
      <c r="D87" s="478"/>
      <c r="E87" s="478"/>
      <c r="F87" s="478"/>
      <c r="G87" s="478"/>
      <c r="H87" s="478"/>
      <c r="I87" s="478"/>
      <c r="J87" s="478"/>
      <c r="K87" s="478"/>
      <c r="L87" s="478"/>
      <c r="M87" s="478"/>
      <c r="N87" s="478"/>
      <c r="O87" s="478"/>
      <c r="P87" s="478"/>
      <c r="Q87" s="479"/>
      <c r="R87" s="32">
        <f>SUM(R81:R86)</f>
        <v>0</v>
      </c>
      <c r="S87" s="32">
        <f>SUM(S81:S86)</f>
        <v>0</v>
      </c>
      <c r="T87" s="32">
        <v>0</v>
      </c>
      <c r="U87" s="32">
        <f>SUM(U81:U86)</f>
        <v>0</v>
      </c>
      <c r="V87" s="32">
        <f>SUM(V81:V86)</f>
        <v>0</v>
      </c>
      <c r="W87" s="32">
        <f>SUM(W81:W86)</f>
        <v>0</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row>
    <row r="88" spans="1:52" ht="33.75" customHeight="1" thickBot="1">
      <c r="A88" s="480" t="s">
        <v>565</v>
      </c>
      <c r="B88" s="481"/>
      <c r="C88" s="481"/>
      <c r="D88" s="482" t="s">
        <v>272</v>
      </c>
      <c r="E88" s="482"/>
      <c r="F88" s="482" t="s">
        <v>275</v>
      </c>
      <c r="G88" s="482"/>
      <c r="H88" s="482" t="s">
        <v>276</v>
      </c>
      <c r="I88" s="482"/>
      <c r="J88" s="483" t="s">
        <v>277</v>
      </c>
      <c r="K88" s="484"/>
      <c r="L88" s="482" t="s">
        <v>278</v>
      </c>
      <c r="M88" s="482"/>
      <c r="N88" s="482" t="s">
        <v>279</v>
      </c>
      <c r="O88" s="482"/>
      <c r="P88" s="482" t="s">
        <v>280</v>
      </c>
      <c r="Q88" s="482"/>
      <c r="R88" s="82" t="s">
        <v>18</v>
      </c>
      <c r="S88" s="82" t="s">
        <v>19</v>
      </c>
      <c r="T88" s="82"/>
      <c r="U88" s="82" t="s">
        <v>20</v>
      </c>
      <c r="V88" s="82" t="s">
        <v>21</v>
      </c>
      <c r="W88" s="82" t="s">
        <v>281</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row>
    <row r="89" spans="1:52" ht="66.75" customHeight="1" thickBot="1">
      <c r="A89" s="27"/>
      <c r="B89" s="98" t="s">
        <v>8</v>
      </c>
      <c r="C89" s="98" t="s">
        <v>10</v>
      </c>
      <c r="D89" s="37" t="s">
        <v>273</v>
      </c>
      <c r="E89" s="37" t="s">
        <v>274</v>
      </c>
      <c r="F89" s="37" t="s">
        <v>273</v>
      </c>
      <c r="G89" s="37" t="s">
        <v>274</v>
      </c>
      <c r="H89" s="37" t="s">
        <v>273</v>
      </c>
      <c r="I89" s="37" t="s">
        <v>274</v>
      </c>
      <c r="J89" s="37" t="s">
        <v>273</v>
      </c>
      <c r="K89" s="37" t="s">
        <v>274</v>
      </c>
      <c r="L89" s="37" t="s">
        <v>273</v>
      </c>
      <c r="M89" s="37" t="s">
        <v>274</v>
      </c>
      <c r="N89" s="37" t="s">
        <v>273</v>
      </c>
      <c r="O89" s="37" t="s">
        <v>274</v>
      </c>
      <c r="P89" s="37" t="s">
        <v>273</v>
      </c>
      <c r="Q89" s="37" t="s">
        <v>274</v>
      </c>
      <c r="R89" s="38" t="s">
        <v>282</v>
      </c>
      <c r="S89" s="38" t="s">
        <v>283</v>
      </c>
      <c r="T89" s="38"/>
      <c r="U89" s="38" t="s">
        <v>284</v>
      </c>
      <c r="V89" s="38" t="s">
        <v>285</v>
      </c>
      <c r="W89" s="38" t="s">
        <v>286</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row>
    <row r="90" spans="1:52" ht="15" thickBot="1">
      <c r="A90" s="27" t="s">
        <v>267</v>
      </c>
      <c r="B90" s="62"/>
      <c r="C90" s="60"/>
      <c r="D90" s="83"/>
      <c r="E90" s="29" t="str">
        <f>IF(D90="","",IF(D90&lt;3, 0, IF(D90&lt;6,1,2)))</f>
        <v/>
      </c>
      <c r="F90" s="83"/>
      <c r="G90" s="29" t="str">
        <f>IF(F90="","",IF(F90&lt;3, 0, IF(F90&lt;6,1,2)))</f>
        <v/>
      </c>
      <c r="H90" s="83"/>
      <c r="I90" s="29" t="str">
        <f>IF(H90="","",IF(H90&lt;3, 0, IF(H90&lt;6,1,2)))</f>
        <v/>
      </c>
      <c r="J90" s="83"/>
      <c r="K90" s="29" t="str">
        <f t="shared" ref="K90:K95" si="9">IF(J90="","",IF(J90&lt;3, 0, IF(J90&lt;6,1,2)))</f>
        <v/>
      </c>
      <c r="L90" s="83"/>
      <c r="M90" s="29" t="str">
        <f>IF(L90="","",IF(L90&lt;3, 0, IF(L90&lt;6,1,2)))</f>
        <v/>
      </c>
      <c r="N90" s="83"/>
      <c r="O90" s="29" t="str">
        <f>IF(N90="","",IF(N90&lt;3, 0, IF(N90&lt;6,1,2)))</f>
        <v/>
      </c>
      <c r="P90" s="83"/>
      <c r="Q90" s="29" t="str">
        <f>IF(P90="","",IF(P90&lt;3, 0, IF(P90&lt;6,1,2)))</f>
        <v/>
      </c>
      <c r="R90" s="29" t="str">
        <f t="shared" ref="R90:R95" si="10">IF(COUNTBLANK(B90:C90)&gt;0,"", SUM(E90,G90,I90,K90,M90,O90,Q90))</f>
        <v/>
      </c>
      <c r="S90" s="61"/>
      <c r="T90" s="28"/>
      <c r="U90" s="28" t="str">
        <f t="shared" ref="U90:U95" si="11">IF(COUNTBLANK(B90:C90) &gt; 0, "", IF(S90 = "", "", MIN(R90, S90)))</f>
        <v/>
      </c>
      <c r="V90" s="61"/>
      <c r="W90" s="32" t="str">
        <f>IF(OR(U90 = "", V90 = ""), "", U90 - V90)</f>
        <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row>
    <row r="91" spans="1:52" ht="15" thickBot="1">
      <c r="A91" s="27" t="s">
        <v>268</v>
      </c>
      <c r="B91" s="62"/>
      <c r="C91" s="60"/>
      <c r="D91" s="83"/>
      <c r="E91" s="29" t="str">
        <f t="shared" ref="E91:E95" si="12">IF(D91="","",IF(D91&lt;3, 0, IF(D91&lt;6,1,2)))</f>
        <v/>
      </c>
      <c r="F91" s="83"/>
      <c r="G91" s="29" t="str">
        <f t="shared" ref="G91:G95" si="13">IF(F91="","",IF(F91&lt;3, 0, IF(F91&lt;6,1,2)))</f>
        <v/>
      </c>
      <c r="H91" s="83"/>
      <c r="I91" s="29" t="str">
        <f t="shared" ref="I91:I95" si="14">IF(H91="","",IF(H91&lt;3, 0, IF(H91&lt;6,1,2)))</f>
        <v/>
      </c>
      <c r="J91" s="83"/>
      <c r="K91" s="29" t="str">
        <f t="shared" si="9"/>
        <v/>
      </c>
      <c r="L91" s="83"/>
      <c r="M91" s="29" t="str">
        <f t="shared" ref="M91:M95" si="15">IF(L91="","",IF(L91&lt;3, 0, IF(L91&lt;6,1,2)))</f>
        <v/>
      </c>
      <c r="N91" s="83"/>
      <c r="O91" s="29" t="str">
        <f t="shared" ref="O91:O95" si="16">IF(N91="","",IF(N91&lt;3, 0, IF(N91&lt;6,1,2)))</f>
        <v/>
      </c>
      <c r="P91" s="83"/>
      <c r="Q91" s="29" t="str">
        <f t="shared" ref="Q91:Q93" si="17">IF(P91="","",IF(P91&lt;3, 0, IF(P91&lt;6,1,2)))</f>
        <v/>
      </c>
      <c r="R91" s="29" t="str">
        <f t="shared" si="10"/>
        <v/>
      </c>
      <c r="S91" s="61"/>
      <c r="T91" s="28"/>
      <c r="U91" s="28" t="str">
        <f t="shared" si="11"/>
        <v/>
      </c>
      <c r="V91" s="61"/>
      <c r="W91" s="32" t="str">
        <f t="shared" ref="W91:W95" si="18">IF(OR(U91 = "", V91 = ""), "", U91 - V91)</f>
        <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row>
    <row r="92" spans="1:52" ht="15" thickBot="1">
      <c r="A92" s="27" t="s">
        <v>269</v>
      </c>
      <c r="B92" s="62"/>
      <c r="C92" s="60"/>
      <c r="D92" s="83"/>
      <c r="E92" s="29" t="str">
        <f t="shared" si="12"/>
        <v/>
      </c>
      <c r="F92" s="83"/>
      <c r="G92" s="29" t="str">
        <f t="shared" si="13"/>
        <v/>
      </c>
      <c r="H92" s="83"/>
      <c r="I92" s="29" t="str">
        <f t="shared" si="14"/>
        <v/>
      </c>
      <c r="J92" s="83"/>
      <c r="K92" s="29" t="str">
        <f t="shared" si="9"/>
        <v/>
      </c>
      <c r="L92" s="83"/>
      <c r="M92" s="29" t="str">
        <f t="shared" si="15"/>
        <v/>
      </c>
      <c r="N92" s="83"/>
      <c r="O92" s="29" t="str">
        <f t="shared" si="16"/>
        <v/>
      </c>
      <c r="P92" s="83"/>
      <c r="Q92" s="29" t="str">
        <f t="shared" si="17"/>
        <v/>
      </c>
      <c r="R92" s="29" t="str">
        <f t="shared" si="10"/>
        <v/>
      </c>
      <c r="S92" s="61"/>
      <c r="T92" s="28"/>
      <c r="U92" s="28" t="str">
        <f t="shared" si="11"/>
        <v/>
      </c>
      <c r="V92" s="61"/>
      <c r="W92" s="32" t="str">
        <f t="shared" si="18"/>
        <v/>
      </c>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row>
    <row r="93" spans="1:52" ht="15" thickBot="1">
      <c r="A93" s="27" t="s">
        <v>270</v>
      </c>
      <c r="B93" s="62"/>
      <c r="C93" s="60"/>
      <c r="D93" s="83"/>
      <c r="E93" s="29" t="str">
        <f t="shared" si="12"/>
        <v/>
      </c>
      <c r="F93" s="83"/>
      <c r="G93" s="29" t="str">
        <f t="shared" si="13"/>
        <v/>
      </c>
      <c r="H93" s="83"/>
      <c r="I93" s="29" t="str">
        <f t="shared" si="14"/>
        <v/>
      </c>
      <c r="J93" s="83"/>
      <c r="K93" s="29" t="str">
        <f t="shared" si="9"/>
        <v/>
      </c>
      <c r="L93" s="83"/>
      <c r="M93" s="29" t="str">
        <f t="shared" si="15"/>
        <v/>
      </c>
      <c r="N93" s="83"/>
      <c r="O93" s="29" t="str">
        <f t="shared" si="16"/>
        <v/>
      </c>
      <c r="P93" s="83"/>
      <c r="Q93" s="29" t="str">
        <f t="shared" si="17"/>
        <v/>
      </c>
      <c r="R93" s="29" t="str">
        <f t="shared" si="10"/>
        <v/>
      </c>
      <c r="S93" s="61"/>
      <c r="T93" s="28"/>
      <c r="U93" s="28" t="str">
        <f t="shared" si="11"/>
        <v/>
      </c>
      <c r="V93" s="61"/>
      <c r="W93" s="32" t="str">
        <f t="shared" si="18"/>
        <v/>
      </c>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row>
    <row r="94" spans="1:52" ht="15" thickBot="1">
      <c r="A94" s="27" t="s">
        <v>271</v>
      </c>
      <c r="B94" s="62"/>
      <c r="C94" s="60"/>
      <c r="D94" s="83"/>
      <c r="E94" s="29" t="str">
        <f t="shared" si="12"/>
        <v/>
      </c>
      <c r="F94" s="83"/>
      <c r="G94" s="29" t="str">
        <f t="shared" si="13"/>
        <v/>
      </c>
      <c r="H94" s="83"/>
      <c r="I94" s="29" t="str">
        <f t="shared" si="14"/>
        <v/>
      </c>
      <c r="J94" s="83"/>
      <c r="K94" s="29" t="str">
        <f t="shared" si="9"/>
        <v/>
      </c>
      <c r="L94" s="83"/>
      <c r="M94" s="29" t="str">
        <f t="shared" si="15"/>
        <v/>
      </c>
      <c r="N94" s="83"/>
      <c r="O94" s="29" t="str">
        <f t="shared" si="16"/>
        <v/>
      </c>
      <c r="P94" s="83"/>
      <c r="Q94" s="29" t="str">
        <f>IF(P94="","",IF(P94&lt;3, 0, IF(P94&lt;6,1,2)))</f>
        <v/>
      </c>
      <c r="R94" s="29" t="str">
        <f t="shared" si="10"/>
        <v/>
      </c>
      <c r="S94" s="61"/>
      <c r="T94" s="28"/>
      <c r="U94" s="28" t="str">
        <f t="shared" si="11"/>
        <v/>
      </c>
      <c r="V94" s="61"/>
      <c r="W94" s="32" t="str">
        <f t="shared" si="18"/>
        <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row>
    <row r="95" spans="1:52" ht="15" thickBot="1">
      <c r="A95" s="27" t="s">
        <v>593</v>
      </c>
      <c r="B95" s="62"/>
      <c r="C95" s="60"/>
      <c r="D95" s="83"/>
      <c r="E95" s="29" t="str">
        <f t="shared" si="12"/>
        <v/>
      </c>
      <c r="F95" s="83"/>
      <c r="G95" s="29" t="str">
        <f t="shared" si="13"/>
        <v/>
      </c>
      <c r="H95" s="83"/>
      <c r="I95" s="29" t="str">
        <f t="shared" si="14"/>
        <v/>
      </c>
      <c r="J95" s="83"/>
      <c r="K95" s="29" t="str">
        <f t="shared" si="9"/>
        <v/>
      </c>
      <c r="L95" s="83"/>
      <c r="M95" s="29" t="str">
        <f t="shared" si="15"/>
        <v/>
      </c>
      <c r="N95" s="83"/>
      <c r="O95" s="29" t="str">
        <f t="shared" si="16"/>
        <v/>
      </c>
      <c r="P95" s="83"/>
      <c r="Q95" s="29" t="str">
        <f>IF(P95="","",IF(P95&lt;3, 0, IF(P95&lt;6,1,2)))</f>
        <v/>
      </c>
      <c r="R95" s="29" t="str">
        <f t="shared" si="10"/>
        <v/>
      </c>
      <c r="S95" s="61"/>
      <c r="T95" s="28"/>
      <c r="U95" s="28" t="str">
        <f t="shared" si="11"/>
        <v/>
      </c>
      <c r="V95" s="61"/>
      <c r="W95" s="32" t="str">
        <f t="shared" si="18"/>
        <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row>
    <row r="96" spans="1:52" ht="15" thickBot="1">
      <c r="A96" s="627" t="s">
        <v>287</v>
      </c>
      <c r="B96" s="628"/>
      <c r="C96" s="628"/>
      <c r="D96" s="628"/>
      <c r="E96" s="628"/>
      <c r="F96" s="628"/>
      <c r="G96" s="628"/>
      <c r="H96" s="628"/>
      <c r="I96" s="628"/>
      <c r="J96" s="628"/>
      <c r="K96" s="628"/>
      <c r="L96" s="628"/>
      <c r="M96" s="628"/>
      <c r="N96" s="628"/>
      <c r="O96" s="628"/>
      <c r="P96" s="628"/>
      <c r="Q96" s="629"/>
      <c r="R96" s="99">
        <f>SUM(R90:R95)</f>
        <v>0</v>
      </c>
      <c r="S96" s="99">
        <f>SUM(S90:S95)</f>
        <v>0</v>
      </c>
      <c r="T96" s="99">
        <v>0</v>
      </c>
      <c r="U96" s="99">
        <f>SUM(U90:U95)</f>
        <v>0</v>
      </c>
      <c r="V96" s="99">
        <f>SUM(V90:V95)</f>
        <v>0</v>
      </c>
      <c r="W96" s="99">
        <f>SUM(W90:W95)</f>
        <v>0</v>
      </c>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row>
    <row r="97" spans="1:52" ht="15" thickTop="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row>
    <row r="98" spans="1:5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row>
    <row r="99" spans="1:5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row>
    <row r="101" spans="1:5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row>
    <row r="102" spans="1:5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row>
    <row r="103" spans="1:5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row>
    <row r="104" spans="1:5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row>
    <row r="105" spans="1:5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row>
    <row r="106" spans="1:5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row>
    <row r="107" spans="1:5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row>
    <row r="108" spans="1:5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row>
    <row r="109" spans="1:5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row>
    <row r="110" spans="1:5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row>
    <row r="111" spans="1:5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row>
    <row r="112" spans="1:5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row>
    <row r="113" spans="1:5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row>
    <row r="114" spans="1:5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row>
    <row r="115" spans="1:5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row>
    <row r="116" spans="1:5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row>
    <row r="117" spans="1:5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row>
    <row r="118" spans="1:5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row>
    <row r="119" spans="1:5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row>
    <row r="120" spans="1:5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row>
    <row r="121" spans="1:5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row>
    <row r="122" spans="1:5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row>
    <row r="123" spans="1:5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row>
    <row r="124" spans="1:5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row>
    <row r="125" spans="1:5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row>
    <row r="126" spans="1:5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row>
    <row r="127" spans="1:5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row>
    <row r="128" spans="1:5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row>
    <row r="129" spans="1:5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row>
    <row r="130" spans="1:5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row>
    <row r="131" spans="1:5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row>
    <row r="132" spans="1:5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row>
    <row r="133" spans="1:5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row>
    <row r="134" spans="1:5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row>
    <row r="135" spans="1:5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row>
    <row r="136" spans="1:5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row>
    <row r="137" spans="1:5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row>
    <row r="138" spans="1:5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row>
    <row r="139" spans="1:5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row>
    <row r="140" spans="1:5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row>
    <row r="141" spans="1:5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row>
    <row r="142" spans="1:5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row>
    <row r="143" spans="1:5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row>
    <row r="144" spans="1:5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row>
    <row r="145" spans="1:5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row>
    <row r="146" spans="1:5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row>
    <row r="147" spans="1:5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row>
    <row r="148" spans="1:5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row>
    <row r="149" spans="1:5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row>
    <row r="150" spans="1:5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row>
    <row r="151" spans="1:5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row>
    <row r="152" spans="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row>
    <row r="153" spans="1:5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row>
    <row r="154" spans="1:5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row>
    <row r="155" spans="1:5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row>
    <row r="156" spans="1:5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row>
    <row r="157" spans="1:5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row>
    <row r="158" spans="1:5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row>
    <row r="159" spans="1:5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row>
    <row r="160" spans="1:5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row>
    <row r="161" spans="1:5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row>
    <row r="162" spans="1:5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row>
    <row r="163" spans="1:5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row>
    <row r="164" spans="1:5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row>
    <row r="165" spans="1:5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row>
    <row r="166" spans="1:5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row>
    <row r="167" spans="1:5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row>
    <row r="168" spans="1:5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row>
    <row r="169" spans="1:5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row>
    <row r="170" spans="1:5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row>
    <row r="171" spans="1:5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row>
    <row r="172" spans="1:5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row>
    <row r="173" spans="1:5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row>
    <row r="174" spans="1:5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row>
    <row r="175" spans="1:5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row>
    <row r="176" spans="1:5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row>
    <row r="177" spans="1:5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row>
    <row r="178" spans="1:5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row>
    <row r="179" spans="1:5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row>
    <row r="180" spans="1:5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row>
    <row r="181" spans="1:5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row>
    <row r="182" spans="1:5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row>
    <row r="183" spans="1:5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row>
    <row r="184" spans="1:5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row>
    <row r="185" spans="1:5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row>
    <row r="186" spans="1:5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row>
    <row r="187" spans="1:5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row>
    <row r="188" spans="1:5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row>
    <row r="189" spans="1:5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row>
    <row r="190" spans="1:5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row>
    <row r="191" spans="1:5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row>
    <row r="192" spans="1:5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row>
    <row r="193" spans="1:5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row>
    <row r="194" spans="1:5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row>
    <row r="195" spans="1:5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row>
    <row r="196" spans="1:5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row>
    <row r="197" spans="1:5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row>
    <row r="198" spans="1:5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row>
    <row r="199" spans="1:5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row>
    <row r="200" spans="1:5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row>
    <row r="201" spans="1:5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row>
    <row r="202" spans="1:5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row>
    <row r="203" spans="1:5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row>
    <row r="204" spans="1:5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row>
    <row r="205" spans="1:5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row>
    <row r="206" spans="1:5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row>
    <row r="207" spans="1:5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row>
    <row r="208" spans="1:5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row>
    <row r="209" spans="1:5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row>
    <row r="210" spans="1:5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row>
    <row r="211" spans="1:5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row>
    <row r="212" spans="1:5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row>
    <row r="213" spans="1:5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row>
    <row r="214" spans="1:5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row>
    <row r="215" spans="1:5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row>
    <row r="216" spans="1:5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row>
  </sheetData>
  <sheetProtection algorithmName="SHA-512" hashValue="XxbyGbfkprXh0MEm/t87rSKtmv1Yv+HEg5eIeN8u3eMfnWAcHDesB8EcbVchgy3VA0pcgEtUWidpqthZ0VcyWA==" saltValue="9dAFz2vjsPyhS9TQ/T1mwQ==" spinCount="100000" sheet="1" objects="1" scenarios="1" selectLockedCells="1"/>
  <customSheetViews>
    <customSheetView guid="{FA063EB1-52B3-49D8-83D1-441968C7020F}" hiddenColumns="1">
      <selection activeCell="D2" sqref="D2"/>
      <rowBreaks count="2" manualBreakCount="2">
        <brk id="31" max="16383" man="1"/>
        <brk id="87" max="16383" man="1"/>
      </rowBreaks>
      <pageMargins left="0.5" right="0.5" top="0.75" bottom="0.75" header="0.25" footer="0.25"/>
      <printOptions horizontalCentered="1"/>
      <pageSetup scale="58" fitToHeight="10" orientation="landscape" r:id="rId1"/>
      <headerFooter>
        <oddHeader>&amp;L&amp;"Arial,Regular"&amp;8Texas Health and Human Services Commission&amp;C&amp;"Arial,Bold"&amp;12DAY ACTIVITY HEALTH SERVICES (DAHS)
INDIVIDUAL WORK PAPER&amp;R&amp;"Arial,Regular"&amp;8Page &amp;P</oddHeader>
      </headerFooter>
    </customSheetView>
  </customSheetViews>
  <mergeCells count="144">
    <mergeCell ref="A96:Q96"/>
    <mergeCell ref="P79:Q79"/>
    <mergeCell ref="A87:Q87"/>
    <mergeCell ref="A88:C88"/>
    <mergeCell ref="D88:E88"/>
    <mergeCell ref="F88:G88"/>
    <mergeCell ref="H88:I88"/>
    <mergeCell ref="J88:K88"/>
    <mergeCell ref="L88:M88"/>
    <mergeCell ref="N88:O88"/>
    <mergeCell ref="P88:Q88"/>
    <mergeCell ref="A76:X76"/>
    <mergeCell ref="A77:X77"/>
    <mergeCell ref="A78:X78"/>
    <mergeCell ref="A79:C79"/>
    <mergeCell ref="D79:E79"/>
    <mergeCell ref="F79:G79"/>
    <mergeCell ref="H79:I79"/>
    <mergeCell ref="J79:K79"/>
    <mergeCell ref="L79:M79"/>
    <mergeCell ref="N79:O79"/>
    <mergeCell ref="A70:X70"/>
    <mergeCell ref="A71:X71"/>
    <mergeCell ref="A72:X72"/>
    <mergeCell ref="A73:X73"/>
    <mergeCell ref="A74:X74"/>
    <mergeCell ref="A75:X75"/>
    <mergeCell ref="A62:J62"/>
    <mergeCell ref="A63:J63"/>
    <mergeCell ref="B64:J64"/>
    <mergeCell ref="A65:H65"/>
    <mergeCell ref="I65:J69"/>
    <mergeCell ref="A66:H66"/>
    <mergeCell ref="A67:H67"/>
    <mergeCell ref="A68:H69"/>
    <mergeCell ref="A55:H55"/>
    <mergeCell ref="I55:J57"/>
    <mergeCell ref="A56:H56"/>
    <mergeCell ref="A57:H57"/>
    <mergeCell ref="A58:H58"/>
    <mergeCell ref="I58:J61"/>
    <mergeCell ref="A59:H59"/>
    <mergeCell ref="A60:H60"/>
    <mergeCell ref="A61:H61"/>
    <mergeCell ref="A50:H50"/>
    <mergeCell ref="I50:J50"/>
    <mergeCell ref="A51:A53"/>
    <mergeCell ref="B51:J51"/>
    <mergeCell ref="B52:J52"/>
    <mergeCell ref="A54:H54"/>
    <mergeCell ref="I54:J54"/>
    <mergeCell ref="A43:A45"/>
    <mergeCell ref="B43:J43"/>
    <mergeCell ref="B44:J44"/>
    <mergeCell ref="A46:H46"/>
    <mergeCell ref="I46:J46"/>
    <mergeCell ref="A47:A49"/>
    <mergeCell ref="B47:J47"/>
    <mergeCell ref="B48:J48"/>
    <mergeCell ref="A39:A41"/>
    <mergeCell ref="B39:J39"/>
    <mergeCell ref="B40:J40"/>
    <mergeCell ref="B41:J41"/>
    <mergeCell ref="A42:H42"/>
    <mergeCell ref="I42:J42"/>
    <mergeCell ref="A35:H35"/>
    <mergeCell ref="I35:J35"/>
    <mergeCell ref="A36:H36"/>
    <mergeCell ref="I36:J36"/>
    <mergeCell ref="A37:J37"/>
    <mergeCell ref="A38:H38"/>
    <mergeCell ref="I38:J38"/>
    <mergeCell ref="B28:H28"/>
    <mergeCell ref="I28:J28"/>
    <mergeCell ref="A29:H31"/>
    <mergeCell ref="I29:J31"/>
    <mergeCell ref="B32:J32"/>
    <mergeCell ref="A33:H34"/>
    <mergeCell ref="I33:J34"/>
    <mergeCell ref="A23:A28"/>
    <mergeCell ref="B23:H23"/>
    <mergeCell ref="I23:J24"/>
    <mergeCell ref="B24:H24"/>
    <mergeCell ref="B25:H25"/>
    <mergeCell ref="I25:J25"/>
    <mergeCell ref="B26:H26"/>
    <mergeCell ref="I26:J26"/>
    <mergeCell ref="B27:H27"/>
    <mergeCell ref="I27:J27"/>
    <mergeCell ref="A20:A21"/>
    <mergeCell ref="B20:H20"/>
    <mergeCell ref="I20:J21"/>
    <mergeCell ref="B21:H21"/>
    <mergeCell ref="A22:H22"/>
    <mergeCell ref="I22:J22"/>
    <mergeCell ref="B16:H16"/>
    <mergeCell ref="I16:J16"/>
    <mergeCell ref="B17:H17"/>
    <mergeCell ref="I17:J17"/>
    <mergeCell ref="A18:A19"/>
    <mergeCell ref="B18:H19"/>
    <mergeCell ref="I18:J19"/>
    <mergeCell ref="A12:A13"/>
    <mergeCell ref="B12:H12"/>
    <mergeCell ref="I12:J13"/>
    <mergeCell ref="B13:H13"/>
    <mergeCell ref="A14:A15"/>
    <mergeCell ref="B14:H14"/>
    <mergeCell ref="I14:J15"/>
    <mergeCell ref="B15:H15"/>
    <mergeCell ref="A10:C10"/>
    <mergeCell ref="D10:E10"/>
    <mergeCell ref="F10:H10"/>
    <mergeCell ref="I10:J10"/>
    <mergeCell ref="A11:C11"/>
    <mergeCell ref="D11:E11"/>
    <mergeCell ref="F11:H11"/>
    <mergeCell ref="I11:J11"/>
    <mergeCell ref="A8:C8"/>
    <mergeCell ref="D8:E8"/>
    <mergeCell ref="F8:H8"/>
    <mergeCell ref="I8:J8"/>
    <mergeCell ref="A9:C9"/>
    <mergeCell ref="D9:E9"/>
    <mergeCell ref="F9:H9"/>
    <mergeCell ref="I9:J9"/>
    <mergeCell ref="A5:J5"/>
    <mergeCell ref="A6:C6"/>
    <mergeCell ref="D6:E6"/>
    <mergeCell ref="F6:H6"/>
    <mergeCell ref="I6:J6"/>
    <mergeCell ref="A7:C7"/>
    <mergeCell ref="D7:E7"/>
    <mergeCell ref="F7:H7"/>
    <mergeCell ref="I7:J7"/>
    <mergeCell ref="B1:C1"/>
    <mergeCell ref="E1:H1"/>
    <mergeCell ref="I1:L1"/>
    <mergeCell ref="B2:C2"/>
    <mergeCell ref="A3:B4"/>
    <mergeCell ref="D3:F3"/>
    <mergeCell ref="G3:J3"/>
    <mergeCell ref="D4:F4"/>
    <mergeCell ref="G4:J4"/>
  </mergeCells>
  <dataValidations count="12">
    <dataValidation type="date" operator="greaterThanOrEqual" allowBlank="1" showInputMessage="1" showErrorMessage="1" sqref="I7:J7" xr:uid="{00000000-0002-0000-0800-000000000000}">
      <formula1>I6</formula1>
    </dataValidation>
    <dataValidation type="date" operator="greaterThanOrEqual" allowBlank="1" showInputMessage="1" showErrorMessage="1" errorTitle="Date Error" error="End date must be later than begin date." sqref="C81:C86 C90:C95" xr:uid="{00000000-0002-0000-0800-000001000000}">
      <formula1>B81</formula1>
    </dataValidation>
    <dataValidation type="list" allowBlank="1" showInputMessage="1" showErrorMessage="1" sqref="I12 I14 I20 I23 I38:J38" xr:uid="{00000000-0002-0000-0800-000002000000}">
      <formula1>"Y,N"</formula1>
    </dataValidation>
    <dataValidation type="list" allowBlank="1" showInputMessage="1" showErrorMessage="1" sqref="D2" xr:uid="{00000000-0002-0000-0800-000003000000}">
      <formula1>"29,29A"</formula1>
    </dataValidation>
    <dataValidation type="whole" allowBlank="1" showInputMessage="1" showErrorMessage="1" sqref="A2" xr:uid="{00000000-0002-0000-0800-000004000000}">
      <formula1>1</formula1>
      <formula2>99</formula2>
    </dataValidation>
    <dataValidation type="textLength" operator="greaterThan" allowBlank="1" showInputMessage="1" showErrorMessage="1" sqref="D3:F4" xr:uid="{00000000-0002-0000-0800-000005000000}">
      <formula1>1</formula1>
    </dataValidation>
    <dataValidation type="whole" allowBlank="1" showInputMessage="1" showErrorMessage="1" sqref="X81:X86 V90:V95 V81:V86 X90:X95" xr:uid="{00000000-0002-0000-0800-000006000000}">
      <formula1>0</formula1>
      <formula2>99</formula2>
    </dataValidation>
    <dataValidation type="whole" allowBlank="1" showInputMessage="1" showErrorMessage="1" sqref="S81:S86 S90:S95" xr:uid="{00000000-0002-0000-0800-000007000000}">
      <formula1>0</formula1>
      <formula2>14</formula2>
    </dataValidation>
    <dataValidation type="date" operator="greaterThan" allowBlank="1" showInputMessage="1" showErrorMessage="1" errorTitle="Date Error" error="Begin date must be later than previous end date." sqref="B82:B86 B91:B95" xr:uid="{00000000-0002-0000-0800-000008000000}">
      <formula1>C81</formula1>
    </dataValidation>
    <dataValidation type="decimal" operator="greaterThanOrEqual" allowBlank="1" showInputMessage="1" showErrorMessage="1" sqref="F81:F86 L90:L95 P90:P95 H81:H86 J81:J86 L81:L86 D90:D95 F90:F95 P81:P86 N81:N86 H90:H95 J90:J95 D81:D86 N90:N95" xr:uid="{00000000-0002-0000-0800-000009000000}">
      <formula1>0</formula1>
    </dataValidation>
    <dataValidation type="list" allowBlank="1" showInputMessage="1" showErrorMessage="1" sqref="I42:J42 C45 H45 I46:J46 C49 H49 I50:J50 C53 H53 I35:J35 I65 I25:J28 I54:J61" xr:uid="{00000000-0002-0000-0800-00000A000000}">
      <formula1>"Y,N,NA"</formula1>
    </dataValidation>
    <dataValidation type="date" operator="greaterThanOrEqual" allowBlank="1" showInputMessage="1" showErrorMessage="1" sqref="E45 J45 E49 J49 E53 J53 B81 B90 G4:J4 I8:J11 I6:J6 L2 J2 D6:E11" xr:uid="{00000000-0002-0000-0800-00000B000000}">
      <formula1>1</formula1>
    </dataValidation>
  </dataValidations>
  <printOptions horizontalCentered="1"/>
  <pageMargins left="0.5" right="0.5" top="0.75" bottom="0.75" header="0.25" footer="0.25"/>
  <pageSetup scale="58" fitToHeight="10" orientation="landscape" r:id="rId2"/>
  <headerFooter>
    <oddHeader>&amp;L&amp;"Arial,Regular"&amp;8Texas Health and Human Services Commission&amp;C&amp;"Arial,Bold"&amp;12DAY ACTIVITY HEALTH SERVICES (DAHS)
INDIVIDUAL WORK PAPER&amp;R&amp;"Arial,Regular"&amp;8Page &amp;P</oddHeader>
  </headerFooter>
  <rowBreaks count="2" manualBreakCount="2">
    <brk id="31" max="16383" man="1"/>
    <brk id="8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9838E71788CA4FAA0BF7588A02EAF4" ma:contentTypeVersion="16" ma:contentTypeDescription="Create a new document." ma:contentTypeScope="" ma:versionID="094c63760ae5eae1a35d051b4ca30f75">
  <xsd:schema xmlns:xsd="http://www.w3.org/2001/XMLSchema" xmlns:xs="http://www.w3.org/2001/XMLSchema" xmlns:p="http://schemas.microsoft.com/office/2006/metadata/properties" xmlns:ns2="4c0983a0-4bcd-43aa-a263-d87f613ccbf3" xmlns:ns3="4258f409-72fc-4864-a9b8-c090a853676b" targetNamespace="http://schemas.microsoft.com/office/2006/metadata/properties" ma:root="true" ma:fieldsID="cb517a0a09970a183b4baa8d43f7f39e" ns2:_="" ns3:_="">
    <xsd:import namespace="4c0983a0-4bcd-43aa-a263-d87f613ccbf3"/>
    <xsd:import namespace="4258f409-72fc-4864-a9b8-c090a853676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0983a0-4bcd-43aa-a263-d87f613ccb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58f409-72fc-4864-a9b8-c090a853676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9755E8-6544-4BAA-BA5B-DF8BCF7662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0983a0-4bcd-43aa-a263-d87f613ccbf3"/>
    <ds:schemaRef ds:uri="4258f409-72fc-4864-a9b8-c090a85367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942A66-A9D0-4162-B616-63BACAD839F3}">
  <ds:schemaRefs>
    <ds:schemaRef ds:uri="http://purl.org/dc/dcmitype/"/>
    <ds:schemaRef ds:uri="http://purl.org/dc/elements/1.1/"/>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7F6AE694-2B2E-4574-B71B-D30ED7F570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2139</vt:i4>
      </vt:variant>
    </vt:vector>
  </HeadingPairs>
  <TitlesOfParts>
    <vt:vector size="2177" baseType="lpstr">
      <vt:lpstr>Data</vt:lpstr>
      <vt:lpstr>Monitoring Workbook</vt:lpstr>
      <vt:lpstr>IWP01</vt:lpstr>
      <vt:lpstr>IWP02</vt:lpstr>
      <vt:lpstr>IWP03</vt:lpstr>
      <vt:lpstr>IWP04</vt:lpstr>
      <vt:lpstr>IWP05</vt:lpstr>
      <vt:lpstr>IWP06</vt:lpstr>
      <vt:lpstr>IWP07</vt:lpstr>
      <vt:lpstr>IWP08</vt:lpstr>
      <vt:lpstr>IWP09</vt:lpstr>
      <vt:lpstr>IWP10</vt:lpstr>
      <vt:lpstr>IWP11</vt:lpstr>
      <vt:lpstr>IWP12</vt:lpstr>
      <vt:lpstr>IWP13</vt:lpstr>
      <vt:lpstr>IWP14</vt:lpstr>
      <vt:lpstr>IWP15</vt:lpstr>
      <vt:lpstr>IWP16</vt:lpstr>
      <vt:lpstr>IWP17</vt:lpstr>
      <vt:lpstr>IWP18</vt:lpstr>
      <vt:lpstr>IWP19</vt:lpstr>
      <vt:lpstr>IWP20</vt:lpstr>
      <vt:lpstr>IWP21</vt:lpstr>
      <vt:lpstr>IWP22</vt:lpstr>
      <vt:lpstr>IWP23</vt:lpstr>
      <vt:lpstr>IWP24</vt:lpstr>
      <vt:lpstr>IWP25</vt:lpstr>
      <vt:lpstr>IWP26</vt:lpstr>
      <vt:lpstr>IWP27</vt:lpstr>
      <vt:lpstr>IWP28</vt:lpstr>
      <vt:lpstr>IWP29</vt:lpstr>
      <vt:lpstr>IWP30</vt:lpstr>
      <vt:lpstr>Compliance Summary (Print)</vt:lpstr>
      <vt:lpstr>Demand for Pmt. (Print)</vt:lpstr>
      <vt:lpstr>Vehicle Checklist (Print)</vt:lpstr>
      <vt:lpstr>Employee Req. Table (Print)</vt:lpstr>
      <vt:lpstr>Samples (Print)</vt:lpstr>
      <vt:lpstr>Notes (Print)</vt:lpstr>
      <vt:lpstr>'IWP01'!ClientID</vt:lpstr>
      <vt:lpstr>'IWP02'!ClientID</vt:lpstr>
      <vt:lpstr>'IWP03'!ClientID</vt:lpstr>
      <vt:lpstr>'IWP04'!ClientID</vt:lpstr>
      <vt:lpstr>'IWP05'!ClientID</vt:lpstr>
      <vt:lpstr>'IWP06'!ClientID</vt:lpstr>
      <vt:lpstr>'IWP07'!ClientID</vt:lpstr>
      <vt:lpstr>'IWP08'!ClientID</vt:lpstr>
      <vt:lpstr>'IWP09'!ClientID</vt:lpstr>
      <vt:lpstr>'IWP10'!ClientID</vt:lpstr>
      <vt:lpstr>'IWP11'!ClientID</vt:lpstr>
      <vt:lpstr>'IWP12'!ClientID</vt:lpstr>
      <vt:lpstr>'IWP13'!ClientID</vt:lpstr>
      <vt:lpstr>'IWP14'!ClientID</vt:lpstr>
      <vt:lpstr>'IWP15'!ClientID</vt:lpstr>
      <vt:lpstr>'IWP16'!ClientID</vt:lpstr>
      <vt:lpstr>'IWP17'!ClientID</vt:lpstr>
      <vt:lpstr>'IWP18'!ClientID</vt:lpstr>
      <vt:lpstr>'IWP19'!ClientID</vt:lpstr>
      <vt:lpstr>'IWP20'!ClientID</vt:lpstr>
      <vt:lpstr>'IWP21'!ClientID</vt:lpstr>
      <vt:lpstr>'IWP22'!ClientID</vt:lpstr>
      <vt:lpstr>'IWP23'!ClientID</vt:lpstr>
      <vt:lpstr>'IWP24'!ClientID</vt:lpstr>
      <vt:lpstr>'IWP25'!ClientID</vt:lpstr>
      <vt:lpstr>'IWP26'!ClientID</vt:lpstr>
      <vt:lpstr>'IWP27'!ClientID</vt:lpstr>
      <vt:lpstr>'IWP28'!ClientID</vt:lpstr>
      <vt:lpstr>'IWP29'!ClientID</vt:lpstr>
      <vt:lpstr>'IWP30'!ClientID</vt:lpstr>
      <vt:lpstr>'IWP01'!CompletedByFirstName</vt:lpstr>
      <vt:lpstr>'IWP02'!CompletedByFirstName</vt:lpstr>
      <vt:lpstr>'IWP03'!CompletedByFirstName</vt:lpstr>
      <vt:lpstr>'IWP04'!CompletedByFirstName</vt:lpstr>
      <vt:lpstr>'IWP05'!CompletedByFirstName</vt:lpstr>
      <vt:lpstr>'IWP06'!CompletedByFirstName</vt:lpstr>
      <vt:lpstr>'IWP07'!CompletedByFirstName</vt:lpstr>
      <vt:lpstr>'IWP08'!CompletedByFirstName</vt:lpstr>
      <vt:lpstr>'IWP09'!CompletedByFirstName</vt:lpstr>
      <vt:lpstr>'IWP10'!CompletedByFirstName</vt:lpstr>
      <vt:lpstr>'IWP11'!CompletedByFirstName</vt:lpstr>
      <vt:lpstr>'IWP12'!CompletedByFirstName</vt:lpstr>
      <vt:lpstr>'IWP13'!CompletedByFirstName</vt:lpstr>
      <vt:lpstr>'IWP14'!CompletedByFirstName</vt:lpstr>
      <vt:lpstr>'IWP15'!CompletedByFirstName</vt:lpstr>
      <vt:lpstr>'IWP16'!CompletedByFirstName</vt:lpstr>
      <vt:lpstr>'IWP17'!CompletedByFirstName</vt:lpstr>
      <vt:lpstr>'IWP18'!CompletedByFirstName</vt:lpstr>
      <vt:lpstr>'IWP19'!CompletedByFirstName</vt:lpstr>
      <vt:lpstr>'IWP20'!CompletedByFirstName</vt:lpstr>
      <vt:lpstr>'IWP21'!CompletedByFirstName</vt:lpstr>
      <vt:lpstr>'IWP22'!CompletedByFirstName</vt:lpstr>
      <vt:lpstr>'IWP23'!CompletedByFirstName</vt:lpstr>
      <vt:lpstr>'IWP24'!CompletedByFirstName</vt:lpstr>
      <vt:lpstr>'IWP25'!CompletedByFirstName</vt:lpstr>
      <vt:lpstr>'IWP26'!CompletedByFirstName</vt:lpstr>
      <vt:lpstr>'IWP27'!CompletedByFirstName</vt:lpstr>
      <vt:lpstr>'IWP28'!CompletedByFirstName</vt:lpstr>
      <vt:lpstr>'IWP29'!CompletedByFirstName</vt:lpstr>
      <vt:lpstr>'IWP30'!CompletedByFirstName</vt:lpstr>
      <vt:lpstr>CompletedByFirstName</vt:lpstr>
      <vt:lpstr>'IWP01'!CompletedByLastName</vt:lpstr>
      <vt:lpstr>'IWP02'!CompletedByLastName</vt:lpstr>
      <vt:lpstr>'IWP03'!CompletedByLastName</vt:lpstr>
      <vt:lpstr>'IWP04'!CompletedByLastName</vt:lpstr>
      <vt:lpstr>'IWP05'!CompletedByLastName</vt:lpstr>
      <vt:lpstr>'IWP06'!CompletedByLastName</vt:lpstr>
      <vt:lpstr>'IWP07'!CompletedByLastName</vt:lpstr>
      <vt:lpstr>'IWP08'!CompletedByLastName</vt:lpstr>
      <vt:lpstr>'IWP09'!CompletedByLastName</vt:lpstr>
      <vt:lpstr>'IWP10'!CompletedByLastName</vt:lpstr>
      <vt:lpstr>'IWP11'!CompletedByLastName</vt:lpstr>
      <vt:lpstr>'IWP12'!CompletedByLastName</vt:lpstr>
      <vt:lpstr>'IWP13'!CompletedByLastName</vt:lpstr>
      <vt:lpstr>'IWP14'!CompletedByLastName</vt:lpstr>
      <vt:lpstr>'IWP15'!CompletedByLastName</vt:lpstr>
      <vt:lpstr>'IWP16'!CompletedByLastName</vt:lpstr>
      <vt:lpstr>'IWP17'!CompletedByLastName</vt:lpstr>
      <vt:lpstr>'IWP18'!CompletedByLastName</vt:lpstr>
      <vt:lpstr>'IWP19'!CompletedByLastName</vt:lpstr>
      <vt:lpstr>'IWP20'!CompletedByLastName</vt:lpstr>
      <vt:lpstr>'IWP21'!CompletedByLastName</vt:lpstr>
      <vt:lpstr>'IWP22'!CompletedByLastName</vt:lpstr>
      <vt:lpstr>'IWP23'!CompletedByLastName</vt:lpstr>
      <vt:lpstr>'IWP24'!CompletedByLastName</vt:lpstr>
      <vt:lpstr>'IWP25'!CompletedByLastName</vt:lpstr>
      <vt:lpstr>'IWP26'!CompletedByLastName</vt:lpstr>
      <vt:lpstr>'IWP27'!CompletedByLastName</vt:lpstr>
      <vt:lpstr>'IWP28'!CompletedByLastName</vt:lpstr>
      <vt:lpstr>'IWP29'!CompletedByLastName</vt:lpstr>
      <vt:lpstr>'IWP30'!CompletedByLastName</vt:lpstr>
      <vt:lpstr>CompletedByLastName</vt:lpstr>
      <vt:lpstr>'IWP01'!ContractNumber</vt:lpstr>
      <vt:lpstr>'IWP02'!ContractNumber</vt:lpstr>
      <vt:lpstr>'IWP03'!ContractNumber</vt:lpstr>
      <vt:lpstr>'IWP04'!ContractNumber</vt:lpstr>
      <vt:lpstr>'IWP05'!ContractNumber</vt:lpstr>
      <vt:lpstr>'IWP06'!ContractNumber</vt:lpstr>
      <vt:lpstr>'IWP07'!ContractNumber</vt:lpstr>
      <vt:lpstr>'IWP08'!ContractNumber</vt:lpstr>
      <vt:lpstr>'IWP09'!ContractNumber</vt:lpstr>
      <vt:lpstr>'IWP10'!ContractNumber</vt:lpstr>
      <vt:lpstr>'IWP11'!ContractNumber</vt:lpstr>
      <vt:lpstr>'IWP12'!ContractNumber</vt:lpstr>
      <vt:lpstr>'IWP13'!ContractNumber</vt:lpstr>
      <vt:lpstr>'IWP14'!ContractNumber</vt:lpstr>
      <vt:lpstr>'IWP15'!ContractNumber</vt:lpstr>
      <vt:lpstr>'IWP16'!ContractNumber</vt:lpstr>
      <vt:lpstr>'IWP17'!ContractNumber</vt:lpstr>
      <vt:lpstr>'IWP18'!ContractNumber</vt:lpstr>
      <vt:lpstr>'IWP19'!ContractNumber</vt:lpstr>
      <vt:lpstr>'IWP20'!ContractNumber</vt:lpstr>
      <vt:lpstr>'IWP21'!ContractNumber</vt:lpstr>
      <vt:lpstr>'IWP22'!ContractNumber</vt:lpstr>
      <vt:lpstr>'IWP23'!ContractNumber</vt:lpstr>
      <vt:lpstr>'IWP24'!ContractNumber</vt:lpstr>
      <vt:lpstr>'IWP25'!ContractNumber</vt:lpstr>
      <vt:lpstr>'IWP26'!ContractNumber</vt:lpstr>
      <vt:lpstr>'IWP27'!ContractNumber</vt:lpstr>
      <vt:lpstr>'IWP28'!ContractNumber</vt:lpstr>
      <vt:lpstr>'IWP29'!ContractNumber</vt:lpstr>
      <vt:lpstr>'IWP30'!ContractNumber</vt:lpstr>
      <vt:lpstr>ContractNumber</vt:lpstr>
      <vt:lpstr>Data!ContractNumbers</vt:lpstr>
      <vt:lpstr>'IWP01'!DateCompleted</vt:lpstr>
      <vt:lpstr>'IWP02'!DateCompleted</vt:lpstr>
      <vt:lpstr>'IWP03'!DateCompleted</vt:lpstr>
      <vt:lpstr>'IWP04'!DateCompleted</vt:lpstr>
      <vt:lpstr>'IWP05'!DateCompleted</vt:lpstr>
      <vt:lpstr>'IWP06'!DateCompleted</vt:lpstr>
      <vt:lpstr>'IWP07'!DateCompleted</vt:lpstr>
      <vt:lpstr>'IWP08'!DateCompleted</vt:lpstr>
      <vt:lpstr>'IWP09'!DateCompleted</vt:lpstr>
      <vt:lpstr>'IWP10'!DateCompleted</vt:lpstr>
      <vt:lpstr>'IWP11'!DateCompleted</vt:lpstr>
      <vt:lpstr>'IWP12'!DateCompleted</vt:lpstr>
      <vt:lpstr>'IWP13'!DateCompleted</vt:lpstr>
      <vt:lpstr>'IWP14'!DateCompleted</vt:lpstr>
      <vt:lpstr>'IWP15'!DateCompleted</vt:lpstr>
      <vt:lpstr>'IWP16'!DateCompleted</vt:lpstr>
      <vt:lpstr>'IWP17'!DateCompleted</vt:lpstr>
      <vt:lpstr>'IWP18'!DateCompleted</vt:lpstr>
      <vt:lpstr>'IWP19'!DateCompleted</vt:lpstr>
      <vt:lpstr>'IWP20'!DateCompleted</vt:lpstr>
      <vt:lpstr>'IWP21'!DateCompleted</vt:lpstr>
      <vt:lpstr>'IWP22'!DateCompleted</vt:lpstr>
      <vt:lpstr>'IWP23'!DateCompleted</vt:lpstr>
      <vt:lpstr>'IWP24'!DateCompleted</vt:lpstr>
      <vt:lpstr>'IWP25'!DateCompleted</vt:lpstr>
      <vt:lpstr>'IWP26'!DateCompleted</vt:lpstr>
      <vt:lpstr>'IWP27'!DateCompleted</vt:lpstr>
      <vt:lpstr>'IWP28'!DateCompleted</vt:lpstr>
      <vt:lpstr>'IWP29'!DateCompleted</vt:lpstr>
      <vt:lpstr>'IWP30'!DateCompleted</vt:lpstr>
      <vt:lpstr>DateOfEntrance</vt:lpstr>
      <vt:lpstr>DateofExit</vt:lpstr>
      <vt:lpstr>DateOfExitRevised</vt:lpstr>
      <vt:lpstr>DateOfMonitoringPeriodBegin</vt:lpstr>
      <vt:lpstr>DateOfMonitoringPeriodEnd</vt:lpstr>
      <vt:lpstr>'IWP01'!FiscalReviewFirstMonth</vt:lpstr>
      <vt:lpstr>'IWP02'!FiscalReviewFirstMonth</vt:lpstr>
      <vt:lpstr>'IWP03'!FiscalReviewFirstMonth</vt:lpstr>
      <vt:lpstr>'IWP04'!FiscalReviewFirstMonth</vt:lpstr>
      <vt:lpstr>'IWP05'!FiscalReviewFirstMonth</vt:lpstr>
      <vt:lpstr>'IWP06'!FiscalReviewFirstMonth</vt:lpstr>
      <vt:lpstr>'IWP07'!FiscalReviewFirstMonth</vt:lpstr>
      <vt:lpstr>'IWP08'!FiscalReviewFirstMonth</vt:lpstr>
      <vt:lpstr>'IWP09'!FiscalReviewFirstMonth</vt:lpstr>
      <vt:lpstr>'IWP10'!FiscalReviewFirstMonth</vt:lpstr>
      <vt:lpstr>'IWP11'!FiscalReviewFirstMonth</vt:lpstr>
      <vt:lpstr>'IWP12'!FiscalReviewFirstMonth</vt:lpstr>
      <vt:lpstr>'IWP13'!FiscalReviewFirstMonth</vt:lpstr>
      <vt:lpstr>'IWP14'!FiscalReviewFirstMonth</vt:lpstr>
      <vt:lpstr>'IWP15'!FiscalReviewFirstMonth</vt:lpstr>
      <vt:lpstr>'IWP16'!FiscalReviewFirstMonth</vt:lpstr>
      <vt:lpstr>'IWP17'!FiscalReviewFirstMonth</vt:lpstr>
      <vt:lpstr>'IWP18'!FiscalReviewFirstMonth</vt:lpstr>
      <vt:lpstr>'IWP19'!FiscalReviewFirstMonth</vt:lpstr>
      <vt:lpstr>'IWP20'!FiscalReviewFirstMonth</vt:lpstr>
      <vt:lpstr>'IWP21'!FiscalReviewFirstMonth</vt:lpstr>
      <vt:lpstr>'IWP22'!FiscalReviewFirstMonth</vt:lpstr>
      <vt:lpstr>'IWP23'!FiscalReviewFirstMonth</vt:lpstr>
      <vt:lpstr>'IWP24'!FiscalReviewFirstMonth</vt:lpstr>
      <vt:lpstr>'IWP25'!FiscalReviewFirstMonth</vt:lpstr>
      <vt:lpstr>'IWP26'!FiscalReviewFirstMonth</vt:lpstr>
      <vt:lpstr>'IWP27'!FiscalReviewFirstMonth</vt:lpstr>
      <vt:lpstr>'IWP28'!FiscalReviewFirstMonth</vt:lpstr>
      <vt:lpstr>'IWP29'!FiscalReviewFirstMonth</vt:lpstr>
      <vt:lpstr>'IWP30'!FiscalReviewFirstMonth</vt:lpstr>
      <vt:lpstr>'IWP01'!FiscalReviewSecondMonth</vt:lpstr>
      <vt:lpstr>'IWP02'!FiscalReviewSecondMonth</vt:lpstr>
      <vt:lpstr>'IWP03'!FiscalReviewSecondMonth</vt:lpstr>
      <vt:lpstr>'IWP04'!FiscalReviewSecondMonth</vt:lpstr>
      <vt:lpstr>'IWP05'!FiscalReviewSecondMonth</vt:lpstr>
      <vt:lpstr>'IWP06'!FiscalReviewSecondMonth</vt:lpstr>
      <vt:lpstr>'IWP07'!FiscalReviewSecondMonth</vt:lpstr>
      <vt:lpstr>'IWP08'!FiscalReviewSecondMonth</vt:lpstr>
      <vt:lpstr>'IWP09'!FiscalReviewSecondMonth</vt:lpstr>
      <vt:lpstr>'IWP10'!FiscalReviewSecondMonth</vt:lpstr>
      <vt:lpstr>'IWP11'!FiscalReviewSecondMonth</vt:lpstr>
      <vt:lpstr>'IWP12'!FiscalReviewSecondMonth</vt:lpstr>
      <vt:lpstr>'IWP13'!FiscalReviewSecondMonth</vt:lpstr>
      <vt:lpstr>'IWP14'!FiscalReviewSecondMonth</vt:lpstr>
      <vt:lpstr>'IWP15'!FiscalReviewSecondMonth</vt:lpstr>
      <vt:lpstr>'IWP16'!FiscalReviewSecondMonth</vt:lpstr>
      <vt:lpstr>'IWP17'!FiscalReviewSecondMonth</vt:lpstr>
      <vt:lpstr>'IWP18'!FiscalReviewSecondMonth</vt:lpstr>
      <vt:lpstr>'IWP19'!FiscalReviewSecondMonth</vt:lpstr>
      <vt:lpstr>'IWP20'!FiscalReviewSecondMonth</vt:lpstr>
      <vt:lpstr>'IWP21'!FiscalReviewSecondMonth</vt:lpstr>
      <vt:lpstr>'IWP22'!FiscalReviewSecondMonth</vt:lpstr>
      <vt:lpstr>'IWP23'!FiscalReviewSecondMonth</vt:lpstr>
      <vt:lpstr>'IWP24'!FiscalReviewSecondMonth</vt:lpstr>
      <vt:lpstr>'IWP25'!FiscalReviewSecondMonth</vt:lpstr>
      <vt:lpstr>'IWP26'!FiscalReviewSecondMonth</vt:lpstr>
      <vt:lpstr>'IWP27'!FiscalReviewSecondMonth</vt:lpstr>
      <vt:lpstr>'IWP28'!FiscalReviewSecondMonth</vt:lpstr>
      <vt:lpstr>'IWP29'!FiscalReviewSecondMonth</vt:lpstr>
      <vt:lpstr>'IWP30'!FiscalReviewSecondMonth</vt:lpstr>
      <vt:lpstr>NameOfLegalEntity</vt:lpstr>
      <vt:lpstr>Old_StdIII2_formula</vt:lpstr>
      <vt:lpstr>'Compliance Summary (Print)'!Overall_Score</vt:lpstr>
      <vt:lpstr>'Compliance Summary (Print)'!Overall_Total</vt:lpstr>
      <vt:lpstr>'Compliance Summary (Print)'!Overall_Total_No</vt:lpstr>
      <vt:lpstr>'Compliance Summary (Print)'!Overall_Total_Yes</vt:lpstr>
      <vt:lpstr>'Notes (Print)'!Print_Area</vt:lpstr>
      <vt:lpstr>'Demand for Pmt. (Print)'!Print_Titles</vt:lpstr>
      <vt:lpstr>'IWP01'!Print_Titles</vt:lpstr>
      <vt:lpstr>'IWP02'!Print_Titles</vt:lpstr>
      <vt:lpstr>'IWP03'!Print_Titles</vt:lpstr>
      <vt:lpstr>'IWP04'!Print_Titles</vt:lpstr>
      <vt:lpstr>'IWP05'!Print_Titles</vt:lpstr>
      <vt:lpstr>'IWP06'!Print_Titles</vt:lpstr>
      <vt:lpstr>'IWP07'!Print_Titles</vt:lpstr>
      <vt:lpstr>'IWP08'!Print_Titles</vt:lpstr>
      <vt:lpstr>'IWP09'!Print_Titles</vt:lpstr>
      <vt:lpstr>'IWP10'!Print_Titles</vt:lpstr>
      <vt:lpstr>'IWP11'!Print_Titles</vt:lpstr>
      <vt:lpstr>'IWP12'!Print_Titles</vt:lpstr>
      <vt:lpstr>'IWP13'!Print_Titles</vt:lpstr>
      <vt:lpstr>'IWP14'!Print_Titles</vt:lpstr>
      <vt:lpstr>'IWP15'!Print_Titles</vt:lpstr>
      <vt:lpstr>'IWP16'!Print_Titles</vt:lpstr>
      <vt:lpstr>'IWP17'!Print_Titles</vt:lpstr>
      <vt:lpstr>'IWP18'!Print_Titles</vt:lpstr>
      <vt:lpstr>'IWP19'!Print_Titles</vt:lpstr>
      <vt:lpstr>'IWP20'!Print_Titles</vt:lpstr>
      <vt:lpstr>'IWP21'!Print_Titles</vt:lpstr>
      <vt:lpstr>'IWP22'!Print_Titles</vt:lpstr>
      <vt:lpstr>'IWP23'!Print_Titles</vt:lpstr>
      <vt:lpstr>'IWP24'!Print_Titles</vt:lpstr>
      <vt:lpstr>'IWP25'!Print_Titles</vt:lpstr>
      <vt:lpstr>'IWP26'!Print_Titles</vt:lpstr>
      <vt:lpstr>'IWP27'!Print_Titles</vt:lpstr>
      <vt:lpstr>'IWP28'!Print_Titles</vt:lpstr>
      <vt:lpstr>'IWP29'!Print_Titles</vt:lpstr>
      <vt:lpstr>'IWP30'!Print_Titles</vt:lpstr>
      <vt:lpstr>'Monitoring Workbook'!Print_Titles</vt:lpstr>
      <vt:lpstr>'Vehicle Checklist (Print)'!Print_Titles</vt:lpstr>
      <vt:lpstr>ReviewLevel</vt:lpstr>
      <vt:lpstr>'IWP01'!ReviewPeriodBeginDate</vt:lpstr>
      <vt:lpstr>'IWP02'!ReviewPeriodBeginDate</vt:lpstr>
      <vt:lpstr>'IWP03'!ReviewPeriodBeginDate</vt:lpstr>
      <vt:lpstr>'IWP04'!ReviewPeriodBeginDate</vt:lpstr>
      <vt:lpstr>'IWP05'!ReviewPeriodBeginDate</vt:lpstr>
      <vt:lpstr>'IWP06'!ReviewPeriodBeginDate</vt:lpstr>
      <vt:lpstr>'IWP07'!ReviewPeriodBeginDate</vt:lpstr>
      <vt:lpstr>'IWP08'!ReviewPeriodBeginDate</vt:lpstr>
      <vt:lpstr>'IWP09'!ReviewPeriodBeginDate</vt:lpstr>
      <vt:lpstr>'IWP10'!ReviewPeriodBeginDate</vt:lpstr>
      <vt:lpstr>'IWP11'!ReviewPeriodBeginDate</vt:lpstr>
      <vt:lpstr>'IWP12'!ReviewPeriodBeginDate</vt:lpstr>
      <vt:lpstr>'IWP13'!ReviewPeriodBeginDate</vt:lpstr>
      <vt:lpstr>'IWP14'!ReviewPeriodBeginDate</vt:lpstr>
      <vt:lpstr>'IWP15'!ReviewPeriodBeginDate</vt:lpstr>
      <vt:lpstr>'IWP16'!ReviewPeriodBeginDate</vt:lpstr>
      <vt:lpstr>'IWP17'!ReviewPeriodBeginDate</vt:lpstr>
      <vt:lpstr>'IWP18'!ReviewPeriodBeginDate</vt:lpstr>
      <vt:lpstr>'IWP19'!ReviewPeriodBeginDate</vt:lpstr>
      <vt:lpstr>'IWP20'!ReviewPeriodBeginDate</vt:lpstr>
      <vt:lpstr>'IWP21'!ReviewPeriodBeginDate</vt:lpstr>
      <vt:lpstr>'IWP22'!ReviewPeriodBeginDate</vt:lpstr>
      <vt:lpstr>'IWP23'!ReviewPeriodBeginDate</vt:lpstr>
      <vt:lpstr>'IWP24'!ReviewPeriodBeginDate</vt:lpstr>
      <vt:lpstr>'IWP25'!ReviewPeriodBeginDate</vt:lpstr>
      <vt:lpstr>'IWP26'!ReviewPeriodBeginDate</vt:lpstr>
      <vt:lpstr>'IWP27'!ReviewPeriodBeginDate</vt:lpstr>
      <vt:lpstr>'IWP28'!ReviewPeriodBeginDate</vt:lpstr>
      <vt:lpstr>'IWP29'!ReviewPeriodBeginDate</vt:lpstr>
      <vt:lpstr>'IWP30'!ReviewPeriodBeginDate</vt:lpstr>
      <vt:lpstr>'IWP01'!ReviewPeriodEndDate</vt:lpstr>
      <vt:lpstr>'IWP02'!ReviewPeriodEndDate</vt:lpstr>
      <vt:lpstr>'IWP03'!ReviewPeriodEndDate</vt:lpstr>
      <vt:lpstr>'IWP04'!ReviewPeriodEndDate</vt:lpstr>
      <vt:lpstr>'IWP05'!ReviewPeriodEndDate</vt:lpstr>
      <vt:lpstr>'IWP06'!ReviewPeriodEndDate</vt:lpstr>
      <vt:lpstr>'IWP07'!ReviewPeriodEndDate</vt:lpstr>
      <vt:lpstr>'IWP08'!ReviewPeriodEndDate</vt:lpstr>
      <vt:lpstr>'IWP09'!ReviewPeriodEndDate</vt:lpstr>
      <vt:lpstr>'IWP10'!ReviewPeriodEndDate</vt:lpstr>
      <vt:lpstr>'IWP11'!ReviewPeriodEndDate</vt:lpstr>
      <vt:lpstr>'IWP12'!ReviewPeriodEndDate</vt:lpstr>
      <vt:lpstr>'IWP13'!ReviewPeriodEndDate</vt:lpstr>
      <vt:lpstr>'IWP14'!ReviewPeriodEndDate</vt:lpstr>
      <vt:lpstr>'IWP15'!ReviewPeriodEndDate</vt:lpstr>
      <vt:lpstr>'IWP16'!ReviewPeriodEndDate</vt:lpstr>
      <vt:lpstr>'IWP17'!ReviewPeriodEndDate</vt:lpstr>
      <vt:lpstr>'IWP18'!ReviewPeriodEndDate</vt:lpstr>
      <vt:lpstr>'IWP19'!ReviewPeriodEndDate</vt:lpstr>
      <vt:lpstr>'IWP20'!ReviewPeriodEndDate</vt:lpstr>
      <vt:lpstr>'IWP21'!ReviewPeriodEndDate</vt:lpstr>
      <vt:lpstr>'IWP22'!ReviewPeriodEndDate</vt:lpstr>
      <vt:lpstr>'IWP23'!ReviewPeriodEndDate</vt:lpstr>
      <vt:lpstr>'IWP24'!ReviewPeriodEndDate</vt:lpstr>
      <vt:lpstr>'IWP25'!ReviewPeriodEndDate</vt:lpstr>
      <vt:lpstr>'IWP26'!ReviewPeriodEndDate</vt:lpstr>
      <vt:lpstr>'IWP27'!ReviewPeriodEndDate</vt:lpstr>
      <vt:lpstr>'IWP28'!ReviewPeriodEndDate</vt:lpstr>
      <vt:lpstr>'IWP29'!ReviewPeriodEndDate</vt:lpstr>
      <vt:lpstr>'IWP30'!ReviewPeriodEndDate</vt:lpstr>
      <vt:lpstr>ReviewType</vt:lpstr>
      <vt:lpstr>'IWP01'!SampleNumber</vt:lpstr>
      <vt:lpstr>'IWP02'!SampleNumber</vt:lpstr>
      <vt:lpstr>'IWP03'!SampleNumber</vt:lpstr>
      <vt:lpstr>'IWP04'!SampleNumber</vt:lpstr>
      <vt:lpstr>'IWP05'!SampleNumber</vt:lpstr>
      <vt:lpstr>'IWP06'!SampleNumber</vt:lpstr>
      <vt:lpstr>'IWP07'!SampleNumber</vt:lpstr>
      <vt:lpstr>'IWP08'!SampleNumber</vt:lpstr>
      <vt:lpstr>'IWP09'!SampleNumber</vt:lpstr>
      <vt:lpstr>'IWP10'!SampleNumber</vt:lpstr>
      <vt:lpstr>'IWP11'!SampleNumber</vt:lpstr>
      <vt:lpstr>'IWP12'!SampleNumber</vt:lpstr>
      <vt:lpstr>'IWP13'!SampleNumber</vt:lpstr>
      <vt:lpstr>'IWP14'!SampleNumber</vt:lpstr>
      <vt:lpstr>'IWP15'!SampleNumber</vt:lpstr>
      <vt:lpstr>'IWP16'!SampleNumber</vt:lpstr>
      <vt:lpstr>'IWP17'!SampleNumber</vt:lpstr>
      <vt:lpstr>'IWP18'!SampleNumber</vt:lpstr>
      <vt:lpstr>'IWP19'!SampleNumber</vt:lpstr>
      <vt:lpstr>'IWP20'!SampleNumber</vt:lpstr>
      <vt:lpstr>'IWP21'!SampleNumber</vt:lpstr>
      <vt:lpstr>'IWP22'!SampleNumber</vt:lpstr>
      <vt:lpstr>'IWP23'!SampleNumber</vt:lpstr>
      <vt:lpstr>'IWP24'!SampleNumber</vt:lpstr>
      <vt:lpstr>'IWP25'!SampleNumber</vt:lpstr>
      <vt:lpstr>'IWP26'!SampleNumber</vt:lpstr>
      <vt:lpstr>'IWP27'!SampleNumber</vt:lpstr>
      <vt:lpstr>'IWP28'!SampleNumber</vt:lpstr>
      <vt:lpstr>'IWP29'!SampleNumber</vt:lpstr>
      <vt:lpstr>'IWP30'!SampleNumber</vt:lpstr>
      <vt:lpstr>'IWP01'!ServiceCode</vt:lpstr>
      <vt:lpstr>'IWP02'!ServiceCode</vt:lpstr>
      <vt:lpstr>'IWP03'!ServiceCode</vt:lpstr>
      <vt:lpstr>'IWP04'!ServiceCode</vt:lpstr>
      <vt:lpstr>'IWP05'!ServiceCode</vt:lpstr>
      <vt:lpstr>'IWP06'!ServiceCode</vt:lpstr>
      <vt:lpstr>'IWP07'!ServiceCode</vt:lpstr>
      <vt:lpstr>'IWP08'!ServiceCode</vt:lpstr>
      <vt:lpstr>'IWP09'!ServiceCode</vt:lpstr>
      <vt:lpstr>'IWP10'!ServiceCode</vt:lpstr>
      <vt:lpstr>'IWP11'!ServiceCode</vt:lpstr>
      <vt:lpstr>'IWP12'!ServiceCode</vt:lpstr>
      <vt:lpstr>'IWP13'!ServiceCode</vt:lpstr>
      <vt:lpstr>'IWP14'!ServiceCode</vt:lpstr>
      <vt:lpstr>'IWP15'!ServiceCode</vt:lpstr>
      <vt:lpstr>'IWP16'!ServiceCode</vt:lpstr>
      <vt:lpstr>'IWP17'!ServiceCode</vt:lpstr>
      <vt:lpstr>'IWP18'!ServiceCode</vt:lpstr>
      <vt:lpstr>'IWP19'!ServiceCode</vt:lpstr>
      <vt:lpstr>'IWP20'!ServiceCode</vt:lpstr>
      <vt:lpstr>'IWP21'!ServiceCode</vt:lpstr>
      <vt:lpstr>'IWP22'!ServiceCode</vt:lpstr>
      <vt:lpstr>'IWP23'!ServiceCode</vt:lpstr>
      <vt:lpstr>'IWP24'!ServiceCode</vt:lpstr>
      <vt:lpstr>'IWP25'!ServiceCode</vt:lpstr>
      <vt:lpstr>'IWP26'!ServiceCode</vt:lpstr>
      <vt:lpstr>'IWP27'!ServiceCode</vt:lpstr>
      <vt:lpstr>'IWP28'!ServiceCode</vt:lpstr>
      <vt:lpstr>'IWP29'!ServiceCode</vt:lpstr>
      <vt:lpstr>'IWP30'!ServiceCode</vt:lpstr>
      <vt:lpstr>Data!SpreadsheetInfo</vt:lpstr>
      <vt:lpstr>Standard_I_1</vt:lpstr>
      <vt:lpstr>Standard_I_2a</vt:lpstr>
      <vt:lpstr>Standard_I_2b</vt:lpstr>
      <vt:lpstr>Standard_I_3a</vt:lpstr>
      <vt:lpstr>Standard_I_3b</vt:lpstr>
      <vt:lpstr>Standard_I_4</vt:lpstr>
      <vt:lpstr>Standard_I_5</vt:lpstr>
      <vt:lpstr>Standard_I_6</vt:lpstr>
      <vt:lpstr>Standard_I_6a</vt:lpstr>
      <vt:lpstr>Standard_I_6b_Fri</vt:lpstr>
      <vt:lpstr>Standard_I_6b_Mon</vt:lpstr>
      <vt:lpstr>Standard_I_6b_Sat</vt:lpstr>
      <vt:lpstr>Standard_I_6b_Sun</vt:lpstr>
      <vt:lpstr>Standard_I_6b_Thu</vt:lpstr>
      <vt:lpstr>Standard_I_6b_Tue</vt:lpstr>
      <vt:lpstr>Standard_I_6b_Wed</vt:lpstr>
      <vt:lpstr>Standard_I_6c_Fri</vt:lpstr>
      <vt:lpstr>Standard_I_6c_Mon</vt:lpstr>
      <vt:lpstr>Standard_I_6c_Sat</vt:lpstr>
      <vt:lpstr>Standard_I_6c_Sun</vt:lpstr>
      <vt:lpstr>Standard_I_6c_Thu</vt:lpstr>
      <vt:lpstr>Standard_I_6c_Tue</vt:lpstr>
      <vt:lpstr>Standard_I_6c_Wed</vt:lpstr>
      <vt:lpstr>Standard_I_7</vt:lpstr>
      <vt:lpstr>Standard_I_Comments</vt:lpstr>
      <vt:lpstr>'Compliance Summary (Print)'!Standard_I_Score</vt:lpstr>
      <vt:lpstr>Standard_I_Total_No</vt:lpstr>
      <vt:lpstr>Standard_I_Total_Yes</vt:lpstr>
      <vt:lpstr>Standard_II_1_Comments</vt:lpstr>
      <vt:lpstr>Standard_II_1_Number_No</vt:lpstr>
      <vt:lpstr>Standard_II_1_Number_Yes</vt:lpstr>
      <vt:lpstr>Standard_II_2_Comments</vt:lpstr>
      <vt:lpstr>Standard_II_2_Number_No</vt:lpstr>
      <vt:lpstr>Standard_II_2_Number_Yes</vt:lpstr>
      <vt:lpstr>Standard_II_3_Comments</vt:lpstr>
      <vt:lpstr>Standard_II_3_Number_No</vt:lpstr>
      <vt:lpstr>Standard_II_3_Number_Yes</vt:lpstr>
      <vt:lpstr>'Compliance Summary (Print)'!Standard_II_Score</vt:lpstr>
      <vt:lpstr>Standard_II_Total_No</vt:lpstr>
      <vt:lpstr>Standard_II_Total_Yes</vt:lpstr>
      <vt:lpstr>Standard_III_1</vt:lpstr>
      <vt:lpstr>Standard_III_1_Comments</vt:lpstr>
      <vt:lpstr>Standard_III_1_NotCalc</vt:lpstr>
      <vt:lpstr>Standard_III_1a</vt:lpstr>
      <vt:lpstr>Standard_III_2</vt:lpstr>
      <vt:lpstr>Standard_III_2_Comments</vt:lpstr>
      <vt:lpstr>Standard_III_2_Drivers</vt:lpstr>
      <vt:lpstr>Standard_III_3</vt:lpstr>
      <vt:lpstr>Standard_III_3_Comments</vt:lpstr>
      <vt:lpstr>'Compliance Summary (Print)'!Standard_III_Score</vt:lpstr>
      <vt:lpstr>Standard_III_Total_No</vt:lpstr>
      <vt:lpstr>Standard_III_Total_Yes</vt:lpstr>
      <vt:lpstr>Standard_IV_1_Comments</vt:lpstr>
      <vt:lpstr>Standard_IV_1_Number_No</vt:lpstr>
      <vt:lpstr>Standard_IV_1_Number_Yes</vt:lpstr>
      <vt:lpstr>Standard_IV_2_Comments</vt:lpstr>
      <vt:lpstr>Standard_IV_2_Number_No</vt:lpstr>
      <vt:lpstr>Standard_IV_2_Number_Yes</vt:lpstr>
      <vt:lpstr>Standard_IV_3_Comments</vt:lpstr>
      <vt:lpstr>Standard_IV_3_Number_No</vt:lpstr>
      <vt:lpstr>Standard_IV_3_Number_Yes</vt:lpstr>
      <vt:lpstr>Standard_IV_4_Comments</vt:lpstr>
      <vt:lpstr>Standard_IV_4_Number_No</vt:lpstr>
      <vt:lpstr>Standard_IV_4_Number_Yes</vt:lpstr>
      <vt:lpstr>'Compliance Summary (Print)'!Standard_IV_Score</vt:lpstr>
      <vt:lpstr>Standard_IV_Total_No</vt:lpstr>
      <vt:lpstr>Standard_IV_Total_Yes</vt:lpstr>
      <vt:lpstr>Standard_V_1_Comments</vt:lpstr>
      <vt:lpstr>Standard_V_1_Number_No</vt:lpstr>
      <vt:lpstr>Standard_V_1_Number_Yes</vt:lpstr>
      <vt:lpstr>Standard_V_2_Comments</vt:lpstr>
      <vt:lpstr>Standard_V_2_Number_No</vt:lpstr>
      <vt:lpstr>Standard_V_2_Number_Yes</vt:lpstr>
      <vt:lpstr>Standard_V_3_Comments</vt:lpstr>
      <vt:lpstr>Standard_V_3_Number_No</vt:lpstr>
      <vt:lpstr>Standard_V_3_Number_Yes</vt:lpstr>
      <vt:lpstr>Standard_V_4_Comments</vt:lpstr>
      <vt:lpstr>Standard_V_4_Number_No</vt:lpstr>
      <vt:lpstr>Standard_V_4_Number_Yes</vt:lpstr>
      <vt:lpstr>Standard_V_5_Comments</vt:lpstr>
      <vt:lpstr>Standard_V_5_Number_No</vt:lpstr>
      <vt:lpstr>Standard_V_5_Number_Yes</vt:lpstr>
      <vt:lpstr>Standard_V_6_Comments</vt:lpstr>
      <vt:lpstr>Standard_V_6_Number_No</vt:lpstr>
      <vt:lpstr>Standard_V_6_Number_Yes</vt:lpstr>
      <vt:lpstr>Standard_V_I_Comments</vt:lpstr>
      <vt:lpstr>'Compliance Summary (Print)'!Standard_V_Score</vt:lpstr>
      <vt:lpstr>Standard_V_Total_No</vt:lpstr>
      <vt:lpstr>Standard_V_Total_Yes</vt:lpstr>
      <vt:lpstr>Standard_VI_1_Comments</vt:lpstr>
      <vt:lpstr>'Compliance Summary (Print)'!Standard_VI_Score</vt:lpstr>
      <vt:lpstr>Standard_VI_Total_No</vt:lpstr>
      <vt:lpstr>Standard_VI_Total_Yes</vt:lpstr>
      <vt:lpstr>'Employee Req. Table (Print)'!Std2dot1Range</vt:lpstr>
      <vt:lpstr>'Employee Req. Table (Print)'!Std2dot2Range</vt:lpstr>
      <vt:lpstr>'IWP01'!Std4BeginDate</vt:lpstr>
      <vt:lpstr>'IWP02'!Std4BeginDate</vt:lpstr>
      <vt:lpstr>'IWP03'!Std4BeginDate</vt:lpstr>
      <vt:lpstr>'IWP04'!Std4BeginDate</vt:lpstr>
      <vt:lpstr>'IWP05'!Std4BeginDate</vt:lpstr>
      <vt:lpstr>'IWP06'!Std4BeginDate</vt:lpstr>
      <vt:lpstr>'IWP07'!Std4BeginDate</vt:lpstr>
      <vt:lpstr>'IWP08'!Std4BeginDate</vt:lpstr>
      <vt:lpstr>'IWP09'!Std4BeginDate</vt:lpstr>
      <vt:lpstr>'IWP10'!Std4BeginDate</vt:lpstr>
      <vt:lpstr>'IWP11'!Std4BeginDate</vt:lpstr>
      <vt:lpstr>'IWP12'!Std4BeginDate</vt:lpstr>
      <vt:lpstr>'IWP13'!Std4BeginDate</vt:lpstr>
      <vt:lpstr>'IWP14'!Std4BeginDate</vt:lpstr>
      <vt:lpstr>'IWP15'!Std4BeginDate</vt:lpstr>
      <vt:lpstr>'IWP16'!Std4BeginDate</vt:lpstr>
      <vt:lpstr>'IWP17'!Std4BeginDate</vt:lpstr>
      <vt:lpstr>'IWP18'!Std4BeginDate</vt:lpstr>
      <vt:lpstr>'IWP19'!Std4BeginDate</vt:lpstr>
      <vt:lpstr>'IWP20'!Std4BeginDate</vt:lpstr>
      <vt:lpstr>'IWP21'!Std4BeginDate</vt:lpstr>
      <vt:lpstr>'IWP22'!Std4BeginDate</vt:lpstr>
      <vt:lpstr>'IWP23'!Std4BeginDate</vt:lpstr>
      <vt:lpstr>'IWP24'!Std4BeginDate</vt:lpstr>
      <vt:lpstr>'IWP25'!Std4BeginDate</vt:lpstr>
      <vt:lpstr>'IWP26'!Std4BeginDate</vt:lpstr>
      <vt:lpstr>'IWP27'!Std4BeginDate</vt:lpstr>
      <vt:lpstr>'IWP28'!Std4BeginDate</vt:lpstr>
      <vt:lpstr>'IWP29'!Std4BeginDate</vt:lpstr>
      <vt:lpstr>'IWP30'!Std4BeginDate</vt:lpstr>
      <vt:lpstr>'IWP01'!Std4DateForm3049SubmittedDadsRegNurse</vt:lpstr>
      <vt:lpstr>'IWP02'!Std4DateForm3049SubmittedDadsRegNurse</vt:lpstr>
      <vt:lpstr>'IWP03'!Std4DateForm3049SubmittedDadsRegNurse</vt:lpstr>
      <vt:lpstr>'IWP04'!Std4DateForm3049SubmittedDadsRegNurse</vt:lpstr>
      <vt:lpstr>'IWP05'!Std4DateForm3049SubmittedDadsRegNurse</vt:lpstr>
      <vt:lpstr>'IWP06'!Std4DateForm3049SubmittedDadsRegNurse</vt:lpstr>
      <vt:lpstr>'IWP07'!Std4DateForm3049SubmittedDadsRegNurse</vt:lpstr>
      <vt:lpstr>'IWP08'!Std4DateForm3049SubmittedDadsRegNurse</vt:lpstr>
      <vt:lpstr>'IWP09'!Std4DateForm3049SubmittedDadsRegNurse</vt:lpstr>
      <vt:lpstr>'IWP10'!Std4DateForm3049SubmittedDadsRegNurse</vt:lpstr>
      <vt:lpstr>'IWP11'!Std4DateForm3049SubmittedDadsRegNurse</vt:lpstr>
      <vt:lpstr>'IWP12'!Std4DateForm3049SubmittedDadsRegNurse</vt:lpstr>
      <vt:lpstr>'IWP13'!Std4DateForm3049SubmittedDadsRegNurse</vt:lpstr>
      <vt:lpstr>'IWP14'!Std4DateForm3049SubmittedDadsRegNurse</vt:lpstr>
      <vt:lpstr>'IWP15'!Std4DateForm3049SubmittedDadsRegNurse</vt:lpstr>
      <vt:lpstr>'IWP16'!Std4DateForm3049SubmittedDadsRegNurse</vt:lpstr>
      <vt:lpstr>'IWP17'!Std4DateForm3049SubmittedDadsRegNurse</vt:lpstr>
      <vt:lpstr>'IWP18'!Std4DateForm3049SubmittedDadsRegNurse</vt:lpstr>
      <vt:lpstr>'IWP19'!Std4DateForm3049SubmittedDadsRegNurse</vt:lpstr>
      <vt:lpstr>'IWP20'!Std4DateForm3049SubmittedDadsRegNurse</vt:lpstr>
      <vt:lpstr>'IWP21'!Std4DateForm3049SubmittedDadsRegNurse</vt:lpstr>
      <vt:lpstr>'IWP22'!Std4DateForm3049SubmittedDadsRegNurse</vt:lpstr>
      <vt:lpstr>'IWP23'!Std4DateForm3049SubmittedDadsRegNurse</vt:lpstr>
      <vt:lpstr>'IWP24'!Std4DateForm3049SubmittedDadsRegNurse</vt:lpstr>
      <vt:lpstr>'IWP25'!Std4DateForm3049SubmittedDadsRegNurse</vt:lpstr>
      <vt:lpstr>'IWP26'!Std4DateForm3049SubmittedDadsRegNurse</vt:lpstr>
      <vt:lpstr>'IWP27'!Std4DateForm3049SubmittedDadsRegNurse</vt:lpstr>
      <vt:lpstr>'IWP28'!Std4DateForm3049SubmittedDadsRegNurse</vt:lpstr>
      <vt:lpstr>'IWP29'!Std4DateForm3049SubmittedDadsRegNurse</vt:lpstr>
      <vt:lpstr>'IWP30'!Std4DateForm3049SubmittedDadsRegNurse</vt:lpstr>
      <vt:lpstr>'IWP01'!Std4DateForm3050SubmittedDadsRegNurse</vt:lpstr>
      <vt:lpstr>'IWP02'!Std4DateForm3050SubmittedDadsRegNurse</vt:lpstr>
      <vt:lpstr>'IWP03'!Std4DateForm3050SubmittedDadsRegNurse</vt:lpstr>
      <vt:lpstr>'IWP04'!Std4DateForm3050SubmittedDadsRegNurse</vt:lpstr>
      <vt:lpstr>'IWP05'!Std4DateForm3050SubmittedDadsRegNurse</vt:lpstr>
      <vt:lpstr>'IWP06'!Std4DateForm3050SubmittedDadsRegNurse</vt:lpstr>
      <vt:lpstr>'IWP07'!Std4DateForm3050SubmittedDadsRegNurse</vt:lpstr>
      <vt:lpstr>'IWP08'!Std4DateForm3050SubmittedDadsRegNurse</vt:lpstr>
      <vt:lpstr>'IWP09'!Std4DateForm3050SubmittedDadsRegNurse</vt:lpstr>
      <vt:lpstr>'IWP10'!Std4DateForm3050SubmittedDadsRegNurse</vt:lpstr>
      <vt:lpstr>'IWP11'!Std4DateForm3050SubmittedDadsRegNurse</vt:lpstr>
      <vt:lpstr>'IWP12'!Std4DateForm3050SubmittedDadsRegNurse</vt:lpstr>
      <vt:lpstr>'IWP13'!Std4DateForm3050SubmittedDadsRegNurse</vt:lpstr>
      <vt:lpstr>'IWP14'!Std4DateForm3050SubmittedDadsRegNurse</vt:lpstr>
      <vt:lpstr>'IWP15'!Std4DateForm3050SubmittedDadsRegNurse</vt:lpstr>
      <vt:lpstr>'IWP16'!Std4DateForm3050SubmittedDadsRegNurse</vt:lpstr>
      <vt:lpstr>'IWP17'!Std4DateForm3050SubmittedDadsRegNurse</vt:lpstr>
      <vt:lpstr>'IWP18'!Std4DateForm3050SubmittedDadsRegNurse</vt:lpstr>
      <vt:lpstr>'IWP19'!Std4DateForm3050SubmittedDadsRegNurse</vt:lpstr>
      <vt:lpstr>'IWP20'!Std4DateForm3050SubmittedDadsRegNurse</vt:lpstr>
      <vt:lpstr>'IWP21'!Std4DateForm3050SubmittedDadsRegNurse</vt:lpstr>
      <vt:lpstr>'IWP22'!Std4DateForm3050SubmittedDadsRegNurse</vt:lpstr>
      <vt:lpstr>'IWP23'!Std4DateForm3050SubmittedDadsRegNurse</vt:lpstr>
      <vt:lpstr>'IWP24'!Std4DateForm3050SubmittedDadsRegNurse</vt:lpstr>
      <vt:lpstr>'IWP25'!Std4DateForm3050SubmittedDadsRegNurse</vt:lpstr>
      <vt:lpstr>'IWP26'!Std4DateForm3050SubmittedDadsRegNurse</vt:lpstr>
      <vt:lpstr>'IWP27'!Std4DateForm3050SubmittedDadsRegNurse</vt:lpstr>
      <vt:lpstr>'IWP28'!Std4DateForm3050SubmittedDadsRegNurse</vt:lpstr>
      <vt:lpstr>'IWP29'!Std4DateForm3050SubmittedDadsRegNurse</vt:lpstr>
      <vt:lpstr>'IWP30'!Std4DateForm3050SubmittedDadsRegNurse</vt:lpstr>
      <vt:lpstr>'IWP01'!Std4DateForm3055SubmittedDadsRegNurse</vt:lpstr>
      <vt:lpstr>'IWP02'!Std4DateForm3055SubmittedDadsRegNurse</vt:lpstr>
      <vt:lpstr>'IWP03'!Std4DateForm3055SubmittedDadsRegNurse</vt:lpstr>
      <vt:lpstr>'IWP04'!Std4DateForm3055SubmittedDadsRegNurse</vt:lpstr>
      <vt:lpstr>'IWP05'!Std4DateForm3055SubmittedDadsRegNurse</vt:lpstr>
      <vt:lpstr>'IWP06'!Std4DateForm3055SubmittedDadsRegNurse</vt:lpstr>
      <vt:lpstr>'IWP07'!Std4DateForm3055SubmittedDadsRegNurse</vt:lpstr>
      <vt:lpstr>'IWP08'!Std4DateForm3055SubmittedDadsRegNurse</vt:lpstr>
      <vt:lpstr>'IWP09'!Std4DateForm3055SubmittedDadsRegNurse</vt:lpstr>
      <vt:lpstr>'IWP10'!Std4DateForm3055SubmittedDadsRegNurse</vt:lpstr>
      <vt:lpstr>'IWP11'!Std4DateForm3055SubmittedDadsRegNurse</vt:lpstr>
      <vt:lpstr>'IWP12'!Std4DateForm3055SubmittedDadsRegNurse</vt:lpstr>
      <vt:lpstr>'IWP13'!Std4DateForm3055SubmittedDadsRegNurse</vt:lpstr>
      <vt:lpstr>'IWP14'!Std4DateForm3055SubmittedDadsRegNurse</vt:lpstr>
      <vt:lpstr>'IWP15'!Std4DateForm3055SubmittedDadsRegNurse</vt:lpstr>
      <vt:lpstr>'IWP16'!Std4DateForm3055SubmittedDadsRegNurse</vt:lpstr>
      <vt:lpstr>'IWP17'!Std4DateForm3055SubmittedDadsRegNurse</vt:lpstr>
      <vt:lpstr>'IWP18'!Std4DateForm3055SubmittedDadsRegNurse</vt:lpstr>
      <vt:lpstr>'IWP19'!Std4DateForm3055SubmittedDadsRegNurse</vt:lpstr>
      <vt:lpstr>'IWP20'!Std4DateForm3055SubmittedDadsRegNurse</vt:lpstr>
      <vt:lpstr>'IWP21'!Std4DateForm3055SubmittedDadsRegNurse</vt:lpstr>
      <vt:lpstr>'IWP22'!Std4DateForm3055SubmittedDadsRegNurse</vt:lpstr>
      <vt:lpstr>'IWP23'!Std4DateForm3055SubmittedDadsRegNurse</vt:lpstr>
      <vt:lpstr>'IWP24'!Std4DateForm3055SubmittedDadsRegNurse</vt:lpstr>
      <vt:lpstr>'IWP25'!Std4DateForm3055SubmittedDadsRegNurse</vt:lpstr>
      <vt:lpstr>'IWP26'!Std4DateForm3055SubmittedDadsRegNurse</vt:lpstr>
      <vt:lpstr>'IWP27'!Std4DateForm3055SubmittedDadsRegNurse</vt:lpstr>
      <vt:lpstr>'IWP28'!Std4DateForm3055SubmittedDadsRegNurse</vt:lpstr>
      <vt:lpstr>'IWP29'!Std4DateForm3055SubmittedDadsRegNurse</vt:lpstr>
      <vt:lpstr>'IWP30'!Std4DateForm3055SubmittedDadsRegNurse</vt:lpstr>
      <vt:lpstr>'IWP01'!Std4DateOfForm3049</vt:lpstr>
      <vt:lpstr>'IWP02'!Std4DateOfForm3049</vt:lpstr>
      <vt:lpstr>'IWP03'!Std4DateOfForm3049</vt:lpstr>
      <vt:lpstr>'IWP04'!Std4DateOfForm3049</vt:lpstr>
      <vt:lpstr>'IWP05'!Std4DateOfForm3049</vt:lpstr>
      <vt:lpstr>'IWP06'!Std4DateOfForm3049</vt:lpstr>
      <vt:lpstr>'IWP07'!Std4DateOfForm3049</vt:lpstr>
      <vt:lpstr>'IWP08'!Std4DateOfForm3049</vt:lpstr>
      <vt:lpstr>'IWP09'!Std4DateOfForm3049</vt:lpstr>
      <vt:lpstr>'IWP10'!Std4DateOfForm3049</vt:lpstr>
      <vt:lpstr>'IWP11'!Std4DateOfForm3049</vt:lpstr>
      <vt:lpstr>'IWP12'!Std4DateOfForm3049</vt:lpstr>
      <vt:lpstr>'IWP13'!Std4DateOfForm3049</vt:lpstr>
      <vt:lpstr>'IWP14'!Std4DateOfForm3049</vt:lpstr>
      <vt:lpstr>'IWP15'!Std4DateOfForm3049</vt:lpstr>
      <vt:lpstr>'IWP16'!Std4DateOfForm3049</vt:lpstr>
      <vt:lpstr>'IWP17'!Std4DateOfForm3049</vt:lpstr>
      <vt:lpstr>'IWP18'!Std4DateOfForm3049</vt:lpstr>
      <vt:lpstr>'IWP19'!Std4DateOfForm3049</vt:lpstr>
      <vt:lpstr>'IWP20'!Std4DateOfForm3049</vt:lpstr>
      <vt:lpstr>'IWP21'!Std4DateOfForm3049</vt:lpstr>
      <vt:lpstr>'IWP22'!Std4DateOfForm3049</vt:lpstr>
      <vt:lpstr>'IWP23'!Std4DateOfForm3049</vt:lpstr>
      <vt:lpstr>'IWP24'!Std4DateOfForm3049</vt:lpstr>
      <vt:lpstr>'IWP25'!Std4DateOfForm3049</vt:lpstr>
      <vt:lpstr>'IWP26'!Std4DateOfForm3049</vt:lpstr>
      <vt:lpstr>'IWP27'!Std4DateOfForm3049</vt:lpstr>
      <vt:lpstr>'IWP28'!Std4DateOfForm3049</vt:lpstr>
      <vt:lpstr>'IWP29'!Std4DateOfForm3049</vt:lpstr>
      <vt:lpstr>'IWP30'!Std4DateOfForm3049</vt:lpstr>
      <vt:lpstr>'IWP01'!Std4DateOfForm3050</vt:lpstr>
      <vt:lpstr>'IWP02'!Std4DateOfForm3050</vt:lpstr>
      <vt:lpstr>'IWP03'!Std4DateOfForm3050</vt:lpstr>
      <vt:lpstr>'IWP04'!Std4DateOfForm3050</vt:lpstr>
      <vt:lpstr>'IWP05'!Std4DateOfForm3050</vt:lpstr>
      <vt:lpstr>'IWP06'!Std4DateOfForm3050</vt:lpstr>
      <vt:lpstr>'IWP07'!Std4DateOfForm3050</vt:lpstr>
      <vt:lpstr>'IWP08'!Std4DateOfForm3050</vt:lpstr>
      <vt:lpstr>'IWP09'!Std4DateOfForm3050</vt:lpstr>
      <vt:lpstr>'IWP10'!Std4DateOfForm3050</vt:lpstr>
      <vt:lpstr>'IWP11'!Std4DateOfForm3050</vt:lpstr>
      <vt:lpstr>'IWP12'!Std4DateOfForm3050</vt:lpstr>
      <vt:lpstr>'IWP13'!Std4DateOfForm3050</vt:lpstr>
      <vt:lpstr>'IWP14'!Std4DateOfForm3050</vt:lpstr>
      <vt:lpstr>'IWP15'!Std4DateOfForm3050</vt:lpstr>
      <vt:lpstr>'IWP16'!Std4DateOfForm3050</vt:lpstr>
      <vt:lpstr>'IWP17'!Std4DateOfForm3050</vt:lpstr>
      <vt:lpstr>'IWP18'!Std4DateOfForm3050</vt:lpstr>
      <vt:lpstr>'IWP19'!Std4DateOfForm3050</vt:lpstr>
      <vt:lpstr>'IWP20'!Std4DateOfForm3050</vt:lpstr>
      <vt:lpstr>'IWP21'!Std4DateOfForm3050</vt:lpstr>
      <vt:lpstr>'IWP22'!Std4DateOfForm3050</vt:lpstr>
      <vt:lpstr>'IWP23'!Std4DateOfForm3050</vt:lpstr>
      <vt:lpstr>'IWP24'!Std4DateOfForm3050</vt:lpstr>
      <vt:lpstr>'IWP25'!Std4DateOfForm3050</vt:lpstr>
      <vt:lpstr>'IWP26'!Std4DateOfForm3050</vt:lpstr>
      <vt:lpstr>'IWP27'!Std4DateOfForm3050</vt:lpstr>
      <vt:lpstr>'IWP28'!Std4DateOfForm3050</vt:lpstr>
      <vt:lpstr>'IWP29'!Std4DateOfForm3050</vt:lpstr>
      <vt:lpstr>'IWP30'!Std4DateOfForm3050</vt:lpstr>
      <vt:lpstr>'IWP01'!Std4DateOfReceipt</vt:lpstr>
      <vt:lpstr>'IWP02'!Std4DateOfReceipt</vt:lpstr>
      <vt:lpstr>'IWP03'!Std4DateOfReceipt</vt:lpstr>
      <vt:lpstr>'IWP04'!Std4DateOfReceipt</vt:lpstr>
      <vt:lpstr>'IWP05'!Std4DateOfReceipt</vt:lpstr>
      <vt:lpstr>'IWP06'!Std4DateOfReceipt</vt:lpstr>
      <vt:lpstr>'IWP07'!Std4DateOfReceipt</vt:lpstr>
      <vt:lpstr>'IWP08'!Std4DateOfReceipt</vt:lpstr>
      <vt:lpstr>'IWP09'!Std4DateOfReceipt</vt:lpstr>
      <vt:lpstr>'IWP10'!Std4DateOfReceipt</vt:lpstr>
      <vt:lpstr>'IWP11'!Std4DateOfReceipt</vt:lpstr>
      <vt:lpstr>'IWP12'!Std4DateOfReceipt</vt:lpstr>
      <vt:lpstr>'IWP13'!Std4DateOfReceipt</vt:lpstr>
      <vt:lpstr>'IWP14'!Std4DateOfReceipt</vt:lpstr>
      <vt:lpstr>'IWP15'!Std4DateOfReceipt</vt:lpstr>
      <vt:lpstr>'IWP16'!Std4DateOfReceipt</vt:lpstr>
      <vt:lpstr>'IWP17'!Std4DateOfReceipt</vt:lpstr>
      <vt:lpstr>'IWP18'!Std4DateOfReceipt</vt:lpstr>
      <vt:lpstr>'IWP19'!Std4DateOfReceipt</vt:lpstr>
      <vt:lpstr>'IWP20'!Std4DateOfReceipt</vt:lpstr>
      <vt:lpstr>'IWP21'!Std4DateOfReceipt</vt:lpstr>
      <vt:lpstr>'IWP22'!Std4DateOfReceipt</vt:lpstr>
      <vt:lpstr>'IWP23'!Std4DateOfReceipt</vt:lpstr>
      <vt:lpstr>'IWP24'!Std4DateOfReceipt</vt:lpstr>
      <vt:lpstr>'IWP25'!Std4DateOfReceipt</vt:lpstr>
      <vt:lpstr>'IWP26'!Std4DateOfReceipt</vt:lpstr>
      <vt:lpstr>'IWP27'!Std4DateOfReceipt</vt:lpstr>
      <vt:lpstr>'IWP28'!Std4DateOfReceipt</vt:lpstr>
      <vt:lpstr>'IWP29'!Std4DateOfReceipt</vt:lpstr>
      <vt:lpstr>'IWP30'!Std4DateOfReceipt</vt:lpstr>
      <vt:lpstr>'IWP01'!Std4DateOfVerbalPhysOrders</vt:lpstr>
      <vt:lpstr>'IWP02'!Std4DateOfVerbalPhysOrders</vt:lpstr>
      <vt:lpstr>'IWP03'!Std4DateOfVerbalPhysOrders</vt:lpstr>
      <vt:lpstr>'IWP04'!Std4DateOfVerbalPhysOrders</vt:lpstr>
      <vt:lpstr>'IWP05'!Std4DateOfVerbalPhysOrders</vt:lpstr>
      <vt:lpstr>'IWP06'!Std4DateOfVerbalPhysOrders</vt:lpstr>
      <vt:lpstr>'IWP07'!Std4DateOfVerbalPhysOrders</vt:lpstr>
      <vt:lpstr>'IWP08'!Std4DateOfVerbalPhysOrders</vt:lpstr>
      <vt:lpstr>'IWP09'!Std4DateOfVerbalPhysOrders</vt:lpstr>
      <vt:lpstr>'IWP10'!Std4DateOfVerbalPhysOrders</vt:lpstr>
      <vt:lpstr>'IWP11'!Std4DateOfVerbalPhysOrders</vt:lpstr>
      <vt:lpstr>'IWP12'!Std4DateOfVerbalPhysOrders</vt:lpstr>
      <vt:lpstr>'IWP13'!Std4DateOfVerbalPhysOrders</vt:lpstr>
      <vt:lpstr>'IWP14'!Std4DateOfVerbalPhysOrders</vt:lpstr>
      <vt:lpstr>'IWP15'!Std4DateOfVerbalPhysOrders</vt:lpstr>
      <vt:lpstr>'IWP16'!Std4DateOfVerbalPhysOrders</vt:lpstr>
      <vt:lpstr>'IWP17'!Std4DateOfVerbalPhysOrders</vt:lpstr>
      <vt:lpstr>'IWP18'!Std4DateOfVerbalPhysOrders</vt:lpstr>
      <vt:lpstr>'IWP19'!Std4DateOfVerbalPhysOrders</vt:lpstr>
      <vt:lpstr>'IWP20'!Std4DateOfVerbalPhysOrders</vt:lpstr>
      <vt:lpstr>'IWP21'!Std4DateOfVerbalPhysOrders</vt:lpstr>
      <vt:lpstr>'IWP22'!Std4DateOfVerbalPhysOrders</vt:lpstr>
      <vt:lpstr>'IWP23'!Std4DateOfVerbalPhysOrders</vt:lpstr>
      <vt:lpstr>'IWP24'!Std4DateOfVerbalPhysOrders</vt:lpstr>
      <vt:lpstr>'IWP25'!Std4DateOfVerbalPhysOrders</vt:lpstr>
      <vt:lpstr>'IWP26'!Std4DateOfVerbalPhysOrders</vt:lpstr>
      <vt:lpstr>'IWP27'!Std4DateOfVerbalPhysOrders</vt:lpstr>
      <vt:lpstr>'IWP28'!Std4DateOfVerbalPhysOrders</vt:lpstr>
      <vt:lpstr>'IWP29'!Std4DateOfVerbalPhysOrders</vt:lpstr>
      <vt:lpstr>'IWP30'!Std4DateOfVerbalPhysOrders</vt:lpstr>
      <vt:lpstr>'IWP01'!Std4DateOfWrittenPhysPhysOrders</vt:lpstr>
      <vt:lpstr>'IWP02'!Std4DateOfWrittenPhysPhysOrders</vt:lpstr>
      <vt:lpstr>'IWP03'!Std4DateOfWrittenPhysPhysOrders</vt:lpstr>
      <vt:lpstr>'IWP04'!Std4DateOfWrittenPhysPhysOrders</vt:lpstr>
      <vt:lpstr>'IWP05'!Std4DateOfWrittenPhysPhysOrders</vt:lpstr>
      <vt:lpstr>'IWP06'!Std4DateOfWrittenPhysPhysOrders</vt:lpstr>
      <vt:lpstr>'IWP07'!Std4DateOfWrittenPhysPhysOrders</vt:lpstr>
      <vt:lpstr>'IWP08'!Std4DateOfWrittenPhysPhysOrders</vt:lpstr>
      <vt:lpstr>'IWP09'!Std4DateOfWrittenPhysPhysOrders</vt:lpstr>
      <vt:lpstr>'IWP10'!Std4DateOfWrittenPhysPhysOrders</vt:lpstr>
      <vt:lpstr>'IWP11'!Std4DateOfWrittenPhysPhysOrders</vt:lpstr>
      <vt:lpstr>'IWP12'!Std4DateOfWrittenPhysPhysOrders</vt:lpstr>
      <vt:lpstr>'IWP13'!Std4DateOfWrittenPhysPhysOrders</vt:lpstr>
      <vt:lpstr>'IWP14'!Std4DateOfWrittenPhysPhysOrders</vt:lpstr>
      <vt:lpstr>'IWP15'!Std4DateOfWrittenPhysPhysOrders</vt:lpstr>
      <vt:lpstr>'IWP16'!Std4DateOfWrittenPhysPhysOrders</vt:lpstr>
      <vt:lpstr>'IWP17'!Std4DateOfWrittenPhysPhysOrders</vt:lpstr>
      <vt:lpstr>'IWP18'!Std4DateOfWrittenPhysPhysOrders</vt:lpstr>
      <vt:lpstr>'IWP19'!Std4DateOfWrittenPhysPhysOrders</vt:lpstr>
      <vt:lpstr>'IWP20'!Std4DateOfWrittenPhysPhysOrders</vt:lpstr>
      <vt:lpstr>'IWP21'!Std4DateOfWrittenPhysPhysOrders</vt:lpstr>
      <vt:lpstr>'IWP22'!Std4DateOfWrittenPhysPhysOrders</vt:lpstr>
      <vt:lpstr>'IWP23'!Std4DateOfWrittenPhysPhysOrders</vt:lpstr>
      <vt:lpstr>'IWP24'!Std4DateOfWrittenPhysPhysOrders</vt:lpstr>
      <vt:lpstr>'IWP25'!Std4DateOfWrittenPhysPhysOrders</vt:lpstr>
      <vt:lpstr>'IWP26'!Std4DateOfWrittenPhysPhysOrders</vt:lpstr>
      <vt:lpstr>'IWP27'!Std4DateOfWrittenPhysPhysOrders</vt:lpstr>
      <vt:lpstr>'IWP28'!Std4DateOfWrittenPhysPhysOrders</vt:lpstr>
      <vt:lpstr>'IWP29'!Std4DateOfWrittenPhysPhysOrders</vt:lpstr>
      <vt:lpstr>'IWP30'!Std4DateOfWrittenPhysPhysOrders</vt:lpstr>
      <vt:lpstr>'IWP01'!Std4DateOfXferFromAnotherDahs</vt:lpstr>
      <vt:lpstr>'IWP02'!Std4DateOfXferFromAnotherDahs</vt:lpstr>
      <vt:lpstr>'IWP03'!Std4DateOfXferFromAnotherDahs</vt:lpstr>
      <vt:lpstr>'IWP04'!Std4DateOfXferFromAnotherDahs</vt:lpstr>
      <vt:lpstr>'IWP05'!Std4DateOfXferFromAnotherDahs</vt:lpstr>
      <vt:lpstr>'IWP06'!Std4DateOfXferFromAnotherDahs</vt:lpstr>
      <vt:lpstr>'IWP07'!Std4DateOfXferFromAnotherDahs</vt:lpstr>
      <vt:lpstr>'IWP08'!Std4DateOfXferFromAnotherDahs</vt:lpstr>
      <vt:lpstr>'IWP09'!Std4DateOfXferFromAnotherDahs</vt:lpstr>
      <vt:lpstr>'IWP10'!Std4DateOfXferFromAnotherDahs</vt:lpstr>
      <vt:lpstr>'IWP11'!Std4DateOfXferFromAnotherDahs</vt:lpstr>
      <vt:lpstr>'IWP12'!Std4DateOfXferFromAnotherDahs</vt:lpstr>
      <vt:lpstr>'IWP13'!Std4DateOfXferFromAnotherDahs</vt:lpstr>
      <vt:lpstr>'IWP14'!Std4DateOfXferFromAnotherDahs</vt:lpstr>
      <vt:lpstr>'IWP15'!Std4DateOfXferFromAnotherDahs</vt:lpstr>
      <vt:lpstr>'IWP16'!Std4DateOfXferFromAnotherDahs</vt:lpstr>
      <vt:lpstr>'IWP17'!Std4DateOfXferFromAnotherDahs</vt:lpstr>
      <vt:lpstr>'IWP18'!Std4DateOfXferFromAnotherDahs</vt:lpstr>
      <vt:lpstr>'IWP19'!Std4DateOfXferFromAnotherDahs</vt:lpstr>
      <vt:lpstr>'IWP20'!Std4DateOfXferFromAnotherDahs</vt:lpstr>
      <vt:lpstr>'IWP21'!Std4DateOfXferFromAnotherDahs</vt:lpstr>
      <vt:lpstr>'IWP22'!Std4DateOfXferFromAnotherDahs</vt:lpstr>
      <vt:lpstr>'IWP23'!Std4DateOfXferFromAnotherDahs</vt:lpstr>
      <vt:lpstr>'IWP24'!Std4DateOfXferFromAnotherDahs</vt:lpstr>
      <vt:lpstr>'IWP25'!Std4DateOfXferFromAnotherDahs</vt:lpstr>
      <vt:lpstr>'IWP26'!Std4DateOfXferFromAnotherDahs</vt:lpstr>
      <vt:lpstr>'IWP27'!Std4DateOfXferFromAnotherDahs</vt:lpstr>
      <vt:lpstr>'IWP28'!Std4DateOfXferFromAnotherDahs</vt:lpstr>
      <vt:lpstr>'IWP29'!Std4DateOfXferFromAnotherDahs</vt:lpstr>
      <vt:lpstr>'IWP30'!Std4DateOfXferFromAnotherDahs</vt:lpstr>
      <vt:lpstr>'IWP01'!Std4dot1</vt:lpstr>
      <vt:lpstr>'IWP02'!Std4dot1</vt:lpstr>
      <vt:lpstr>'IWP03'!Std4dot1</vt:lpstr>
      <vt:lpstr>'IWP04'!Std4dot1</vt:lpstr>
      <vt:lpstr>'IWP05'!Std4dot1</vt:lpstr>
      <vt:lpstr>'IWP06'!Std4dot1</vt:lpstr>
      <vt:lpstr>'IWP07'!Std4dot1</vt:lpstr>
      <vt:lpstr>'IWP08'!Std4dot1</vt:lpstr>
      <vt:lpstr>'IWP09'!Std4dot1</vt:lpstr>
      <vt:lpstr>'IWP10'!Std4dot1</vt:lpstr>
      <vt:lpstr>'IWP11'!Std4dot1</vt:lpstr>
      <vt:lpstr>'IWP12'!Std4dot1</vt:lpstr>
      <vt:lpstr>'IWP13'!Std4dot1</vt:lpstr>
      <vt:lpstr>'IWP14'!Std4dot1</vt:lpstr>
      <vt:lpstr>'IWP15'!Std4dot1</vt:lpstr>
      <vt:lpstr>'IWP16'!Std4dot1</vt:lpstr>
      <vt:lpstr>'IWP17'!Std4dot1</vt:lpstr>
      <vt:lpstr>'IWP18'!Std4dot1</vt:lpstr>
      <vt:lpstr>'IWP19'!Std4dot1</vt:lpstr>
      <vt:lpstr>'IWP20'!Std4dot1</vt:lpstr>
      <vt:lpstr>'IWP21'!Std4dot1</vt:lpstr>
      <vt:lpstr>'IWP22'!Std4dot1</vt:lpstr>
      <vt:lpstr>'IWP23'!Std4dot1</vt:lpstr>
      <vt:lpstr>'IWP24'!Std4dot1</vt:lpstr>
      <vt:lpstr>'IWP25'!Std4dot1</vt:lpstr>
      <vt:lpstr>'IWP26'!Std4dot1</vt:lpstr>
      <vt:lpstr>'IWP27'!Std4dot1</vt:lpstr>
      <vt:lpstr>'IWP28'!Std4dot1</vt:lpstr>
      <vt:lpstr>'IWP29'!Std4dot1</vt:lpstr>
      <vt:lpstr>'IWP30'!Std4dot1</vt:lpstr>
      <vt:lpstr>'IWP01'!Std4dot1a</vt:lpstr>
      <vt:lpstr>'IWP02'!Std4dot1a</vt:lpstr>
      <vt:lpstr>'IWP03'!Std4dot1a</vt:lpstr>
      <vt:lpstr>'IWP04'!Std4dot1a</vt:lpstr>
      <vt:lpstr>'IWP05'!Std4dot1a</vt:lpstr>
      <vt:lpstr>'IWP06'!Std4dot1a</vt:lpstr>
      <vt:lpstr>'IWP07'!Std4dot1a</vt:lpstr>
      <vt:lpstr>'IWP08'!Std4dot1a</vt:lpstr>
      <vt:lpstr>'IWP09'!Std4dot1a</vt:lpstr>
      <vt:lpstr>'IWP10'!Std4dot1a</vt:lpstr>
      <vt:lpstr>'IWP11'!Std4dot1a</vt:lpstr>
      <vt:lpstr>'IWP12'!Std4dot1a</vt:lpstr>
      <vt:lpstr>'IWP13'!Std4dot1a</vt:lpstr>
      <vt:lpstr>'IWP14'!Std4dot1a</vt:lpstr>
      <vt:lpstr>'IWP15'!Std4dot1a</vt:lpstr>
      <vt:lpstr>'IWP16'!Std4dot1a</vt:lpstr>
      <vt:lpstr>'IWP17'!Std4dot1a</vt:lpstr>
      <vt:lpstr>'IWP18'!Std4dot1a</vt:lpstr>
      <vt:lpstr>'IWP19'!Std4dot1a</vt:lpstr>
      <vt:lpstr>'IWP20'!Std4dot1a</vt:lpstr>
      <vt:lpstr>'IWP21'!Std4dot1a</vt:lpstr>
      <vt:lpstr>'IWP22'!Std4dot1a</vt:lpstr>
      <vt:lpstr>'IWP23'!Std4dot1a</vt:lpstr>
      <vt:lpstr>'IWP24'!Std4dot1a</vt:lpstr>
      <vt:lpstr>'IWP25'!Std4dot1a</vt:lpstr>
      <vt:lpstr>'IWP26'!Std4dot1a</vt:lpstr>
      <vt:lpstr>'IWP27'!Std4dot1a</vt:lpstr>
      <vt:lpstr>'IWP28'!Std4dot1a</vt:lpstr>
      <vt:lpstr>'IWP29'!Std4dot1a</vt:lpstr>
      <vt:lpstr>'IWP30'!Std4dot1a</vt:lpstr>
      <vt:lpstr>'IWP01'!Std4dot1aNotCalc</vt:lpstr>
      <vt:lpstr>'IWP02'!Std4dot1aNotCalc</vt:lpstr>
      <vt:lpstr>'IWP03'!Std4dot1aNotCalc</vt:lpstr>
      <vt:lpstr>'IWP04'!Std4dot1aNotCalc</vt:lpstr>
      <vt:lpstr>'IWP05'!Std4dot1aNotCalc</vt:lpstr>
      <vt:lpstr>'IWP06'!Std4dot1aNotCalc</vt:lpstr>
      <vt:lpstr>'IWP07'!Std4dot1aNotCalc</vt:lpstr>
      <vt:lpstr>'IWP08'!Std4dot1aNotCalc</vt:lpstr>
      <vt:lpstr>'IWP09'!Std4dot1aNotCalc</vt:lpstr>
      <vt:lpstr>'IWP10'!Std4dot1aNotCalc</vt:lpstr>
      <vt:lpstr>'IWP11'!Std4dot1aNotCalc</vt:lpstr>
      <vt:lpstr>'IWP12'!Std4dot1aNotCalc</vt:lpstr>
      <vt:lpstr>'IWP13'!Std4dot1aNotCalc</vt:lpstr>
      <vt:lpstr>'IWP14'!Std4dot1aNotCalc</vt:lpstr>
      <vt:lpstr>'IWP15'!Std4dot1aNotCalc</vt:lpstr>
      <vt:lpstr>'IWP16'!Std4dot1aNotCalc</vt:lpstr>
      <vt:lpstr>'IWP17'!Std4dot1aNotCalc</vt:lpstr>
      <vt:lpstr>'IWP18'!Std4dot1aNotCalc</vt:lpstr>
      <vt:lpstr>'IWP19'!Std4dot1aNotCalc</vt:lpstr>
      <vt:lpstr>'IWP20'!Std4dot1aNotCalc</vt:lpstr>
      <vt:lpstr>'IWP21'!Std4dot1aNotCalc</vt:lpstr>
      <vt:lpstr>'IWP22'!Std4dot1aNotCalc</vt:lpstr>
      <vt:lpstr>'IWP23'!Std4dot1aNotCalc</vt:lpstr>
      <vt:lpstr>'IWP24'!Std4dot1aNotCalc</vt:lpstr>
      <vt:lpstr>'IWP25'!Std4dot1aNotCalc</vt:lpstr>
      <vt:lpstr>'IWP26'!Std4dot1aNotCalc</vt:lpstr>
      <vt:lpstr>'IWP27'!Std4dot1aNotCalc</vt:lpstr>
      <vt:lpstr>'IWP28'!Std4dot1aNotCalc</vt:lpstr>
      <vt:lpstr>'IWP29'!Std4dot1aNotCalc</vt:lpstr>
      <vt:lpstr>'IWP30'!Std4dot1aNotCalc</vt:lpstr>
      <vt:lpstr>'IWP01'!Std4dot1b</vt:lpstr>
      <vt:lpstr>'IWP02'!Std4dot1b</vt:lpstr>
      <vt:lpstr>'IWP03'!Std4dot1b</vt:lpstr>
      <vt:lpstr>'IWP04'!Std4dot1b</vt:lpstr>
      <vt:lpstr>'IWP05'!Std4dot1b</vt:lpstr>
      <vt:lpstr>'IWP06'!Std4dot1b</vt:lpstr>
      <vt:lpstr>'IWP07'!Std4dot1b</vt:lpstr>
      <vt:lpstr>'IWP08'!Std4dot1b</vt:lpstr>
      <vt:lpstr>'IWP09'!Std4dot1b</vt:lpstr>
      <vt:lpstr>'IWP10'!Std4dot1b</vt:lpstr>
      <vt:lpstr>'IWP11'!Std4dot1b</vt:lpstr>
      <vt:lpstr>'IWP12'!Std4dot1b</vt:lpstr>
      <vt:lpstr>'IWP13'!Std4dot1b</vt:lpstr>
      <vt:lpstr>'IWP14'!Std4dot1b</vt:lpstr>
      <vt:lpstr>'IWP15'!Std4dot1b</vt:lpstr>
      <vt:lpstr>'IWP16'!Std4dot1b</vt:lpstr>
      <vt:lpstr>'IWP17'!Std4dot1b</vt:lpstr>
      <vt:lpstr>'IWP18'!Std4dot1b</vt:lpstr>
      <vt:lpstr>'IWP19'!Std4dot1b</vt:lpstr>
      <vt:lpstr>'IWP20'!Std4dot1b</vt:lpstr>
      <vt:lpstr>'IWP21'!Std4dot1b</vt:lpstr>
      <vt:lpstr>'IWP22'!Std4dot1b</vt:lpstr>
      <vt:lpstr>'IWP23'!Std4dot1b</vt:lpstr>
      <vt:lpstr>'IWP24'!Std4dot1b</vt:lpstr>
      <vt:lpstr>'IWP25'!Std4dot1b</vt:lpstr>
      <vt:lpstr>'IWP26'!Std4dot1b</vt:lpstr>
      <vt:lpstr>'IWP27'!Std4dot1b</vt:lpstr>
      <vt:lpstr>'IWP28'!Std4dot1b</vt:lpstr>
      <vt:lpstr>'IWP29'!Std4dot1b</vt:lpstr>
      <vt:lpstr>'IWP30'!Std4dot1b</vt:lpstr>
      <vt:lpstr>'IWP01'!Std4dot1bNotCalc</vt:lpstr>
      <vt:lpstr>'IWP02'!Std4dot1bNotCalc</vt:lpstr>
      <vt:lpstr>'IWP03'!Std4dot1bNotCalc</vt:lpstr>
      <vt:lpstr>'IWP04'!Std4dot1bNotCalc</vt:lpstr>
      <vt:lpstr>'IWP05'!Std4dot1bNotCalc</vt:lpstr>
      <vt:lpstr>'IWP06'!Std4dot1bNotCalc</vt:lpstr>
      <vt:lpstr>'IWP07'!Std4dot1bNotCalc</vt:lpstr>
      <vt:lpstr>'IWP08'!Std4dot1bNotCalc</vt:lpstr>
      <vt:lpstr>'IWP09'!Std4dot1bNotCalc</vt:lpstr>
      <vt:lpstr>'IWP10'!Std4dot1bNotCalc</vt:lpstr>
      <vt:lpstr>'IWP11'!Std4dot1bNotCalc</vt:lpstr>
      <vt:lpstr>'IWP12'!Std4dot1bNotCalc</vt:lpstr>
      <vt:lpstr>'IWP13'!Std4dot1bNotCalc</vt:lpstr>
      <vt:lpstr>'IWP14'!Std4dot1bNotCalc</vt:lpstr>
      <vt:lpstr>'IWP15'!Std4dot1bNotCalc</vt:lpstr>
      <vt:lpstr>'IWP16'!Std4dot1bNotCalc</vt:lpstr>
      <vt:lpstr>'IWP17'!Std4dot1bNotCalc</vt:lpstr>
      <vt:lpstr>'IWP18'!Std4dot1bNotCalc</vt:lpstr>
      <vt:lpstr>'IWP19'!Std4dot1bNotCalc</vt:lpstr>
      <vt:lpstr>'IWP20'!Std4dot1bNotCalc</vt:lpstr>
      <vt:lpstr>'IWP21'!Std4dot1bNotCalc</vt:lpstr>
      <vt:lpstr>'IWP22'!Std4dot1bNotCalc</vt:lpstr>
      <vt:lpstr>'IWP23'!Std4dot1bNotCalc</vt:lpstr>
      <vt:lpstr>'IWP24'!Std4dot1bNotCalc</vt:lpstr>
      <vt:lpstr>'IWP25'!Std4dot1bNotCalc</vt:lpstr>
      <vt:lpstr>'IWP26'!Std4dot1bNotCalc</vt:lpstr>
      <vt:lpstr>'IWP27'!Std4dot1bNotCalc</vt:lpstr>
      <vt:lpstr>'IWP28'!Std4dot1bNotCalc</vt:lpstr>
      <vt:lpstr>'IWP29'!Std4dot1bNotCalc</vt:lpstr>
      <vt:lpstr>'IWP30'!Std4dot1bNotCalc</vt:lpstr>
      <vt:lpstr>'IWP01'!Std4dot2</vt:lpstr>
      <vt:lpstr>'IWP02'!Std4dot2</vt:lpstr>
      <vt:lpstr>'IWP03'!Std4dot2</vt:lpstr>
      <vt:lpstr>'IWP04'!Std4dot2</vt:lpstr>
      <vt:lpstr>'IWP05'!Std4dot2</vt:lpstr>
      <vt:lpstr>'IWP06'!Std4dot2</vt:lpstr>
      <vt:lpstr>'IWP07'!Std4dot2</vt:lpstr>
      <vt:lpstr>'IWP08'!Std4dot2</vt:lpstr>
      <vt:lpstr>'IWP09'!Std4dot2</vt:lpstr>
      <vt:lpstr>'IWP10'!Std4dot2</vt:lpstr>
      <vt:lpstr>'IWP11'!Std4dot2</vt:lpstr>
      <vt:lpstr>'IWP12'!Std4dot2</vt:lpstr>
      <vt:lpstr>'IWP13'!Std4dot2</vt:lpstr>
      <vt:lpstr>'IWP14'!Std4dot2</vt:lpstr>
      <vt:lpstr>'IWP15'!Std4dot2</vt:lpstr>
      <vt:lpstr>'IWP16'!Std4dot2</vt:lpstr>
      <vt:lpstr>'IWP17'!Std4dot2</vt:lpstr>
      <vt:lpstr>'IWP18'!Std4dot2</vt:lpstr>
      <vt:lpstr>'IWP19'!Std4dot2</vt:lpstr>
      <vt:lpstr>'IWP20'!Std4dot2</vt:lpstr>
      <vt:lpstr>'IWP21'!Std4dot2</vt:lpstr>
      <vt:lpstr>'IWP22'!Std4dot2</vt:lpstr>
      <vt:lpstr>'IWP23'!Std4dot2</vt:lpstr>
      <vt:lpstr>'IWP24'!Std4dot2</vt:lpstr>
      <vt:lpstr>'IWP25'!Std4dot2</vt:lpstr>
      <vt:lpstr>'IWP26'!Std4dot2</vt:lpstr>
      <vt:lpstr>'IWP27'!Std4dot2</vt:lpstr>
      <vt:lpstr>'IWP28'!Std4dot2</vt:lpstr>
      <vt:lpstr>'IWP29'!Std4dot2</vt:lpstr>
      <vt:lpstr>'IWP30'!Std4dot2</vt:lpstr>
      <vt:lpstr>'IWP01'!Std4dot2NotCalc</vt:lpstr>
      <vt:lpstr>'IWP02'!Std4dot2NotCalc</vt:lpstr>
      <vt:lpstr>'IWP03'!Std4dot2NotCalc</vt:lpstr>
      <vt:lpstr>'IWP04'!Std4dot2NotCalc</vt:lpstr>
      <vt:lpstr>'IWP05'!Std4dot2NotCalc</vt:lpstr>
      <vt:lpstr>'IWP06'!Std4dot2NotCalc</vt:lpstr>
      <vt:lpstr>'IWP07'!Std4dot2NotCalc</vt:lpstr>
      <vt:lpstr>'IWP08'!Std4dot2NotCalc</vt:lpstr>
      <vt:lpstr>'IWP09'!Std4dot2NotCalc</vt:lpstr>
      <vt:lpstr>'IWP10'!Std4dot2NotCalc</vt:lpstr>
      <vt:lpstr>'IWP11'!Std4dot2NotCalc</vt:lpstr>
      <vt:lpstr>'IWP12'!Std4dot2NotCalc</vt:lpstr>
      <vt:lpstr>'IWP13'!Std4dot2NotCalc</vt:lpstr>
      <vt:lpstr>'IWP14'!Std4dot2NotCalc</vt:lpstr>
      <vt:lpstr>'IWP15'!Std4dot2NotCalc</vt:lpstr>
      <vt:lpstr>'IWP16'!Std4dot2NotCalc</vt:lpstr>
      <vt:lpstr>'IWP17'!Std4dot2NotCalc</vt:lpstr>
      <vt:lpstr>'IWP18'!Std4dot2NotCalc</vt:lpstr>
      <vt:lpstr>'IWP19'!Std4dot2NotCalc</vt:lpstr>
      <vt:lpstr>'IWP20'!Std4dot2NotCalc</vt:lpstr>
      <vt:lpstr>'IWP21'!Std4dot2NotCalc</vt:lpstr>
      <vt:lpstr>'IWP22'!Std4dot2NotCalc</vt:lpstr>
      <vt:lpstr>'IWP23'!Std4dot2NotCalc</vt:lpstr>
      <vt:lpstr>'IWP24'!Std4dot2NotCalc</vt:lpstr>
      <vt:lpstr>'IWP25'!Std4dot2NotCalc</vt:lpstr>
      <vt:lpstr>'IWP26'!Std4dot2NotCalc</vt:lpstr>
      <vt:lpstr>'IWP27'!Std4dot2NotCalc</vt:lpstr>
      <vt:lpstr>'IWP28'!Std4dot2NotCalc</vt:lpstr>
      <vt:lpstr>'IWP29'!Std4dot2NotCalc</vt:lpstr>
      <vt:lpstr>'IWP30'!Std4dot2NotCalc</vt:lpstr>
      <vt:lpstr>'IWP01'!Std4dot3</vt:lpstr>
      <vt:lpstr>'IWP02'!Std4dot3</vt:lpstr>
      <vt:lpstr>'IWP03'!Std4dot3</vt:lpstr>
      <vt:lpstr>'IWP04'!Std4dot3</vt:lpstr>
      <vt:lpstr>'IWP05'!Std4dot3</vt:lpstr>
      <vt:lpstr>'IWP06'!Std4dot3</vt:lpstr>
      <vt:lpstr>'IWP07'!Std4dot3</vt:lpstr>
      <vt:lpstr>'IWP08'!Std4dot3</vt:lpstr>
      <vt:lpstr>'IWP09'!Std4dot3</vt:lpstr>
      <vt:lpstr>'IWP10'!Std4dot3</vt:lpstr>
      <vt:lpstr>'IWP11'!Std4dot3</vt:lpstr>
      <vt:lpstr>'IWP12'!Std4dot3</vt:lpstr>
      <vt:lpstr>'IWP13'!Std4dot3</vt:lpstr>
      <vt:lpstr>'IWP14'!Std4dot3</vt:lpstr>
      <vt:lpstr>'IWP15'!Std4dot3</vt:lpstr>
      <vt:lpstr>'IWP16'!Std4dot3</vt:lpstr>
      <vt:lpstr>'IWP17'!Std4dot3</vt:lpstr>
      <vt:lpstr>'IWP18'!Std4dot3</vt:lpstr>
      <vt:lpstr>'IWP19'!Std4dot3</vt:lpstr>
      <vt:lpstr>'IWP20'!Std4dot3</vt:lpstr>
      <vt:lpstr>'IWP21'!Std4dot3</vt:lpstr>
      <vt:lpstr>'IWP22'!Std4dot3</vt:lpstr>
      <vt:lpstr>'IWP23'!Std4dot3</vt:lpstr>
      <vt:lpstr>'IWP24'!Std4dot3</vt:lpstr>
      <vt:lpstr>'IWP25'!Std4dot3</vt:lpstr>
      <vt:lpstr>'IWP26'!Std4dot3</vt:lpstr>
      <vt:lpstr>'IWP27'!Std4dot3</vt:lpstr>
      <vt:lpstr>'IWP28'!Std4dot3</vt:lpstr>
      <vt:lpstr>'IWP29'!Std4dot3</vt:lpstr>
      <vt:lpstr>'IWP30'!Std4dot3</vt:lpstr>
      <vt:lpstr>'IWP01'!Std4dot3a</vt:lpstr>
      <vt:lpstr>'IWP02'!Std4dot3a</vt:lpstr>
      <vt:lpstr>'IWP03'!Std4dot3a</vt:lpstr>
      <vt:lpstr>'IWP04'!Std4dot3a</vt:lpstr>
      <vt:lpstr>'IWP05'!Std4dot3a</vt:lpstr>
      <vt:lpstr>'IWP06'!Std4dot3a</vt:lpstr>
      <vt:lpstr>'IWP07'!Std4dot3a</vt:lpstr>
      <vt:lpstr>'IWP08'!Std4dot3a</vt:lpstr>
      <vt:lpstr>'IWP09'!Std4dot3a</vt:lpstr>
      <vt:lpstr>'IWP10'!Std4dot3a</vt:lpstr>
      <vt:lpstr>'IWP11'!Std4dot3a</vt:lpstr>
      <vt:lpstr>'IWP12'!Std4dot3a</vt:lpstr>
      <vt:lpstr>'IWP13'!Std4dot3a</vt:lpstr>
      <vt:lpstr>'IWP14'!Std4dot3a</vt:lpstr>
      <vt:lpstr>'IWP15'!Std4dot3a</vt:lpstr>
      <vt:lpstr>'IWP16'!Std4dot3a</vt:lpstr>
      <vt:lpstr>'IWP17'!Std4dot3a</vt:lpstr>
      <vt:lpstr>'IWP18'!Std4dot3a</vt:lpstr>
      <vt:lpstr>'IWP19'!Std4dot3a</vt:lpstr>
      <vt:lpstr>'IWP20'!Std4dot3a</vt:lpstr>
      <vt:lpstr>'IWP21'!Std4dot3a</vt:lpstr>
      <vt:lpstr>'IWP22'!Std4dot3a</vt:lpstr>
      <vt:lpstr>'IWP23'!Std4dot3a</vt:lpstr>
      <vt:lpstr>'IWP24'!Std4dot3a</vt:lpstr>
      <vt:lpstr>'IWP25'!Std4dot3a</vt:lpstr>
      <vt:lpstr>'IWP26'!Std4dot3a</vt:lpstr>
      <vt:lpstr>'IWP27'!Std4dot3a</vt:lpstr>
      <vt:lpstr>'IWP28'!Std4dot3a</vt:lpstr>
      <vt:lpstr>'IWP29'!Std4dot3a</vt:lpstr>
      <vt:lpstr>'IWP30'!Std4dot3a</vt:lpstr>
      <vt:lpstr>'IWP01'!Std4dot3AB</vt:lpstr>
      <vt:lpstr>'IWP02'!Std4dot3AB</vt:lpstr>
      <vt:lpstr>'IWP03'!Std4dot3AB</vt:lpstr>
      <vt:lpstr>'IWP04'!Std4dot3AB</vt:lpstr>
      <vt:lpstr>'IWP05'!Std4dot3AB</vt:lpstr>
      <vt:lpstr>'IWP06'!Std4dot3AB</vt:lpstr>
      <vt:lpstr>'IWP07'!Std4dot3AB</vt:lpstr>
      <vt:lpstr>'IWP08'!Std4dot3AB</vt:lpstr>
      <vt:lpstr>'IWP09'!Std4dot3AB</vt:lpstr>
      <vt:lpstr>'IWP10'!Std4dot3AB</vt:lpstr>
      <vt:lpstr>'IWP11'!Std4dot3AB</vt:lpstr>
      <vt:lpstr>'IWP12'!Std4dot3AB</vt:lpstr>
      <vt:lpstr>'IWP13'!Std4dot3AB</vt:lpstr>
      <vt:lpstr>'IWP14'!Std4dot3AB</vt:lpstr>
      <vt:lpstr>'IWP15'!Std4dot3AB</vt:lpstr>
      <vt:lpstr>'IWP16'!Std4dot3AB</vt:lpstr>
      <vt:lpstr>'IWP17'!Std4dot3AB</vt:lpstr>
      <vt:lpstr>'IWP18'!Std4dot3AB</vt:lpstr>
      <vt:lpstr>'IWP19'!Std4dot3AB</vt:lpstr>
      <vt:lpstr>'IWP20'!Std4dot3AB</vt:lpstr>
      <vt:lpstr>'IWP21'!Std4dot3AB</vt:lpstr>
      <vt:lpstr>'IWP22'!Std4dot3AB</vt:lpstr>
      <vt:lpstr>'IWP23'!Std4dot3AB</vt:lpstr>
      <vt:lpstr>'IWP24'!Std4dot3AB</vt:lpstr>
      <vt:lpstr>'IWP25'!Std4dot3AB</vt:lpstr>
      <vt:lpstr>'IWP26'!Std4dot3AB</vt:lpstr>
      <vt:lpstr>'IWP27'!Std4dot3AB</vt:lpstr>
      <vt:lpstr>'IWP28'!Std4dot3AB</vt:lpstr>
      <vt:lpstr>'IWP29'!Std4dot3AB</vt:lpstr>
      <vt:lpstr>'IWP30'!Std4dot3AB</vt:lpstr>
      <vt:lpstr>'IWP01'!Std4dot3b</vt:lpstr>
      <vt:lpstr>'IWP02'!Std4dot3b</vt:lpstr>
      <vt:lpstr>'IWP03'!Std4dot3b</vt:lpstr>
      <vt:lpstr>'IWP04'!Std4dot3b</vt:lpstr>
      <vt:lpstr>'IWP05'!Std4dot3b</vt:lpstr>
      <vt:lpstr>'IWP06'!Std4dot3b</vt:lpstr>
      <vt:lpstr>'IWP07'!Std4dot3b</vt:lpstr>
      <vt:lpstr>'IWP08'!Std4dot3b</vt:lpstr>
      <vt:lpstr>'IWP09'!Std4dot3b</vt:lpstr>
      <vt:lpstr>'IWP10'!Std4dot3b</vt:lpstr>
      <vt:lpstr>'IWP11'!Std4dot3b</vt:lpstr>
      <vt:lpstr>'IWP12'!Std4dot3b</vt:lpstr>
      <vt:lpstr>'IWP13'!Std4dot3b</vt:lpstr>
      <vt:lpstr>'IWP14'!Std4dot3b</vt:lpstr>
      <vt:lpstr>'IWP15'!Std4dot3b</vt:lpstr>
      <vt:lpstr>'IWP16'!Std4dot3b</vt:lpstr>
      <vt:lpstr>'IWP17'!Std4dot3b</vt:lpstr>
      <vt:lpstr>'IWP18'!Std4dot3b</vt:lpstr>
      <vt:lpstr>'IWP19'!Std4dot3b</vt:lpstr>
      <vt:lpstr>'IWP20'!Std4dot3b</vt:lpstr>
      <vt:lpstr>'IWP21'!Std4dot3b</vt:lpstr>
      <vt:lpstr>'IWP22'!Std4dot3b</vt:lpstr>
      <vt:lpstr>'IWP23'!Std4dot3b</vt:lpstr>
      <vt:lpstr>'IWP24'!Std4dot3b</vt:lpstr>
      <vt:lpstr>'IWP25'!Std4dot3b</vt:lpstr>
      <vt:lpstr>'IWP26'!Std4dot3b</vt:lpstr>
      <vt:lpstr>'IWP27'!Std4dot3b</vt:lpstr>
      <vt:lpstr>'IWP28'!Std4dot3b</vt:lpstr>
      <vt:lpstr>'IWP29'!Std4dot3b</vt:lpstr>
      <vt:lpstr>'IWP30'!Std4dot3b</vt:lpstr>
      <vt:lpstr>'IWP01'!Std4dot3c</vt:lpstr>
      <vt:lpstr>'IWP02'!Std4dot3c</vt:lpstr>
      <vt:lpstr>'IWP03'!Std4dot3c</vt:lpstr>
      <vt:lpstr>'IWP04'!Std4dot3c</vt:lpstr>
      <vt:lpstr>'IWP05'!Std4dot3c</vt:lpstr>
      <vt:lpstr>'IWP06'!Std4dot3c</vt:lpstr>
      <vt:lpstr>'IWP07'!Std4dot3c</vt:lpstr>
      <vt:lpstr>'IWP08'!Std4dot3c</vt:lpstr>
      <vt:lpstr>'IWP09'!Std4dot3c</vt:lpstr>
      <vt:lpstr>'IWP10'!Std4dot3c</vt:lpstr>
      <vt:lpstr>'IWP11'!Std4dot3c</vt:lpstr>
      <vt:lpstr>'IWP12'!Std4dot3c</vt:lpstr>
      <vt:lpstr>'IWP13'!Std4dot3c</vt:lpstr>
      <vt:lpstr>'IWP14'!Std4dot3c</vt:lpstr>
      <vt:lpstr>'IWP15'!Std4dot3c</vt:lpstr>
      <vt:lpstr>'IWP16'!Std4dot3c</vt:lpstr>
      <vt:lpstr>'IWP17'!Std4dot3c</vt:lpstr>
      <vt:lpstr>'IWP18'!Std4dot3c</vt:lpstr>
      <vt:lpstr>'IWP19'!Std4dot3c</vt:lpstr>
      <vt:lpstr>'IWP20'!Std4dot3c</vt:lpstr>
      <vt:lpstr>'IWP21'!Std4dot3c</vt:lpstr>
      <vt:lpstr>'IWP22'!Std4dot3c</vt:lpstr>
      <vt:lpstr>'IWP23'!Std4dot3c</vt:lpstr>
      <vt:lpstr>'IWP24'!Std4dot3c</vt:lpstr>
      <vt:lpstr>'IWP25'!Std4dot3c</vt:lpstr>
      <vt:lpstr>'IWP26'!Std4dot3c</vt:lpstr>
      <vt:lpstr>'IWP27'!Std4dot3c</vt:lpstr>
      <vt:lpstr>'IWP28'!Std4dot3c</vt:lpstr>
      <vt:lpstr>'IWP29'!Std4dot3c</vt:lpstr>
      <vt:lpstr>'IWP30'!Std4dot3c</vt:lpstr>
      <vt:lpstr>'IWP01'!Std4dot3CD</vt:lpstr>
      <vt:lpstr>'IWP02'!Std4dot3CD</vt:lpstr>
      <vt:lpstr>'IWP03'!Std4dot3CD</vt:lpstr>
      <vt:lpstr>'IWP04'!Std4dot3CD</vt:lpstr>
      <vt:lpstr>'IWP05'!Std4dot3CD</vt:lpstr>
      <vt:lpstr>'IWP06'!Std4dot3CD</vt:lpstr>
      <vt:lpstr>'IWP07'!Std4dot3CD</vt:lpstr>
      <vt:lpstr>'IWP08'!Std4dot3CD</vt:lpstr>
      <vt:lpstr>'IWP09'!Std4dot3CD</vt:lpstr>
      <vt:lpstr>'IWP10'!Std4dot3CD</vt:lpstr>
      <vt:lpstr>'IWP11'!Std4dot3CD</vt:lpstr>
      <vt:lpstr>'IWP12'!Std4dot3CD</vt:lpstr>
      <vt:lpstr>'IWP13'!Std4dot3CD</vt:lpstr>
      <vt:lpstr>'IWP14'!Std4dot3CD</vt:lpstr>
      <vt:lpstr>'IWP15'!Std4dot3CD</vt:lpstr>
      <vt:lpstr>'IWP16'!Std4dot3CD</vt:lpstr>
      <vt:lpstr>'IWP17'!Std4dot3CD</vt:lpstr>
      <vt:lpstr>'IWP18'!Std4dot3CD</vt:lpstr>
      <vt:lpstr>'IWP19'!Std4dot3CD</vt:lpstr>
      <vt:lpstr>'IWP20'!Std4dot3CD</vt:lpstr>
      <vt:lpstr>'IWP21'!Std4dot3CD</vt:lpstr>
      <vt:lpstr>'IWP22'!Std4dot3CD</vt:lpstr>
      <vt:lpstr>'IWP23'!Std4dot3CD</vt:lpstr>
      <vt:lpstr>'IWP24'!Std4dot3CD</vt:lpstr>
      <vt:lpstr>'IWP25'!Std4dot3CD</vt:lpstr>
      <vt:lpstr>'IWP26'!Std4dot3CD</vt:lpstr>
      <vt:lpstr>'IWP27'!Std4dot3CD</vt:lpstr>
      <vt:lpstr>'IWP28'!Std4dot3CD</vt:lpstr>
      <vt:lpstr>'IWP29'!Std4dot3CD</vt:lpstr>
      <vt:lpstr>'IWP30'!Std4dot3CD</vt:lpstr>
      <vt:lpstr>'IWP01'!Std4dot3d</vt:lpstr>
      <vt:lpstr>'IWP02'!Std4dot3d</vt:lpstr>
      <vt:lpstr>'IWP03'!Std4dot3d</vt:lpstr>
      <vt:lpstr>'IWP04'!Std4dot3d</vt:lpstr>
      <vt:lpstr>'IWP05'!Std4dot3d</vt:lpstr>
      <vt:lpstr>'IWP06'!Std4dot3d</vt:lpstr>
      <vt:lpstr>'IWP07'!Std4dot3d</vt:lpstr>
      <vt:lpstr>'IWP08'!Std4dot3d</vt:lpstr>
      <vt:lpstr>'IWP09'!Std4dot3d</vt:lpstr>
      <vt:lpstr>'IWP10'!Std4dot3d</vt:lpstr>
      <vt:lpstr>'IWP11'!Std4dot3d</vt:lpstr>
      <vt:lpstr>'IWP12'!Std4dot3d</vt:lpstr>
      <vt:lpstr>'IWP13'!Std4dot3d</vt:lpstr>
      <vt:lpstr>'IWP14'!Std4dot3d</vt:lpstr>
      <vt:lpstr>'IWP15'!Std4dot3d</vt:lpstr>
      <vt:lpstr>'IWP16'!Std4dot3d</vt:lpstr>
      <vt:lpstr>'IWP17'!Std4dot3d</vt:lpstr>
      <vt:lpstr>'IWP18'!Std4dot3d</vt:lpstr>
      <vt:lpstr>'IWP19'!Std4dot3d</vt:lpstr>
      <vt:lpstr>'IWP20'!Std4dot3d</vt:lpstr>
      <vt:lpstr>'IWP21'!Std4dot3d</vt:lpstr>
      <vt:lpstr>'IWP22'!Std4dot3d</vt:lpstr>
      <vt:lpstr>'IWP23'!Std4dot3d</vt:lpstr>
      <vt:lpstr>'IWP24'!Std4dot3d</vt:lpstr>
      <vt:lpstr>'IWP25'!Std4dot3d</vt:lpstr>
      <vt:lpstr>'IWP26'!Std4dot3d</vt:lpstr>
      <vt:lpstr>'IWP27'!Std4dot3d</vt:lpstr>
      <vt:lpstr>'IWP28'!Std4dot3d</vt:lpstr>
      <vt:lpstr>'IWP29'!Std4dot3d</vt:lpstr>
      <vt:lpstr>'IWP30'!Std4dot3d</vt:lpstr>
      <vt:lpstr>'IWP01'!Std4dot3NotCalc</vt:lpstr>
      <vt:lpstr>'IWP02'!Std4dot3NotCalc</vt:lpstr>
      <vt:lpstr>'IWP03'!Std4dot3NotCalc</vt:lpstr>
      <vt:lpstr>'IWP04'!Std4dot3NotCalc</vt:lpstr>
      <vt:lpstr>'IWP05'!Std4dot3NotCalc</vt:lpstr>
      <vt:lpstr>'IWP06'!Std4dot3NotCalc</vt:lpstr>
      <vt:lpstr>'IWP07'!Std4dot3NotCalc</vt:lpstr>
      <vt:lpstr>'IWP08'!Std4dot3NotCalc</vt:lpstr>
      <vt:lpstr>'IWP09'!Std4dot3NotCalc</vt:lpstr>
      <vt:lpstr>'IWP10'!Std4dot3NotCalc</vt:lpstr>
      <vt:lpstr>'IWP11'!Std4dot3NotCalc</vt:lpstr>
      <vt:lpstr>'IWP12'!Std4dot3NotCalc</vt:lpstr>
      <vt:lpstr>'IWP13'!Std4dot3NotCalc</vt:lpstr>
      <vt:lpstr>'IWP14'!Std4dot3NotCalc</vt:lpstr>
      <vt:lpstr>'IWP15'!Std4dot3NotCalc</vt:lpstr>
      <vt:lpstr>'IWP16'!Std4dot3NotCalc</vt:lpstr>
      <vt:lpstr>'IWP17'!Std4dot3NotCalc</vt:lpstr>
      <vt:lpstr>'IWP18'!Std4dot3NotCalc</vt:lpstr>
      <vt:lpstr>'IWP19'!Std4dot3NotCalc</vt:lpstr>
      <vt:lpstr>'IWP20'!Std4dot3NotCalc</vt:lpstr>
      <vt:lpstr>'IWP21'!Std4dot3NotCalc</vt:lpstr>
      <vt:lpstr>'IWP22'!Std4dot3NotCalc</vt:lpstr>
      <vt:lpstr>'IWP23'!Std4dot3NotCalc</vt:lpstr>
      <vt:lpstr>'IWP24'!Std4dot3NotCalc</vt:lpstr>
      <vt:lpstr>'IWP25'!Std4dot3NotCalc</vt:lpstr>
      <vt:lpstr>'IWP26'!Std4dot3NotCalc</vt:lpstr>
      <vt:lpstr>'IWP27'!Std4dot3NotCalc</vt:lpstr>
      <vt:lpstr>'IWP28'!Std4dot3NotCalc</vt:lpstr>
      <vt:lpstr>'IWP29'!Std4dot3NotCalc</vt:lpstr>
      <vt:lpstr>'IWP30'!Std4dot3NotCalc</vt:lpstr>
      <vt:lpstr>'IWP01'!Std4dot4</vt:lpstr>
      <vt:lpstr>'IWP02'!Std4dot4</vt:lpstr>
      <vt:lpstr>'IWP03'!Std4dot4</vt:lpstr>
      <vt:lpstr>'IWP04'!Std4dot4</vt:lpstr>
      <vt:lpstr>'IWP05'!Std4dot4</vt:lpstr>
      <vt:lpstr>'IWP06'!Std4dot4</vt:lpstr>
      <vt:lpstr>'IWP07'!Std4dot4</vt:lpstr>
      <vt:lpstr>'IWP08'!Std4dot4</vt:lpstr>
      <vt:lpstr>'IWP09'!Std4dot4</vt:lpstr>
      <vt:lpstr>'IWP10'!Std4dot4</vt:lpstr>
      <vt:lpstr>'IWP11'!Std4dot4</vt:lpstr>
      <vt:lpstr>'IWP12'!Std4dot4</vt:lpstr>
      <vt:lpstr>'IWP13'!Std4dot4</vt:lpstr>
      <vt:lpstr>'IWP14'!Std4dot4</vt:lpstr>
      <vt:lpstr>'IWP15'!Std4dot4</vt:lpstr>
      <vt:lpstr>'IWP16'!Std4dot4</vt:lpstr>
      <vt:lpstr>'IWP17'!Std4dot4</vt:lpstr>
      <vt:lpstr>'IWP18'!Std4dot4</vt:lpstr>
      <vt:lpstr>'IWP19'!Std4dot4</vt:lpstr>
      <vt:lpstr>'IWP20'!Std4dot4</vt:lpstr>
      <vt:lpstr>'IWP21'!Std4dot4</vt:lpstr>
      <vt:lpstr>'IWP22'!Std4dot4</vt:lpstr>
      <vt:lpstr>'IWP23'!Std4dot4</vt:lpstr>
      <vt:lpstr>'IWP24'!Std4dot4</vt:lpstr>
      <vt:lpstr>'IWP25'!Std4dot4</vt:lpstr>
      <vt:lpstr>'IWP26'!Std4dot4</vt:lpstr>
      <vt:lpstr>'IWP27'!Std4dot4</vt:lpstr>
      <vt:lpstr>'IWP28'!Std4dot4</vt:lpstr>
      <vt:lpstr>'IWP29'!Std4dot4</vt:lpstr>
      <vt:lpstr>'IWP30'!Std4dot4</vt:lpstr>
      <vt:lpstr>'IWP01'!Std4dot4a</vt:lpstr>
      <vt:lpstr>'IWP02'!Std4dot4a</vt:lpstr>
      <vt:lpstr>'IWP03'!Std4dot4a</vt:lpstr>
      <vt:lpstr>'IWP04'!Std4dot4a</vt:lpstr>
      <vt:lpstr>'IWP05'!Std4dot4a</vt:lpstr>
      <vt:lpstr>'IWP06'!Std4dot4a</vt:lpstr>
      <vt:lpstr>'IWP07'!Std4dot4a</vt:lpstr>
      <vt:lpstr>'IWP08'!Std4dot4a</vt:lpstr>
      <vt:lpstr>'IWP09'!Std4dot4a</vt:lpstr>
      <vt:lpstr>'IWP10'!Std4dot4a</vt:lpstr>
      <vt:lpstr>'IWP11'!Std4dot4a</vt:lpstr>
      <vt:lpstr>'IWP12'!Std4dot4a</vt:lpstr>
      <vt:lpstr>'IWP13'!Std4dot4a</vt:lpstr>
      <vt:lpstr>'IWP14'!Std4dot4a</vt:lpstr>
      <vt:lpstr>'IWP15'!Std4dot4a</vt:lpstr>
      <vt:lpstr>'IWP16'!Std4dot4a</vt:lpstr>
      <vt:lpstr>'IWP17'!Std4dot4a</vt:lpstr>
      <vt:lpstr>'IWP18'!Std4dot4a</vt:lpstr>
      <vt:lpstr>'IWP19'!Std4dot4a</vt:lpstr>
      <vt:lpstr>'IWP20'!Std4dot4a</vt:lpstr>
      <vt:lpstr>'IWP21'!Std4dot4a</vt:lpstr>
      <vt:lpstr>'IWP22'!Std4dot4a</vt:lpstr>
      <vt:lpstr>'IWP23'!Std4dot4a</vt:lpstr>
      <vt:lpstr>'IWP24'!Std4dot4a</vt:lpstr>
      <vt:lpstr>'IWP25'!Std4dot4a</vt:lpstr>
      <vt:lpstr>'IWP26'!Std4dot4a</vt:lpstr>
      <vt:lpstr>'IWP27'!Std4dot4a</vt:lpstr>
      <vt:lpstr>'IWP28'!Std4dot4a</vt:lpstr>
      <vt:lpstr>'IWP29'!Std4dot4a</vt:lpstr>
      <vt:lpstr>'IWP30'!Std4dot4a</vt:lpstr>
      <vt:lpstr>'IWP01'!Std4dot4b</vt:lpstr>
      <vt:lpstr>'IWP02'!Std4dot4b</vt:lpstr>
      <vt:lpstr>'IWP03'!Std4dot4b</vt:lpstr>
      <vt:lpstr>'IWP04'!Std4dot4b</vt:lpstr>
      <vt:lpstr>'IWP05'!Std4dot4b</vt:lpstr>
      <vt:lpstr>'IWP06'!Std4dot4b</vt:lpstr>
      <vt:lpstr>'IWP07'!Std4dot4b</vt:lpstr>
      <vt:lpstr>'IWP08'!Std4dot4b</vt:lpstr>
      <vt:lpstr>'IWP09'!Std4dot4b</vt:lpstr>
      <vt:lpstr>'IWP10'!Std4dot4b</vt:lpstr>
      <vt:lpstr>'IWP11'!Std4dot4b</vt:lpstr>
      <vt:lpstr>'IWP12'!Std4dot4b</vt:lpstr>
      <vt:lpstr>'IWP13'!Std4dot4b</vt:lpstr>
      <vt:lpstr>'IWP14'!Std4dot4b</vt:lpstr>
      <vt:lpstr>'IWP15'!Std4dot4b</vt:lpstr>
      <vt:lpstr>'IWP16'!Std4dot4b</vt:lpstr>
      <vt:lpstr>'IWP17'!Std4dot4b</vt:lpstr>
      <vt:lpstr>'IWP18'!Std4dot4b</vt:lpstr>
      <vt:lpstr>'IWP19'!Std4dot4b</vt:lpstr>
      <vt:lpstr>'IWP20'!Std4dot4b</vt:lpstr>
      <vt:lpstr>'IWP21'!Std4dot4b</vt:lpstr>
      <vt:lpstr>'IWP22'!Std4dot4b</vt:lpstr>
      <vt:lpstr>'IWP23'!Std4dot4b</vt:lpstr>
      <vt:lpstr>'IWP24'!Std4dot4b</vt:lpstr>
      <vt:lpstr>'IWP25'!Std4dot4b</vt:lpstr>
      <vt:lpstr>'IWP26'!Std4dot4b</vt:lpstr>
      <vt:lpstr>'IWP27'!Std4dot4b</vt:lpstr>
      <vt:lpstr>'IWP28'!Std4dot4b</vt:lpstr>
      <vt:lpstr>'IWP29'!Std4dot4b</vt:lpstr>
      <vt:lpstr>'IWP30'!Std4dot4b</vt:lpstr>
      <vt:lpstr>'IWP01'!Std4FirstDayOfSvc</vt:lpstr>
      <vt:lpstr>'IWP02'!Std4FirstDayOfSvc</vt:lpstr>
      <vt:lpstr>'IWP03'!Std4FirstDayOfSvc</vt:lpstr>
      <vt:lpstr>'IWP04'!Std4FirstDayOfSvc</vt:lpstr>
      <vt:lpstr>'IWP05'!Std4FirstDayOfSvc</vt:lpstr>
      <vt:lpstr>'IWP06'!Std4FirstDayOfSvc</vt:lpstr>
      <vt:lpstr>'IWP07'!Std4FirstDayOfSvc</vt:lpstr>
      <vt:lpstr>'IWP08'!Std4FirstDayOfSvc</vt:lpstr>
      <vt:lpstr>'IWP09'!Std4FirstDayOfSvc</vt:lpstr>
      <vt:lpstr>'IWP10'!Std4FirstDayOfSvc</vt:lpstr>
      <vt:lpstr>'IWP11'!Std4FirstDayOfSvc</vt:lpstr>
      <vt:lpstr>'IWP12'!Std4FirstDayOfSvc</vt:lpstr>
      <vt:lpstr>'IWP13'!Std4FirstDayOfSvc</vt:lpstr>
      <vt:lpstr>'IWP14'!Std4FirstDayOfSvc</vt:lpstr>
      <vt:lpstr>'IWP15'!Std4FirstDayOfSvc</vt:lpstr>
      <vt:lpstr>'IWP16'!Std4FirstDayOfSvc</vt:lpstr>
      <vt:lpstr>'IWP17'!Std4FirstDayOfSvc</vt:lpstr>
      <vt:lpstr>'IWP18'!Std4FirstDayOfSvc</vt:lpstr>
      <vt:lpstr>'IWP19'!Std4FirstDayOfSvc</vt:lpstr>
      <vt:lpstr>'IWP20'!Std4FirstDayOfSvc</vt:lpstr>
      <vt:lpstr>'IWP21'!Std4FirstDayOfSvc</vt:lpstr>
      <vt:lpstr>'IWP22'!Std4FirstDayOfSvc</vt:lpstr>
      <vt:lpstr>'IWP23'!Std4FirstDayOfSvc</vt:lpstr>
      <vt:lpstr>'IWP24'!Std4FirstDayOfSvc</vt:lpstr>
      <vt:lpstr>'IWP25'!Std4FirstDayOfSvc</vt:lpstr>
      <vt:lpstr>'IWP26'!Std4FirstDayOfSvc</vt:lpstr>
      <vt:lpstr>'IWP27'!Std4FirstDayOfSvc</vt:lpstr>
      <vt:lpstr>'IWP28'!Std4FirstDayOfSvc</vt:lpstr>
      <vt:lpstr>'IWP29'!Std4FirstDayOfSvc</vt:lpstr>
      <vt:lpstr>'IWP30'!Std4FirstDayOfSvc</vt:lpstr>
      <vt:lpstr>'IWP01'!Std4ReferralDate</vt:lpstr>
      <vt:lpstr>'IWP02'!Std4ReferralDate</vt:lpstr>
      <vt:lpstr>'IWP03'!Std4ReferralDate</vt:lpstr>
      <vt:lpstr>'IWP04'!Std4ReferralDate</vt:lpstr>
      <vt:lpstr>'IWP05'!Std4ReferralDate</vt:lpstr>
      <vt:lpstr>'IWP06'!Std4ReferralDate</vt:lpstr>
      <vt:lpstr>'IWP07'!Std4ReferralDate</vt:lpstr>
      <vt:lpstr>'IWP08'!Std4ReferralDate</vt:lpstr>
      <vt:lpstr>'IWP09'!Std4ReferralDate</vt:lpstr>
      <vt:lpstr>'IWP10'!Std4ReferralDate</vt:lpstr>
      <vt:lpstr>'IWP11'!Std4ReferralDate</vt:lpstr>
      <vt:lpstr>'IWP12'!Std4ReferralDate</vt:lpstr>
      <vt:lpstr>'IWP13'!Std4ReferralDate</vt:lpstr>
      <vt:lpstr>'IWP14'!Std4ReferralDate</vt:lpstr>
      <vt:lpstr>'IWP15'!Std4ReferralDate</vt:lpstr>
      <vt:lpstr>'IWP16'!Std4ReferralDate</vt:lpstr>
      <vt:lpstr>'IWP17'!Std4ReferralDate</vt:lpstr>
      <vt:lpstr>'IWP18'!Std4ReferralDate</vt:lpstr>
      <vt:lpstr>'IWP19'!Std4ReferralDate</vt:lpstr>
      <vt:lpstr>'IWP20'!Std4ReferralDate</vt:lpstr>
      <vt:lpstr>'IWP21'!Std4ReferralDate</vt:lpstr>
      <vt:lpstr>'IWP22'!Std4ReferralDate</vt:lpstr>
      <vt:lpstr>'IWP23'!Std4ReferralDate</vt:lpstr>
      <vt:lpstr>'IWP24'!Std4ReferralDate</vt:lpstr>
      <vt:lpstr>'IWP25'!Std4ReferralDate</vt:lpstr>
      <vt:lpstr>'IWP26'!Std4ReferralDate</vt:lpstr>
      <vt:lpstr>'IWP27'!Std4ReferralDate</vt:lpstr>
      <vt:lpstr>'IWP28'!Std4ReferralDate</vt:lpstr>
      <vt:lpstr>'IWP29'!Std4ReferralDate</vt:lpstr>
      <vt:lpstr>'IWP30'!Std4ReferralDate</vt:lpstr>
      <vt:lpstr>'IWP01'!Std5_Min_EF</vt:lpstr>
      <vt:lpstr>'IWP02'!Std5_Min_EF</vt:lpstr>
      <vt:lpstr>'IWP03'!Std5_Min_EF</vt:lpstr>
      <vt:lpstr>'IWP04'!Std5_Min_EF</vt:lpstr>
      <vt:lpstr>'IWP05'!Std5_Min_EF</vt:lpstr>
      <vt:lpstr>'IWP06'!Std5_Min_EF</vt:lpstr>
      <vt:lpstr>'IWP07'!Std5_Min_EF</vt:lpstr>
      <vt:lpstr>'IWP08'!Std5_Min_EF</vt:lpstr>
      <vt:lpstr>'IWP09'!Std5_Min_EF</vt:lpstr>
      <vt:lpstr>'IWP10'!Std5_Min_EF</vt:lpstr>
      <vt:lpstr>'IWP11'!Std5_Min_EF</vt:lpstr>
      <vt:lpstr>'IWP12'!Std5_Min_EF</vt:lpstr>
      <vt:lpstr>'IWP13'!Std5_Min_EF</vt:lpstr>
      <vt:lpstr>'IWP14'!Std5_Min_EF</vt:lpstr>
      <vt:lpstr>'IWP15'!Std5_Min_EF</vt:lpstr>
      <vt:lpstr>'IWP16'!Std5_Min_EF</vt:lpstr>
      <vt:lpstr>'IWP17'!Std5_Min_EF</vt:lpstr>
      <vt:lpstr>'IWP18'!Std5_Min_EF</vt:lpstr>
      <vt:lpstr>'IWP19'!Std5_Min_EF</vt:lpstr>
      <vt:lpstr>'IWP20'!Std5_Min_EF</vt:lpstr>
      <vt:lpstr>'IWP21'!Std5_Min_EF</vt:lpstr>
      <vt:lpstr>'IWP22'!Std5_Min_EF</vt:lpstr>
      <vt:lpstr>'IWP23'!Std5_Min_EF</vt:lpstr>
      <vt:lpstr>'IWP24'!Std5_Min_EF</vt:lpstr>
      <vt:lpstr>'IWP25'!Std5_Min_EF</vt:lpstr>
      <vt:lpstr>'IWP26'!Std5_Min_EF</vt:lpstr>
      <vt:lpstr>'IWP27'!Std5_Min_EF</vt:lpstr>
      <vt:lpstr>'IWP28'!Std5_Min_EF</vt:lpstr>
      <vt:lpstr>'IWP29'!Std5_Min_EF</vt:lpstr>
      <vt:lpstr>'IWP30'!Std5_Min_EF</vt:lpstr>
      <vt:lpstr>'IWP01'!Std5dot1</vt:lpstr>
      <vt:lpstr>'IWP02'!Std5dot1</vt:lpstr>
      <vt:lpstr>'IWP03'!Std5dot1</vt:lpstr>
      <vt:lpstr>'IWP04'!Std5dot1</vt:lpstr>
      <vt:lpstr>'IWP05'!Std5dot1</vt:lpstr>
      <vt:lpstr>'IWP06'!Std5dot1</vt:lpstr>
      <vt:lpstr>'IWP07'!Std5dot1</vt:lpstr>
      <vt:lpstr>'IWP08'!Std5dot1</vt:lpstr>
      <vt:lpstr>'IWP09'!Std5dot1</vt:lpstr>
      <vt:lpstr>'IWP10'!Std5dot1</vt:lpstr>
      <vt:lpstr>'IWP11'!Std5dot1</vt:lpstr>
      <vt:lpstr>'IWP12'!Std5dot1</vt:lpstr>
      <vt:lpstr>'IWP13'!Std5dot1</vt:lpstr>
      <vt:lpstr>'IWP14'!Std5dot1</vt:lpstr>
      <vt:lpstr>'IWP15'!Std5dot1</vt:lpstr>
      <vt:lpstr>'IWP16'!Std5dot1</vt:lpstr>
      <vt:lpstr>'IWP17'!Std5dot1</vt:lpstr>
      <vt:lpstr>'IWP18'!Std5dot1</vt:lpstr>
      <vt:lpstr>'IWP19'!Std5dot1</vt:lpstr>
      <vt:lpstr>'IWP20'!Std5dot1</vt:lpstr>
      <vt:lpstr>'IWP21'!Std5dot1</vt:lpstr>
      <vt:lpstr>'IWP22'!Std5dot1</vt:lpstr>
      <vt:lpstr>'IWP23'!Std5dot1</vt:lpstr>
      <vt:lpstr>'IWP24'!Std5dot1</vt:lpstr>
      <vt:lpstr>'IWP25'!Std5dot1</vt:lpstr>
      <vt:lpstr>'IWP26'!Std5dot1</vt:lpstr>
      <vt:lpstr>'IWP27'!Std5dot1</vt:lpstr>
      <vt:lpstr>'IWP28'!Std5dot1</vt:lpstr>
      <vt:lpstr>'IWP29'!Std5dot1</vt:lpstr>
      <vt:lpstr>'IWP30'!Std5dot1</vt:lpstr>
      <vt:lpstr>'IWP01'!Std5dot2</vt:lpstr>
      <vt:lpstr>'IWP02'!Std5dot2</vt:lpstr>
      <vt:lpstr>'IWP03'!Std5dot2</vt:lpstr>
      <vt:lpstr>'IWP04'!Std5dot2</vt:lpstr>
      <vt:lpstr>'IWP05'!Std5dot2</vt:lpstr>
      <vt:lpstr>'IWP06'!Std5dot2</vt:lpstr>
      <vt:lpstr>'IWP07'!Std5dot2</vt:lpstr>
      <vt:lpstr>'IWP08'!Std5dot2</vt:lpstr>
      <vt:lpstr>'IWP09'!Std5dot2</vt:lpstr>
      <vt:lpstr>'IWP10'!Std5dot2</vt:lpstr>
      <vt:lpstr>'IWP11'!Std5dot2</vt:lpstr>
      <vt:lpstr>'IWP12'!Std5dot2</vt:lpstr>
      <vt:lpstr>'IWP13'!Std5dot2</vt:lpstr>
      <vt:lpstr>'IWP14'!Std5dot2</vt:lpstr>
      <vt:lpstr>'IWP15'!Std5dot2</vt:lpstr>
      <vt:lpstr>'IWP16'!Std5dot2</vt:lpstr>
      <vt:lpstr>'IWP17'!Std5dot2</vt:lpstr>
      <vt:lpstr>'IWP18'!Std5dot2</vt:lpstr>
      <vt:lpstr>'IWP19'!Std5dot2</vt:lpstr>
      <vt:lpstr>'IWP20'!Std5dot2</vt:lpstr>
      <vt:lpstr>'IWP21'!Std5dot2</vt:lpstr>
      <vt:lpstr>'IWP22'!Std5dot2</vt:lpstr>
      <vt:lpstr>'IWP23'!Std5dot2</vt:lpstr>
      <vt:lpstr>'IWP24'!Std5dot2</vt:lpstr>
      <vt:lpstr>'IWP25'!Std5dot2</vt:lpstr>
      <vt:lpstr>'IWP26'!Std5dot2</vt:lpstr>
      <vt:lpstr>'IWP27'!Std5dot2</vt:lpstr>
      <vt:lpstr>'IWP28'!Std5dot2</vt:lpstr>
      <vt:lpstr>'IWP29'!Std5dot2</vt:lpstr>
      <vt:lpstr>'IWP30'!Std5dot2</vt:lpstr>
      <vt:lpstr>'IWP01'!Std5dot2Mo1Ans</vt:lpstr>
      <vt:lpstr>'IWP02'!Std5dot2Mo1Ans</vt:lpstr>
      <vt:lpstr>'IWP03'!Std5dot2Mo1Ans</vt:lpstr>
      <vt:lpstr>'IWP04'!Std5dot2Mo1Ans</vt:lpstr>
      <vt:lpstr>'IWP05'!Std5dot2Mo1Ans</vt:lpstr>
      <vt:lpstr>'IWP06'!Std5dot2Mo1Ans</vt:lpstr>
      <vt:lpstr>'IWP07'!Std5dot2Mo1Ans</vt:lpstr>
      <vt:lpstr>'IWP08'!Std5dot2Mo1Ans</vt:lpstr>
      <vt:lpstr>'IWP09'!Std5dot2Mo1Ans</vt:lpstr>
      <vt:lpstr>'IWP10'!Std5dot2Mo1Ans</vt:lpstr>
      <vt:lpstr>'IWP11'!Std5dot2Mo1Ans</vt:lpstr>
      <vt:lpstr>'IWP12'!Std5dot2Mo1Ans</vt:lpstr>
      <vt:lpstr>'IWP13'!Std5dot2Mo1Ans</vt:lpstr>
      <vt:lpstr>'IWP14'!Std5dot2Mo1Ans</vt:lpstr>
      <vt:lpstr>'IWP15'!Std5dot2Mo1Ans</vt:lpstr>
      <vt:lpstr>'IWP16'!Std5dot2Mo1Ans</vt:lpstr>
      <vt:lpstr>'IWP17'!Std5dot2Mo1Ans</vt:lpstr>
      <vt:lpstr>'IWP18'!Std5dot2Mo1Ans</vt:lpstr>
      <vt:lpstr>'IWP19'!Std5dot2Mo1Ans</vt:lpstr>
      <vt:lpstr>'IWP20'!Std5dot2Mo1Ans</vt:lpstr>
      <vt:lpstr>'IWP21'!Std5dot2Mo1Ans</vt:lpstr>
      <vt:lpstr>'IWP22'!Std5dot2Mo1Ans</vt:lpstr>
      <vt:lpstr>'IWP23'!Std5dot2Mo1Ans</vt:lpstr>
      <vt:lpstr>'IWP24'!Std5dot2Mo1Ans</vt:lpstr>
      <vt:lpstr>'IWP25'!Std5dot2Mo1Ans</vt:lpstr>
      <vt:lpstr>'IWP26'!Std5dot2Mo1Ans</vt:lpstr>
      <vt:lpstr>'IWP27'!Std5dot2Mo1Ans</vt:lpstr>
      <vt:lpstr>'IWP28'!Std5dot2Mo1Ans</vt:lpstr>
      <vt:lpstr>'IWP29'!Std5dot2Mo1Ans</vt:lpstr>
      <vt:lpstr>'IWP30'!Std5dot2Mo1Ans</vt:lpstr>
      <vt:lpstr>'IWP01'!Std5dot2Mo1Date</vt:lpstr>
      <vt:lpstr>'IWP02'!Std5dot2Mo1Date</vt:lpstr>
      <vt:lpstr>'IWP03'!Std5dot2Mo1Date</vt:lpstr>
      <vt:lpstr>'IWP04'!Std5dot2Mo1Date</vt:lpstr>
      <vt:lpstr>'IWP05'!Std5dot2Mo1Date</vt:lpstr>
      <vt:lpstr>'IWP06'!Std5dot2Mo1Date</vt:lpstr>
      <vt:lpstr>'IWP07'!Std5dot2Mo1Date</vt:lpstr>
      <vt:lpstr>'IWP08'!Std5dot2Mo1Date</vt:lpstr>
      <vt:lpstr>'IWP09'!Std5dot2Mo1Date</vt:lpstr>
      <vt:lpstr>'IWP10'!Std5dot2Mo1Date</vt:lpstr>
      <vt:lpstr>'IWP11'!Std5dot2Mo1Date</vt:lpstr>
      <vt:lpstr>'IWP12'!Std5dot2Mo1Date</vt:lpstr>
      <vt:lpstr>'IWP13'!Std5dot2Mo1Date</vt:lpstr>
      <vt:lpstr>'IWP14'!Std5dot2Mo1Date</vt:lpstr>
      <vt:lpstr>'IWP15'!Std5dot2Mo1Date</vt:lpstr>
      <vt:lpstr>'IWP16'!Std5dot2Mo1Date</vt:lpstr>
      <vt:lpstr>'IWP17'!Std5dot2Mo1Date</vt:lpstr>
      <vt:lpstr>'IWP18'!Std5dot2Mo1Date</vt:lpstr>
      <vt:lpstr>'IWP19'!Std5dot2Mo1Date</vt:lpstr>
      <vt:lpstr>'IWP20'!Std5dot2Mo1Date</vt:lpstr>
      <vt:lpstr>'IWP21'!Std5dot2Mo1Date</vt:lpstr>
      <vt:lpstr>'IWP22'!Std5dot2Mo1Date</vt:lpstr>
      <vt:lpstr>'IWP23'!Std5dot2Mo1Date</vt:lpstr>
      <vt:lpstr>'IWP24'!Std5dot2Mo1Date</vt:lpstr>
      <vt:lpstr>'IWP25'!Std5dot2Mo1Date</vt:lpstr>
      <vt:lpstr>'IWP26'!Std5dot2Mo1Date</vt:lpstr>
      <vt:lpstr>'IWP27'!Std5dot2Mo1Date</vt:lpstr>
      <vt:lpstr>'IWP28'!Std5dot2Mo1Date</vt:lpstr>
      <vt:lpstr>'IWP29'!Std5dot2Mo1Date</vt:lpstr>
      <vt:lpstr>'IWP30'!Std5dot2Mo1Date</vt:lpstr>
      <vt:lpstr>'IWP01'!Std5dot2Mo2Ans</vt:lpstr>
      <vt:lpstr>'IWP02'!Std5dot2Mo2Ans</vt:lpstr>
      <vt:lpstr>'IWP03'!Std5dot2Mo2Ans</vt:lpstr>
      <vt:lpstr>'IWP04'!Std5dot2Mo2Ans</vt:lpstr>
      <vt:lpstr>'IWP05'!Std5dot2Mo2Ans</vt:lpstr>
      <vt:lpstr>'IWP06'!Std5dot2Mo2Ans</vt:lpstr>
      <vt:lpstr>'IWP07'!Std5dot2Mo2Ans</vt:lpstr>
      <vt:lpstr>'IWP08'!Std5dot2Mo2Ans</vt:lpstr>
      <vt:lpstr>'IWP09'!Std5dot2Mo2Ans</vt:lpstr>
      <vt:lpstr>'IWP10'!Std5dot2Mo2Ans</vt:lpstr>
      <vt:lpstr>'IWP11'!Std5dot2Mo2Ans</vt:lpstr>
      <vt:lpstr>'IWP12'!Std5dot2Mo2Ans</vt:lpstr>
      <vt:lpstr>'IWP13'!Std5dot2Mo2Ans</vt:lpstr>
      <vt:lpstr>'IWP14'!Std5dot2Mo2Ans</vt:lpstr>
      <vt:lpstr>'IWP15'!Std5dot2Mo2Ans</vt:lpstr>
      <vt:lpstr>'IWP16'!Std5dot2Mo2Ans</vt:lpstr>
      <vt:lpstr>'IWP17'!Std5dot2Mo2Ans</vt:lpstr>
      <vt:lpstr>'IWP18'!Std5dot2Mo2Ans</vt:lpstr>
      <vt:lpstr>'IWP19'!Std5dot2Mo2Ans</vt:lpstr>
      <vt:lpstr>'IWP20'!Std5dot2Mo2Ans</vt:lpstr>
      <vt:lpstr>'IWP21'!Std5dot2Mo2Ans</vt:lpstr>
      <vt:lpstr>'IWP22'!Std5dot2Mo2Ans</vt:lpstr>
      <vt:lpstr>'IWP23'!Std5dot2Mo2Ans</vt:lpstr>
      <vt:lpstr>'IWP24'!Std5dot2Mo2Ans</vt:lpstr>
      <vt:lpstr>'IWP25'!Std5dot2Mo2Ans</vt:lpstr>
      <vt:lpstr>'IWP26'!Std5dot2Mo2Ans</vt:lpstr>
      <vt:lpstr>'IWP27'!Std5dot2Mo2Ans</vt:lpstr>
      <vt:lpstr>'IWP28'!Std5dot2Mo2Ans</vt:lpstr>
      <vt:lpstr>'IWP29'!Std5dot2Mo2Ans</vt:lpstr>
      <vt:lpstr>'IWP30'!Std5dot2Mo2Ans</vt:lpstr>
      <vt:lpstr>'IWP01'!Std5dot2Mo2Date</vt:lpstr>
      <vt:lpstr>'IWP02'!Std5dot2Mo2Date</vt:lpstr>
      <vt:lpstr>'IWP03'!Std5dot2Mo2Date</vt:lpstr>
      <vt:lpstr>'IWP04'!Std5dot2Mo2Date</vt:lpstr>
      <vt:lpstr>'IWP05'!Std5dot2Mo2Date</vt:lpstr>
      <vt:lpstr>'IWP06'!Std5dot2Mo2Date</vt:lpstr>
      <vt:lpstr>'IWP07'!Std5dot2Mo2Date</vt:lpstr>
      <vt:lpstr>'IWP08'!Std5dot2Mo2Date</vt:lpstr>
      <vt:lpstr>'IWP09'!Std5dot2Mo2Date</vt:lpstr>
      <vt:lpstr>'IWP10'!Std5dot2Mo2Date</vt:lpstr>
      <vt:lpstr>'IWP11'!Std5dot2Mo2Date</vt:lpstr>
      <vt:lpstr>'IWP12'!Std5dot2Mo2Date</vt:lpstr>
      <vt:lpstr>'IWP13'!Std5dot2Mo2Date</vt:lpstr>
      <vt:lpstr>'IWP14'!Std5dot2Mo2Date</vt:lpstr>
      <vt:lpstr>'IWP15'!Std5dot2Mo2Date</vt:lpstr>
      <vt:lpstr>'IWP16'!Std5dot2Mo2Date</vt:lpstr>
      <vt:lpstr>'IWP17'!Std5dot2Mo2Date</vt:lpstr>
      <vt:lpstr>'IWP18'!Std5dot2Mo2Date</vt:lpstr>
      <vt:lpstr>'IWP19'!Std5dot2Mo2Date</vt:lpstr>
      <vt:lpstr>'IWP20'!Std5dot2Mo2Date</vt:lpstr>
      <vt:lpstr>'IWP21'!Std5dot2Mo2Date</vt:lpstr>
      <vt:lpstr>'IWP22'!Std5dot2Mo2Date</vt:lpstr>
      <vt:lpstr>'IWP23'!Std5dot2Mo2Date</vt:lpstr>
      <vt:lpstr>'IWP24'!Std5dot2Mo2Date</vt:lpstr>
      <vt:lpstr>'IWP25'!Std5dot2Mo2Date</vt:lpstr>
      <vt:lpstr>'IWP26'!Std5dot2Mo2Date</vt:lpstr>
      <vt:lpstr>'IWP27'!Std5dot2Mo2Date</vt:lpstr>
      <vt:lpstr>'IWP28'!Std5dot2Mo2Date</vt:lpstr>
      <vt:lpstr>'IWP29'!Std5dot2Mo2Date</vt:lpstr>
      <vt:lpstr>'IWP30'!Std5dot2Mo2Date</vt:lpstr>
      <vt:lpstr>'IWP01'!Std5dot3</vt:lpstr>
      <vt:lpstr>'IWP02'!Std5dot3</vt:lpstr>
      <vt:lpstr>'IWP03'!Std5dot3</vt:lpstr>
      <vt:lpstr>'IWP04'!Std5dot3</vt:lpstr>
      <vt:lpstr>'IWP05'!Std5dot3</vt:lpstr>
      <vt:lpstr>'IWP06'!Std5dot3</vt:lpstr>
      <vt:lpstr>'IWP07'!Std5dot3</vt:lpstr>
      <vt:lpstr>'IWP08'!Std5dot3</vt:lpstr>
      <vt:lpstr>'IWP09'!Std5dot3</vt:lpstr>
      <vt:lpstr>'IWP10'!Std5dot3</vt:lpstr>
      <vt:lpstr>'IWP11'!Std5dot3</vt:lpstr>
      <vt:lpstr>'IWP12'!Std5dot3</vt:lpstr>
      <vt:lpstr>'IWP13'!Std5dot3</vt:lpstr>
      <vt:lpstr>'IWP14'!Std5dot3</vt:lpstr>
      <vt:lpstr>'IWP15'!Std5dot3</vt:lpstr>
      <vt:lpstr>'IWP16'!Std5dot3</vt:lpstr>
      <vt:lpstr>'IWP17'!Std5dot3</vt:lpstr>
      <vt:lpstr>'IWP18'!Std5dot3</vt:lpstr>
      <vt:lpstr>'IWP19'!Std5dot3</vt:lpstr>
      <vt:lpstr>'IWP20'!Std5dot3</vt:lpstr>
      <vt:lpstr>'IWP21'!Std5dot3</vt:lpstr>
      <vt:lpstr>'IWP22'!Std5dot3</vt:lpstr>
      <vt:lpstr>'IWP23'!Std5dot3</vt:lpstr>
      <vt:lpstr>'IWP24'!Std5dot3</vt:lpstr>
      <vt:lpstr>'IWP25'!Std5dot3</vt:lpstr>
      <vt:lpstr>'IWP26'!Std5dot3</vt:lpstr>
      <vt:lpstr>'IWP27'!Std5dot3</vt:lpstr>
      <vt:lpstr>'IWP28'!Std5dot3</vt:lpstr>
      <vt:lpstr>'IWP29'!Std5dot3</vt:lpstr>
      <vt:lpstr>'IWP30'!Std5dot3</vt:lpstr>
      <vt:lpstr>'IWP01'!Std5dot3Mo1Ans</vt:lpstr>
      <vt:lpstr>'IWP02'!Std5dot3Mo1Ans</vt:lpstr>
      <vt:lpstr>'IWP03'!Std5dot3Mo1Ans</vt:lpstr>
      <vt:lpstr>'IWP04'!Std5dot3Mo1Ans</vt:lpstr>
      <vt:lpstr>'IWP05'!Std5dot3Mo1Ans</vt:lpstr>
      <vt:lpstr>'IWP06'!Std5dot3Mo1Ans</vt:lpstr>
      <vt:lpstr>'IWP07'!Std5dot3Mo1Ans</vt:lpstr>
      <vt:lpstr>'IWP08'!Std5dot3Mo1Ans</vt:lpstr>
      <vt:lpstr>'IWP09'!Std5dot3Mo1Ans</vt:lpstr>
      <vt:lpstr>'IWP10'!Std5dot3Mo1Ans</vt:lpstr>
      <vt:lpstr>'IWP11'!Std5dot3Mo1Ans</vt:lpstr>
      <vt:lpstr>'IWP12'!Std5dot3Mo1Ans</vt:lpstr>
      <vt:lpstr>'IWP13'!Std5dot3Mo1Ans</vt:lpstr>
      <vt:lpstr>'IWP14'!Std5dot3Mo1Ans</vt:lpstr>
      <vt:lpstr>'IWP15'!Std5dot3Mo1Ans</vt:lpstr>
      <vt:lpstr>'IWP16'!Std5dot3Mo1Ans</vt:lpstr>
      <vt:lpstr>'IWP17'!Std5dot3Mo1Ans</vt:lpstr>
      <vt:lpstr>'IWP18'!Std5dot3Mo1Ans</vt:lpstr>
      <vt:lpstr>'IWP19'!Std5dot3Mo1Ans</vt:lpstr>
      <vt:lpstr>'IWP20'!Std5dot3Mo1Ans</vt:lpstr>
      <vt:lpstr>'IWP21'!Std5dot3Mo1Ans</vt:lpstr>
      <vt:lpstr>'IWP22'!Std5dot3Mo1Ans</vt:lpstr>
      <vt:lpstr>'IWP23'!Std5dot3Mo1Ans</vt:lpstr>
      <vt:lpstr>'IWP24'!Std5dot3Mo1Ans</vt:lpstr>
      <vt:lpstr>'IWP25'!Std5dot3Mo1Ans</vt:lpstr>
      <vt:lpstr>'IWP26'!Std5dot3Mo1Ans</vt:lpstr>
      <vt:lpstr>'IWP27'!Std5dot3Mo1Ans</vt:lpstr>
      <vt:lpstr>'IWP28'!Std5dot3Mo1Ans</vt:lpstr>
      <vt:lpstr>'IWP29'!Std5dot3Mo1Ans</vt:lpstr>
      <vt:lpstr>'IWP30'!Std5dot3Mo1Ans</vt:lpstr>
      <vt:lpstr>'IWP01'!Std5dot3Mo1Date</vt:lpstr>
      <vt:lpstr>'IWP02'!Std5dot3Mo1Date</vt:lpstr>
      <vt:lpstr>'IWP03'!Std5dot3Mo1Date</vt:lpstr>
      <vt:lpstr>'IWP04'!Std5dot3Mo1Date</vt:lpstr>
      <vt:lpstr>'IWP05'!Std5dot3Mo1Date</vt:lpstr>
      <vt:lpstr>'IWP06'!Std5dot3Mo1Date</vt:lpstr>
      <vt:lpstr>'IWP07'!Std5dot3Mo1Date</vt:lpstr>
      <vt:lpstr>'IWP08'!Std5dot3Mo1Date</vt:lpstr>
      <vt:lpstr>'IWP09'!Std5dot3Mo1Date</vt:lpstr>
      <vt:lpstr>'IWP10'!Std5dot3Mo1Date</vt:lpstr>
      <vt:lpstr>'IWP11'!Std5dot3Mo1Date</vt:lpstr>
      <vt:lpstr>'IWP12'!Std5dot3Mo1Date</vt:lpstr>
      <vt:lpstr>'IWP13'!Std5dot3Mo1Date</vt:lpstr>
      <vt:lpstr>'IWP14'!Std5dot3Mo1Date</vt:lpstr>
      <vt:lpstr>'IWP15'!Std5dot3Mo1Date</vt:lpstr>
      <vt:lpstr>'IWP16'!Std5dot3Mo1Date</vt:lpstr>
      <vt:lpstr>'IWP17'!Std5dot3Mo1Date</vt:lpstr>
      <vt:lpstr>'IWP18'!Std5dot3Mo1Date</vt:lpstr>
      <vt:lpstr>'IWP19'!Std5dot3Mo1Date</vt:lpstr>
      <vt:lpstr>'IWP20'!Std5dot3Mo1Date</vt:lpstr>
      <vt:lpstr>'IWP21'!Std5dot3Mo1Date</vt:lpstr>
      <vt:lpstr>'IWP22'!Std5dot3Mo1Date</vt:lpstr>
      <vt:lpstr>'IWP23'!Std5dot3Mo1Date</vt:lpstr>
      <vt:lpstr>'IWP24'!Std5dot3Mo1Date</vt:lpstr>
      <vt:lpstr>'IWP25'!Std5dot3Mo1Date</vt:lpstr>
      <vt:lpstr>'IWP26'!Std5dot3Mo1Date</vt:lpstr>
      <vt:lpstr>'IWP27'!Std5dot3Mo1Date</vt:lpstr>
      <vt:lpstr>'IWP28'!Std5dot3Mo1Date</vt:lpstr>
      <vt:lpstr>'IWP29'!Std5dot3Mo1Date</vt:lpstr>
      <vt:lpstr>'IWP30'!Std5dot3Mo1Date</vt:lpstr>
      <vt:lpstr>'IWP01'!Std5dot3Mo2Ans</vt:lpstr>
      <vt:lpstr>'IWP02'!Std5dot3Mo2Ans</vt:lpstr>
      <vt:lpstr>'IWP03'!Std5dot3Mo2Ans</vt:lpstr>
      <vt:lpstr>'IWP04'!Std5dot3Mo2Ans</vt:lpstr>
      <vt:lpstr>'IWP05'!Std5dot3Mo2Ans</vt:lpstr>
      <vt:lpstr>'IWP06'!Std5dot3Mo2Ans</vt:lpstr>
      <vt:lpstr>'IWP07'!Std5dot3Mo2Ans</vt:lpstr>
      <vt:lpstr>'IWP08'!Std5dot3Mo2Ans</vt:lpstr>
      <vt:lpstr>'IWP09'!Std5dot3Mo2Ans</vt:lpstr>
      <vt:lpstr>'IWP10'!Std5dot3Mo2Ans</vt:lpstr>
      <vt:lpstr>'IWP11'!Std5dot3Mo2Ans</vt:lpstr>
      <vt:lpstr>'IWP12'!Std5dot3Mo2Ans</vt:lpstr>
      <vt:lpstr>'IWP13'!Std5dot3Mo2Ans</vt:lpstr>
      <vt:lpstr>'IWP14'!Std5dot3Mo2Ans</vt:lpstr>
      <vt:lpstr>'IWP15'!Std5dot3Mo2Ans</vt:lpstr>
      <vt:lpstr>'IWP16'!Std5dot3Mo2Ans</vt:lpstr>
      <vt:lpstr>'IWP17'!Std5dot3Mo2Ans</vt:lpstr>
      <vt:lpstr>'IWP18'!Std5dot3Mo2Ans</vt:lpstr>
      <vt:lpstr>'IWP19'!Std5dot3Mo2Ans</vt:lpstr>
      <vt:lpstr>'IWP20'!Std5dot3Mo2Ans</vt:lpstr>
      <vt:lpstr>'IWP21'!Std5dot3Mo2Ans</vt:lpstr>
      <vt:lpstr>'IWP22'!Std5dot3Mo2Ans</vt:lpstr>
      <vt:lpstr>'IWP23'!Std5dot3Mo2Ans</vt:lpstr>
      <vt:lpstr>'IWP24'!Std5dot3Mo2Ans</vt:lpstr>
      <vt:lpstr>'IWP25'!Std5dot3Mo2Ans</vt:lpstr>
      <vt:lpstr>'IWP26'!Std5dot3Mo2Ans</vt:lpstr>
      <vt:lpstr>'IWP27'!Std5dot3Mo2Ans</vt:lpstr>
      <vt:lpstr>'IWP28'!Std5dot3Mo2Ans</vt:lpstr>
      <vt:lpstr>'IWP29'!Std5dot3Mo2Ans</vt:lpstr>
      <vt:lpstr>'IWP30'!Std5dot3Mo2Ans</vt:lpstr>
      <vt:lpstr>'IWP01'!Std5dot3Mo2Date</vt:lpstr>
      <vt:lpstr>'IWP02'!Std5dot3Mo2Date</vt:lpstr>
      <vt:lpstr>'IWP03'!Std5dot3Mo2Date</vt:lpstr>
      <vt:lpstr>'IWP04'!Std5dot3Mo2Date</vt:lpstr>
      <vt:lpstr>'IWP05'!Std5dot3Mo2Date</vt:lpstr>
      <vt:lpstr>'IWP06'!Std5dot3Mo2Date</vt:lpstr>
      <vt:lpstr>'IWP07'!Std5dot3Mo2Date</vt:lpstr>
      <vt:lpstr>'IWP08'!Std5dot3Mo2Date</vt:lpstr>
      <vt:lpstr>'IWP09'!Std5dot3Mo2Date</vt:lpstr>
      <vt:lpstr>'IWP10'!Std5dot3Mo2Date</vt:lpstr>
      <vt:lpstr>'IWP11'!Std5dot3Mo2Date</vt:lpstr>
      <vt:lpstr>'IWP12'!Std5dot3Mo2Date</vt:lpstr>
      <vt:lpstr>'IWP13'!Std5dot3Mo2Date</vt:lpstr>
      <vt:lpstr>'IWP14'!Std5dot3Mo2Date</vt:lpstr>
      <vt:lpstr>'IWP15'!Std5dot3Mo2Date</vt:lpstr>
      <vt:lpstr>'IWP16'!Std5dot3Mo2Date</vt:lpstr>
      <vt:lpstr>'IWP17'!Std5dot3Mo2Date</vt:lpstr>
      <vt:lpstr>'IWP18'!Std5dot3Mo2Date</vt:lpstr>
      <vt:lpstr>'IWP19'!Std5dot3Mo2Date</vt:lpstr>
      <vt:lpstr>'IWP20'!Std5dot3Mo2Date</vt:lpstr>
      <vt:lpstr>'IWP21'!Std5dot3Mo2Date</vt:lpstr>
      <vt:lpstr>'IWP22'!Std5dot3Mo2Date</vt:lpstr>
      <vt:lpstr>'IWP23'!Std5dot3Mo2Date</vt:lpstr>
      <vt:lpstr>'IWP24'!Std5dot3Mo2Date</vt:lpstr>
      <vt:lpstr>'IWP25'!Std5dot3Mo2Date</vt:lpstr>
      <vt:lpstr>'IWP26'!Std5dot3Mo2Date</vt:lpstr>
      <vt:lpstr>'IWP27'!Std5dot3Mo2Date</vt:lpstr>
      <vt:lpstr>'IWP28'!Std5dot3Mo2Date</vt:lpstr>
      <vt:lpstr>'IWP29'!Std5dot3Mo2Date</vt:lpstr>
      <vt:lpstr>'IWP30'!Std5dot3Mo2Date</vt:lpstr>
      <vt:lpstr>'IWP01'!Std5dot4</vt:lpstr>
      <vt:lpstr>'IWP02'!Std5dot4</vt:lpstr>
      <vt:lpstr>'IWP03'!Std5dot4</vt:lpstr>
      <vt:lpstr>'IWP04'!Std5dot4</vt:lpstr>
      <vt:lpstr>'IWP05'!Std5dot4</vt:lpstr>
      <vt:lpstr>'IWP06'!Std5dot4</vt:lpstr>
      <vt:lpstr>'IWP07'!Std5dot4</vt:lpstr>
      <vt:lpstr>'IWP08'!Std5dot4</vt:lpstr>
      <vt:lpstr>'IWP09'!Std5dot4</vt:lpstr>
      <vt:lpstr>'IWP10'!Std5dot4</vt:lpstr>
      <vt:lpstr>'IWP11'!Std5dot4</vt:lpstr>
      <vt:lpstr>'IWP12'!Std5dot4</vt:lpstr>
      <vt:lpstr>'IWP13'!Std5dot4</vt:lpstr>
      <vt:lpstr>'IWP14'!Std5dot4</vt:lpstr>
      <vt:lpstr>'IWP15'!Std5dot4</vt:lpstr>
      <vt:lpstr>'IWP16'!Std5dot4</vt:lpstr>
      <vt:lpstr>'IWP17'!Std5dot4</vt:lpstr>
      <vt:lpstr>'IWP18'!Std5dot4</vt:lpstr>
      <vt:lpstr>'IWP19'!Std5dot4</vt:lpstr>
      <vt:lpstr>'IWP20'!Std5dot4</vt:lpstr>
      <vt:lpstr>'IWP21'!Std5dot4</vt:lpstr>
      <vt:lpstr>'IWP22'!Std5dot4</vt:lpstr>
      <vt:lpstr>'IWP23'!Std5dot4</vt:lpstr>
      <vt:lpstr>'IWP24'!Std5dot4</vt:lpstr>
      <vt:lpstr>'IWP25'!Std5dot4</vt:lpstr>
      <vt:lpstr>'IWP26'!Std5dot4</vt:lpstr>
      <vt:lpstr>'IWP27'!Std5dot4</vt:lpstr>
      <vt:lpstr>'IWP28'!Std5dot4</vt:lpstr>
      <vt:lpstr>'IWP29'!Std5dot4</vt:lpstr>
      <vt:lpstr>'IWP30'!Std5dot4</vt:lpstr>
      <vt:lpstr>'IWP01'!Std5dot4Mo1Ans</vt:lpstr>
      <vt:lpstr>'IWP02'!Std5dot4Mo1Ans</vt:lpstr>
      <vt:lpstr>'IWP03'!Std5dot4Mo1Ans</vt:lpstr>
      <vt:lpstr>'IWP04'!Std5dot4Mo1Ans</vt:lpstr>
      <vt:lpstr>'IWP05'!Std5dot4Mo1Ans</vt:lpstr>
      <vt:lpstr>'IWP06'!Std5dot4Mo1Ans</vt:lpstr>
      <vt:lpstr>'IWP07'!Std5dot4Mo1Ans</vt:lpstr>
      <vt:lpstr>'IWP08'!Std5dot4Mo1Ans</vt:lpstr>
      <vt:lpstr>'IWP09'!Std5dot4Mo1Ans</vt:lpstr>
      <vt:lpstr>'IWP10'!Std5dot4Mo1Ans</vt:lpstr>
      <vt:lpstr>'IWP11'!Std5dot4Mo1Ans</vt:lpstr>
      <vt:lpstr>'IWP12'!Std5dot4Mo1Ans</vt:lpstr>
      <vt:lpstr>'IWP13'!Std5dot4Mo1Ans</vt:lpstr>
      <vt:lpstr>'IWP14'!Std5dot4Mo1Ans</vt:lpstr>
      <vt:lpstr>'IWP15'!Std5dot4Mo1Ans</vt:lpstr>
      <vt:lpstr>'IWP16'!Std5dot4Mo1Ans</vt:lpstr>
      <vt:lpstr>'IWP17'!Std5dot4Mo1Ans</vt:lpstr>
      <vt:lpstr>'IWP18'!Std5dot4Mo1Ans</vt:lpstr>
      <vt:lpstr>'IWP19'!Std5dot4Mo1Ans</vt:lpstr>
      <vt:lpstr>'IWP20'!Std5dot4Mo1Ans</vt:lpstr>
      <vt:lpstr>'IWP21'!Std5dot4Mo1Ans</vt:lpstr>
      <vt:lpstr>'IWP22'!Std5dot4Mo1Ans</vt:lpstr>
      <vt:lpstr>'IWP23'!Std5dot4Mo1Ans</vt:lpstr>
      <vt:lpstr>'IWP24'!Std5dot4Mo1Ans</vt:lpstr>
      <vt:lpstr>'IWP25'!Std5dot4Mo1Ans</vt:lpstr>
      <vt:lpstr>'IWP26'!Std5dot4Mo1Ans</vt:lpstr>
      <vt:lpstr>'IWP27'!Std5dot4Mo1Ans</vt:lpstr>
      <vt:lpstr>'IWP28'!Std5dot4Mo1Ans</vt:lpstr>
      <vt:lpstr>'IWP29'!Std5dot4Mo1Ans</vt:lpstr>
      <vt:lpstr>'IWP30'!Std5dot4Mo1Ans</vt:lpstr>
      <vt:lpstr>'IWP01'!Std5dot4Mo1Date</vt:lpstr>
      <vt:lpstr>'IWP02'!Std5dot4Mo1Date</vt:lpstr>
      <vt:lpstr>'IWP03'!Std5dot4Mo1Date</vt:lpstr>
      <vt:lpstr>'IWP04'!Std5dot4Mo1Date</vt:lpstr>
      <vt:lpstr>'IWP05'!Std5dot4Mo1Date</vt:lpstr>
      <vt:lpstr>'IWP06'!Std5dot4Mo1Date</vt:lpstr>
      <vt:lpstr>'IWP07'!Std5dot4Mo1Date</vt:lpstr>
      <vt:lpstr>'IWP08'!Std5dot4Mo1Date</vt:lpstr>
      <vt:lpstr>'IWP09'!Std5dot4Mo1Date</vt:lpstr>
      <vt:lpstr>'IWP10'!Std5dot4Mo1Date</vt:lpstr>
      <vt:lpstr>'IWP11'!Std5dot4Mo1Date</vt:lpstr>
      <vt:lpstr>'IWP12'!Std5dot4Mo1Date</vt:lpstr>
      <vt:lpstr>'IWP13'!Std5dot4Mo1Date</vt:lpstr>
      <vt:lpstr>'IWP14'!Std5dot4Mo1Date</vt:lpstr>
      <vt:lpstr>'IWP15'!Std5dot4Mo1Date</vt:lpstr>
      <vt:lpstr>'IWP16'!Std5dot4Mo1Date</vt:lpstr>
      <vt:lpstr>'IWP17'!Std5dot4Mo1Date</vt:lpstr>
      <vt:lpstr>'IWP18'!Std5dot4Mo1Date</vt:lpstr>
      <vt:lpstr>'IWP19'!Std5dot4Mo1Date</vt:lpstr>
      <vt:lpstr>'IWP20'!Std5dot4Mo1Date</vt:lpstr>
      <vt:lpstr>'IWP21'!Std5dot4Mo1Date</vt:lpstr>
      <vt:lpstr>'IWP22'!Std5dot4Mo1Date</vt:lpstr>
      <vt:lpstr>'IWP23'!Std5dot4Mo1Date</vt:lpstr>
      <vt:lpstr>'IWP24'!Std5dot4Mo1Date</vt:lpstr>
      <vt:lpstr>'IWP25'!Std5dot4Mo1Date</vt:lpstr>
      <vt:lpstr>'IWP26'!Std5dot4Mo1Date</vt:lpstr>
      <vt:lpstr>'IWP27'!Std5dot4Mo1Date</vt:lpstr>
      <vt:lpstr>'IWP28'!Std5dot4Mo1Date</vt:lpstr>
      <vt:lpstr>'IWP29'!Std5dot4Mo1Date</vt:lpstr>
      <vt:lpstr>'IWP30'!Std5dot4Mo1Date</vt:lpstr>
      <vt:lpstr>'IWP01'!Std5dot4Mo2Ans</vt:lpstr>
      <vt:lpstr>'IWP02'!Std5dot4Mo2Ans</vt:lpstr>
      <vt:lpstr>'IWP03'!Std5dot4Mo2Ans</vt:lpstr>
      <vt:lpstr>'IWP04'!Std5dot4Mo2Ans</vt:lpstr>
      <vt:lpstr>'IWP05'!Std5dot4Mo2Ans</vt:lpstr>
      <vt:lpstr>'IWP06'!Std5dot4Mo2Ans</vt:lpstr>
      <vt:lpstr>'IWP07'!Std5dot4Mo2Ans</vt:lpstr>
      <vt:lpstr>'IWP08'!Std5dot4Mo2Ans</vt:lpstr>
      <vt:lpstr>'IWP09'!Std5dot4Mo2Ans</vt:lpstr>
      <vt:lpstr>'IWP10'!Std5dot4Mo2Ans</vt:lpstr>
      <vt:lpstr>'IWP11'!Std5dot4Mo2Ans</vt:lpstr>
      <vt:lpstr>'IWP12'!Std5dot4Mo2Ans</vt:lpstr>
      <vt:lpstr>'IWP13'!Std5dot4Mo2Ans</vt:lpstr>
      <vt:lpstr>'IWP14'!Std5dot4Mo2Ans</vt:lpstr>
      <vt:lpstr>'IWP15'!Std5dot4Mo2Ans</vt:lpstr>
      <vt:lpstr>'IWP16'!Std5dot4Mo2Ans</vt:lpstr>
      <vt:lpstr>'IWP17'!Std5dot4Mo2Ans</vt:lpstr>
      <vt:lpstr>'IWP18'!Std5dot4Mo2Ans</vt:lpstr>
      <vt:lpstr>'IWP19'!Std5dot4Mo2Ans</vt:lpstr>
      <vt:lpstr>'IWP20'!Std5dot4Mo2Ans</vt:lpstr>
      <vt:lpstr>'IWP21'!Std5dot4Mo2Ans</vt:lpstr>
      <vt:lpstr>'IWP22'!Std5dot4Mo2Ans</vt:lpstr>
      <vt:lpstr>'IWP23'!Std5dot4Mo2Ans</vt:lpstr>
      <vt:lpstr>'IWP24'!Std5dot4Mo2Ans</vt:lpstr>
      <vt:lpstr>'IWP25'!Std5dot4Mo2Ans</vt:lpstr>
      <vt:lpstr>'IWP26'!Std5dot4Mo2Ans</vt:lpstr>
      <vt:lpstr>'IWP27'!Std5dot4Mo2Ans</vt:lpstr>
      <vt:lpstr>'IWP28'!Std5dot4Mo2Ans</vt:lpstr>
      <vt:lpstr>'IWP29'!Std5dot4Mo2Ans</vt:lpstr>
      <vt:lpstr>'IWP30'!Std5dot4Mo2Ans</vt:lpstr>
      <vt:lpstr>'IWP01'!Std5dot4Mo2Date</vt:lpstr>
      <vt:lpstr>'IWP02'!Std5dot4Mo2Date</vt:lpstr>
      <vt:lpstr>'IWP03'!Std5dot4Mo2Date</vt:lpstr>
      <vt:lpstr>'IWP04'!Std5dot4Mo2Date</vt:lpstr>
      <vt:lpstr>'IWP05'!Std5dot4Mo2Date</vt:lpstr>
      <vt:lpstr>'IWP06'!Std5dot4Mo2Date</vt:lpstr>
      <vt:lpstr>'IWP07'!Std5dot4Mo2Date</vt:lpstr>
      <vt:lpstr>'IWP08'!Std5dot4Mo2Date</vt:lpstr>
      <vt:lpstr>'IWP09'!Std5dot4Mo2Date</vt:lpstr>
      <vt:lpstr>'IWP10'!Std5dot4Mo2Date</vt:lpstr>
      <vt:lpstr>'IWP11'!Std5dot4Mo2Date</vt:lpstr>
      <vt:lpstr>'IWP12'!Std5dot4Mo2Date</vt:lpstr>
      <vt:lpstr>'IWP13'!Std5dot4Mo2Date</vt:lpstr>
      <vt:lpstr>'IWP14'!Std5dot4Mo2Date</vt:lpstr>
      <vt:lpstr>'IWP15'!Std5dot4Mo2Date</vt:lpstr>
      <vt:lpstr>'IWP16'!Std5dot4Mo2Date</vt:lpstr>
      <vt:lpstr>'IWP17'!Std5dot4Mo2Date</vt:lpstr>
      <vt:lpstr>'IWP18'!Std5dot4Mo2Date</vt:lpstr>
      <vt:lpstr>'IWP19'!Std5dot4Mo2Date</vt:lpstr>
      <vt:lpstr>'IWP20'!Std5dot4Mo2Date</vt:lpstr>
      <vt:lpstr>'IWP21'!Std5dot4Mo2Date</vt:lpstr>
      <vt:lpstr>'IWP22'!Std5dot4Mo2Date</vt:lpstr>
      <vt:lpstr>'IWP23'!Std5dot4Mo2Date</vt:lpstr>
      <vt:lpstr>'IWP24'!Std5dot4Mo2Date</vt:lpstr>
      <vt:lpstr>'IWP25'!Std5dot4Mo2Date</vt:lpstr>
      <vt:lpstr>'IWP26'!Std5dot4Mo2Date</vt:lpstr>
      <vt:lpstr>'IWP27'!Std5dot4Mo2Date</vt:lpstr>
      <vt:lpstr>'IWP28'!Std5dot4Mo2Date</vt:lpstr>
      <vt:lpstr>'IWP29'!Std5dot4Mo2Date</vt:lpstr>
      <vt:lpstr>'IWP30'!Std5dot4Mo2Date</vt:lpstr>
      <vt:lpstr>'IWP01'!Std5dot5</vt:lpstr>
      <vt:lpstr>'IWP02'!Std5dot5</vt:lpstr>
      <vt:lpstr>'IWP03'!Std5dot5</vt:lpstr>
      <vt:lpstr>'IWP04'!Std5dot5</vt:lpstr>
      <vt:lpstr>'IWP05'!Std5dot5</vt:lpstr>
      <vt:lpstr>'IWP06'!Std5dot5</vt:lpstr>
      <vt:lpstr>'IWP07'!Std5dot5</vt:lpstr>
      <vt:lpstr>'IWP08'!Std5dot5</vt:lpstr>
      <vt:lpstr>'IWP09'!Std5dot5</vt:lpstr>
      <vt:lpstr>'IWP10'!Std5dot5</vt:lpstr>
      <vt:lpstr>'IWP11'!Std5dot5</vt:lpstr>
      <vt:lpstr>'IWP12'!Std5dot5</vt:lpstr>
      <vt:lpstr>'IWP13'!Std5dot5</vt:lpstr>
      <vt:lpstr>'IWP14'!Std5dot5</vt:lpstr>
      <vt:lpstr>'IWP15'!Std5dot5</vt:lpstr>
      <vt:lpstr>'IWP16'!Std5dot5</vt:lpstr>
      <vt:lpstr>'IWP17'!Std5dot5</vt:lpstr>
      <vt:lpstr>'IWP18'!Std5dot5</vt:lpstr>
      <vt:lpstr>'IWP19'!Std5dot5</vt:lpstr>
      <vt:lpstr>'IWP20'!Std5dot5</vt:lpstr>
      <vt:lpstr>'IWP21'!Std5dot5</vt:lpstr>
      <vt:lpstr>'IWP22'!Std5dot5</vt:lpstr>
      <vt:lpstr>'IWP23'!Std5dot5</vt:lpstr>
      <vt:lpstr>'IWP24'!Std5dot5</vt:lpstr>
      <vt:lpstr>'IWP25'!Std5dot5</vt:lpstr>
      <vt:lpstr>'IWP26'!Std5dot5</vt:lpstr>
      <vt:lpstr>'IWP27'!Std5dot5</vt:lpstr>
      <vt:lpstr>'IWP28'!Std5dot5</vt:lpstr>
      <vt:lpstr>'IWP29'!Std5dot5</vt:lpstr>
      <vt:lpstr>'IWP30'!Std5dot5</vt:lpstr>
      <vt:lpstr>'IWP01'!Std5dot6</vt:lpstr>
      <vt:lpstr>'IWP02'!Std5dot6</vt:lpstr>
      <vt:lpstr>'IWP03'!Std5dot6</vt:lpstr>
      <vt:lpstr>'IWP04'!Std5dot6</vt:lpstr>
      <vt:lpstr>'IWP05'!Std5dot6</vt:lpstr>
      <vt:lpstr>'IWP06'!Std5dot6</vt:lpstr>
      <vt:lpstr>'IWP07'!Std5dot6</vt:lpstr>
      <vt:lpstr>'IWP08'!Std5dot6</vt:lpstr>
      <vt:lpstr>'IWP09'!Std5dot6</vt:lpstr>
      <vt:lpstr>'IWP10'!Std5dot6</vt:lpstr>
      <vt:lpstr>'IWP11'!Std5dot6</vt:lpstr>
      <vt:lpstr>'IWP12'!Std5dot6</vt:lpstr>
      <vt:lpstr>'IWP13'!Std5dot6</vt:lpstr>
      <vt:lpstr>'IWP14'!Std5dot6</vt:lpstr>
      <vt:lpstr>'IWP15'!Std5dot6</vt:lpstr>
      <vt:lpstr>'IWP16'!Std5dot6</vt:lpstr>
      <vt:lpstr>'IWP17'!Std5dot6</vt:lpstr>
      <vt:lpstr>'IWP18'!Std5dot6</vt:lpstr>
      <vt:lpstr>'IWP19'!Std5dot6</vt:lpstr>
      <vt:lpstr>'IWP20'!Std5dot6</vt:lpstr>
      <vt:lpstr>'IWP21'!Std5dot6</vt:lpstr>
      <vt:lpstr>'IWP22'!Std5dot6</vt:lpstr>
      <vt:lpstr>'IWP23'!Std5dot6</vt:lpstr>
      <vt:lpstr>'IWP24'!Std5dot6</vt:lpstr>
      <vt:lpstr>'IWP25'!Std5dot6</vt:lpstr>
      <vt:lpstr>'IWP26'!Std5dot6</vt:lpstr>
      <vt:lpstr>'IWP27'!Std5dot6</vt:lpstr>
      <vt:lpstr>'IWP28'!Std5dot6</vt:lpstr>
      <vt:lpstr>'IWP29'!Std5dot6</vt:lpstr>
      <vt:lpstr>'IWP30'!Std5dot6</vt:lpstr>
      <vt:lpstr>'IWP01'!Std5NotCalc</vt:lpstr>
      <vt:lpstr>'IWP02'!Std5NotCalc</vt:lpstr>
      <vt:lpstr>'IWP03'!Std5NotCalc</vt:lpstr>
      <vt:lpstr>'IWP04'!Std5NotCalc</vt:lpstr>
      <vt:lpstr>'IWP05'!Std5NotCalc</vt:lpstr>
      <vt:lpstr>'IWP06'!Std5NotCalc</vt:lpstr>
      <vt:lpstr>'IWP07'!Std5NotCalc</vt:lpstr>
      <vt:lpstr>'IWP08'!Std5NotCalc</vt:lpstr>
      <vt:lpstr>'IWP09'!Std5NotCalc</vt:lpstr>
      <vt:lpstr>'IWP10'!Std5NotCalc</vt:lpstr>
      <vt:lpstr>'IWP11'!Std5NotCalc</vt:lpstr>
      <vt:lpstr>'IWP12'!Std5NotCalc</vt:lpstr>
      <vt:lpstr>'IWP13'!Std5NotCalc</vt:lpstr>
      <vt:lpstr>'IWP14'!Std5NotCalc</vt:lpstr>
      <vt:lpstr>'IWP15'!Std5NotCalc</vt:lpstr>
      <vt:lpstr>'IWP16'!Std5NotCalc</vt:lpstr>
      <vt:lpstr>'IWP17'!Std5NotCalc</vt:lpstr>
      <vt:lpstr>'IWP18'!Std5NotCalc</vt:lpstr>
      <vt:lpstr>'IWP19'!Std5NotCalc</vt:lpstr>
      <vt:lpstr>'IWP20'!Std5NotCalc</vt:lpstr>
      <vt:lpstr>'IWP21'!Std5NotCalc</vt:lpstr>
      <vt:lpstr>'IWP22'!Std5NotCalc</vt:lpstr>
      <vt:lpstr>'IWP23'!Std5NotCalc</vt:lpstr>
      <vt:lpstr>'IWP24'!Std5NotCalc</vt:lpstr>
      <vt:lpstr>'IWP25'!Std5NotCalc</vt:lpstr>
      <vt:lpstr>'IWP26'!Std5NotCalc</vt:lpstr>
      <vt:lpstr>'IWP27'!Std5NotCalc</vt:lpstr>
      <vt:lpstr>'IWP28'!Std5NotCalc</vt:lpstr>
      <vt:lpstr>'IWP29'!Std5NotCalc</vt:lpstr>
      <vt:lpstr>'IWP30'!Std5NotCalc</vt:lpstr>
      <vt:lpstr>'IWP01'!Std6dot1</vt:lpstr>
      <vt:lpstr>'IWP02'!Std6dot1</vt:lpstr>
      <vt:lpstr>'IWP03'!Std6dot1</vt:lpstr>
      <vt:lpstr>'IWP04'!Std6dot1</vt:lpstr>
      <vt:lpstr>'IWP05'!Std6dot1</vt:lpstr>
      <vt:lpstr>'IWP06'!Std6dot1</vt:lpstr>
      <vt:lpstr>'IWP07'!Std6dot1</vt:lpstr>
      <vt:lpstr>'IWP08'!Std6dot1</vt:lpstr>
      <vt:lpstr>'IWP09'!Std6dot1</vt:lpstr>
      <vt:lpstr>'IWP10'!Std6dot1</vt:lpstr>
      <vt:lpstr>'IWP11'!Std6dot1</vt:lpstr>
      <vt:lpstr>'IWP12'!Std6dot1</vt:lpstr>
      <vt:lpstr>'IWP13'!Std6dot1</vt:lpstr>
      <vt:lpstr>'IWP14'!Std6dot1</vt:lpstr>
      <vt:lpstr>'IWP15'!Std6dot1</vt:lpstr>
      <vt:lpstr>'IWP16'!Std6dot1</vt:lpstr>
      <vt:lpstr>'IWP17'!Std6dot1</vt:lpstr>
      <vt:lpstr>'IWP18'!Std6dot1</vt:lpstr>
      <vt:lpstr>'IWP19'!Std6dot1</vt:lpstr>
      <vt:lpstr>'IWP20'!Std6dot1</vt:lpstr>
      <vt:lpstr>'IWP21'!Std6dot1</vt:lpstr>
      <vt:lpstr>'IWP22'!Std6dot1</vt:lpstr>
      <vt:lpstr>'IWP23'!Std6dot1</vt:lpstr>
      <vt:lpstr>'IWP24'!Std6dot1</vt:lpstr>
      <vt:lpstr>'IWP25'!Std6dot1</vt:lpstr>
      <vt:lpstr>'IWP26'!Std6dot1</vt:lpstr>
      <vt:lpstr>'IWP27'!Std6dot1</vt:lpstr>
      <vt:lpstr>'IWP28'!Std6dot1</vt:lpstr>
      <vt:lpstr>'IWP29'!Std6dot1</vt:lpstr>
      <vt:lpstr>'IWP30'!Std6dot1</vt:lpstr>
      <vt:lpstr>'Demand for Pmt. (Print)'!Total_Financial_Errors</vt:lpstr>
      <vt:lpstr>'Demand for Pmt. (Print)'!TotalAAA</vt:lpstr>
      <vt:lpstr>'Vehicle Checklist (Print)'!TotalNumVehicles</vt:lpstr>
      <vt:lpstr>'IWP01'!UnitsOfServicePeriod1</vt:lpstr>
      <vt:lpstr>'IWP02'!UnitsOfServicePeriod1</vt:lpstr>
      <vt:lpstr>'IWP03'!UnitsOfServicePeriod1</vt:lpstr>
      <vt:lpstr>'IWP04'!UnitsOfServicePeriod1</vt:lpstr>
      <vt:lpstr>'IWP05'!UnitsOfServicePeriod1</vt:lpstr>
      <vt:lpstr>'IWP06'!UnitsOfServicePeriod1</vt:lpstr>
      <vt:lpstr>'IWP07'!UnitsOfServicePeriod1</vt:lpstr>
      <vt:lpstr>'IWP08'!UnitsOfServicePeriod1</vt:lpstr>
      <vt:lpstr>'IWP09'!UnitsOfServicePeriod1</vt:lpstr>
      <vt:lpstr>'IWP10'!UnitsOfServicePeriod1</vt:lpstr>
      <vt:lpstr>'IWP11'!UnitsOfServicePeriod1</vt:lpstr>
      <vt:lpstr>'IWP12'!UnitsOfServicePeriod1</vt:lpstr>
      <vt:lpstr>'IWP13'!UnitsOfServicePeriod1</vt:lpstr>
      <vt:lpstr>'IWP14'!UnitsOfServicePeriod1</vt:lpstr>
      <vt:lpstr>'IWP15'!UnitsOfServicePeriod1</vt:lpstr>
      <vt:lpstr>'IWP16'!UnitsOfServicePeriod1</vt:lpstr>
      <vt:lpstr>'IWP17'!UnitsOfServicePeriod1</vt:lpstr>
      <vt:lpstr>'IWP18'!UnitsOfServicePeriod1</vt:lpstr>
      <vt:lpstr>'IWP19'!UnitsOfServicePeriod1</vt:lpstr>
      <vt:lpstr>'IWP20'!UnitsOfServicePeriod1</vt:lpstr>
      <vt:lpstr>'IWP21'!UnitsOfServicePeriod1</vt:lpstr>
      <vt:lpstr>'IWP22'!UnitsOfServicePeriod1</vt:lpstr>
      <vt:lpstr>'IWP23'!UnitsOfServicePeriod1</vt:lpstr>
      <vt:lpstr>'IWP24'!UnitsOfServicePeriod1</vt:lpstr>
      <vt:lpstr>'IWP25'!UnitsOfServicePeriod1</vt:lpstr>
      <vt:lpstr>'IWP26'!UnitsOfServicePeriod1</vt:lpstr>
      <vt:lpstr>'IWP27'!UnitsOfServicePeriod1</vt:lpstr>
      <vt:lpstr>'IWP28'!UnitsOfServicePeriod1</vt:lpstr>
      <vt:lpstr>'IWP29'!UnitsOfServicePeriod1</vt:lpstr>
      <vt:lpstr>'IWP30'!UnitsOfServicePeriod1</vt:lpstr>
      <vt:lpstr>'IWP01'!UnitsOfServicePeriod2</vt:lpstr>
      <vt:lpstr>'IWP02'!UnitsOfServicePeriod2</vt:lpstr>
      <vt:lpstr>'IWP03'!UnitsOfServicePeriod2</vt:lpstr>
      <vt:lpstr>'IWP04'!UnitsOfServicePeriod2</vt:lpstr>
      <vt:lpstr>'IWP05'!UnitsOfServicePeriod2</vt:lpstr>
      <vt:lpstr>'IWP06'!UnitsOfServicePeriod2</vt:lpstr>
      <vt:lpstr>'IWP07'!UnitsOfServicePeriod2</vt:lpstr>
      <vt:lpstr>'IWP08'!UnitsOfServicePeriod2</vt:lpstr>
      <vt:lpstr>'IWP09'!UnitsOfServicePeriod2</vt:lpstr>
      <vt:lpstr>'IWP10'!UnitsOfServicePeriod2</vt:lpstr>
      <vt:lpstr>'IWP11'!UnitsOfServicePeriod2</vt:lpstr>
      <vt:lpstr>'IWP12'!UnitsOfServicePeriod2</vt:lpstr>
      <vt:lpstr>'IWP13'!UnitsOfServicePeriod2</vt:lpstr>
      <vt:lpstr>'IWP14'!UnitsOfServicePeriod2</vt:lpstr>
      <vt:lpstr>'IWP15'!UnitsOfServicePeriod2</vt:lpstr>
      <vt:lpstr>'IWP16'!UnitsOfServicePeriod2</vt:lpstr>
      <vt:lpstr>'IWP17'!UnitsOfServicePeriod2</vt:lpstr>
      <vt:lpstr>'IWP18'!UnitsOfServicePeriod2</vt:lpstr>
      <vt:lpstr>'IWP19'!UnitsOfServicePeriod2</vt:lpstr>
      <vt:lpstr>'IWP20'!UnitsOfServicePeriod2</vt:lpstr>
      <vt:lpstr>'IWP21'!UnitsOfServicePeriod2</vt:lpstr>
      <vt:lpstr>'IWP22'!UnitsOfServicePeriod2</vt:lpstr>
      <vt:lpstr>'IWP23'!UnitsOfServicePeriod2</vt:lpstr>
      <vt:lpstr>'IWP24'!UnitsOfServicePeriod2</vt:lpstr>
      <vt:lpstr>'IWP25'!UnitsOfServicePeriod2</vt:lpstr>
      <vt:lpstr>'IWP26'!UnitsOfServicePeriod2</vt:lpstr>
      <vt:lpstr>'IWP27'!UnitsOfServicePeriod2</vt:lpstr>
      <vt:lpstr>'IWP28'!UnitsOfServicePeriod2</vt:lpstr>
      <vt:lpstr>'IWP29'!UnitsOfServicePeriod2</vt:lpstr>
      <vt:lpstr>'IWP30'!UnitsOfServicePeriod2</vt:lpstr>
      <vt:lpstr>'IWP01'!UnitsOfServiceTotalsPeriod1</vt:lpstr>
      <vt:lpstr>'IWP02'!UnitsOfServiceTotalsPeriod1</vt:lpstr>
      <vt:lpstr>'IWP03'!UnitsOfServiceTotalsPeriod1</vt:lpstr>
      <vt:lpstr>'IWP04'!UnitsOfServiceTotalsPeriod1</vt:lpstr>
      <vt:lpstr>'IWP05'!UnitsOfServiceTotalsPeriod1</vt:lpstr>
      <vt:lpstr>'IWP06'!UnitsOfServiceTotalsPeriod1</vt:lpstr>
      <vt:lpstr>'IWP07'!UnitsOfServiceTotalsPeriod1</vt:lpstr>
      <vt:lpstr>'IWP08'!UnitsOfServiceTotalsPeriod1</vt:lpstr>
      <vt:lpstr>'IWP09'!UnitsOfServiceTotalsPeriod1</vt:lpstr>
      <vt:lpstr>'IWP10'!UnitsOfServiceTotalsPeriod1</vt:lpstr>
      <vt:lpstr>'IWP11'!UnitsOfServiceTotalsPeriod1</vt:lpstr>
      <vt:lpstr>'IWP12'!UnitsOfServiceTotalsPeriod1</vt:lpstr>
      <vt:lpstr>'IWP13'!UnitsOfServiceTotalsPeriod1</vt:lpstr>
      <vt:lpstr>'IWP14'!UnitsOfServiceTotalsPeriod1</vt:lpstr>
      <vt:lpstr>'IWP15'!UnitsOfServiceTotalsPeriod1</vt:lpstr>
      <vt:lpstr>'IWP16'!UnitsOfServiceTotalsPeriod1</vt:lpstr>
      <vt:lpstr>'IWP17'!UnitsOfServiceTotalsPeriod1</vt:lpstr>
      <vt:lpstr>'IWP18'!UnitsOfServiceTotalsPeriod1</vt:lpstr>
      <vt:lpstr>'IWP19'!UnitsOfServiceTotalsPeriod1</vt:lpstr>
      <vt:lpstr>'IWP20'!UnitsOfServiceTotalsPeriod1</vt:lpstr>
      <vt:lpstr>'IWP21'!UnitsOfServiceTotalsPeriod1</vt:lpstr>
      <vt:lpstr>'IWP22'!UnitsOfServiceTotalsPeriod1</vt:lpstr>
      <vt:lpstr>'IWP23'!UnitsOfServiceTotalsPeriod1</vt:lpstr>
      <vt:lpstr>'IWP24'!UnitsOfServiceTotalsPeriod1</vt:lpstr>
      <vt:lpstr>'IWP25'!UnitsOfServiceTotalsPeriod1</vt:lpstr>
      <vt:lpstr>'IWP26'!UnitsOfServiceTotalsPeriod1</vt:lpstr>
      <vt:lpstr>'IWP27'!UnitsOfServiceTotalsPeriod1</vt:lpstr>
      <vt:lpstr>'IWP28'!UnitsOfServiceTotalsPeriod1</vt:lpstr>
      <vt:lpstr>'IWP29'!UnitsOfServiceTotalsPeriod1</vt:lpstr>
      <vt:lpstr>'IWP30'!UnitsOfServiceTotalsPeriod1</vt:lpstr>
      <vt:lpstr>'IWP01'!UnitsOfServiceTotalsPeriod2</vt:lpstr>
      <vt:lpstr>'IWP02'!UnitsOfServiceTotalsPeriod2</vt:lpstr>
      <vt:lpstr>'IWP03'!UnitsOfServiceTotalsPeriod2</vt:lpstr>
      <vt:lpstr>'IWP04'!UnitsOfServiceTotalsPeriod2</vt:lpstr>
      <vt:lpstr>'IWP05'!UnitsOfServiceTotalsPeriod2</vt:lpstr>
      <vt:lpstr>'IWP06'!UnitsOfServiceTotalsPeriod2</vt:lpstr>
      <vt:lpstr>'IWP07'!UnitsOfServiceTotalsPeriod2</vt:lpstr>
      <vt:lpstr>'IWP08'!UnitsOfServiceTotalsPeriod2</vt:lpstr>
      <vt:lpstr>'IWP09'!UnitsOfServiceTotalsPeriod2</vt:lpstr>
      <vt:lpstr>'IWP10'!UnitsOfServiceTotalsPeriod2</vt:lpstr>
      <vt:lpstr>'IWP11'!UnitsOfServiceTotalsPeriod2</vt:lpstr>
      <vt:lpstr>'IWP12'!UnitsOfServiceTotalsPeriod2</vt:lpstr>
      <vt:lpstr>'IWP13'!UnitsOfServiceTotalsPeriod2</vt:lpstr>
      <vt:lpstr>'IWP14'!UnitsOfServiceTotalsPeriod2</vt:lpstr>
      <vt:lpstr>'IWP15'!UnitsOfServiceTotalsPeriod2</vt:lpstr>
      <vt:lpstr>'IWP16'!UnitsOfServiceTotalsPeriod2</vt:lpstr>
      <vt:lpstr>'IWP17'!UnitsOfServiceTotalsPeriod2</vt:lpstr>
      <vt:lpstr>'IWP18'!UnitsOfServiceTotalsPeriod2</vt:lpstr>
      <vt:lpstr>'IWP19'!UnitsOfServiceTotalsPeriod2</vt:lpstr>
      <vt:lpstr>'IWP20'!UnitsOfServiceTotalsPeriod2</vt:lpstr>
      <vt:lpstr>'IWP21'!UnitsOfServiceTotalsPeriod2</vt:lpstr>
      <vt:lpstr>'IWP22'!UnitsOfServiceTotalsPeriod2</vt:lpstr>
      <vt:lpstr>'IWP23'!UnitsOfServiceTotalsPeriod2</vt:lpstr>
      <vt:lpstr>'IWP24'!UnitsOfServiceTotalsPeriod2</vt:lpstr>
      <vt:lpstr>'IWP25'!UnitsOfServiceTotalsPeriod2</vt:lpstr>
      <vt:lpstr>'IWP26'!UnitsOfServiceTotalsPeriod2</vt:lpstr>
      <vt:lpstr>'IWP27'!UnitsOfServiceTotalsPeriod2</vt:lpstr>
      <vt:lpstr>'IWP28'!UnitsOfServiceTotalsPeriod2</vt:lpstr>
      <vt:lpstr>'IWP29'!UnitsOfServiceTotalsPeriod2</vt:lpstr>
      <vt:lpstr>'IWP30'!UnitsOfServiceTotalsPeriod2</vt:lpstr>
      <vt:lpstr>'Vehicle Checklist (Print)'!VehicleInfo</vt:lpstr>
      <vt:lpstr>Data!XdahsComplianceSummary</vt:lpstr>
      <vt:lpstr>Data!XdahsEmployeeReqs</vt:lpstr>
      <vt:lpstr>Data!XdahsIwpData</vt:lpstr>
      <vt:lpstr>Data!XdahsIwpUnitsOfSvc</vt:lpstr>
      <vt:lpstr>Data!XdahsIwpUnitsOfSvcTotals</vt:lpstr>
      <vt:lpstr>Data!XdahsMonitoringWbk1</vt:lpstr>
      <vt:lpstr>Data!XdahsMonWbkStd3dot2Drivers</vt:lpstr>
      <vt:lpstr>Data!XdahsVehicleChkList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Nelson,Rose M (HHSC/DADS)</dc:creator>
  <cp:lastModifiedBy>Nelson,Rose M (HHSC)</cp:lastModifiedBy>
  <dcterms:created xsi:type="dcterms:W3CDTF">2006-09-16T00:00:00Z</dcterms:created>
  <dcterms:modified xsi:type="dcterms:W3CDTF">2024-02-07T15:24:17Z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8ecd3a71-b1bd-41a0-9608-ed1c4dbd77d1</vt:lpwstr>
  </property>
  <property fmtid="{D5CDD505-2E9C-101B-9397-08002B2CF9AE}" pid="3" name="ContentTypeId">
    <vt:lpwstr>0x010100FC9838E71788CA4FAA0BF7588A02EAF4</vt:lpwstr>
  </property>
</Properties>
</file>