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7235" windowHeight="5190" tabRatio="653"/>
  </bookViews>
  <sheets>
    <sheet name="General Information" sheetId="1" r:id="rId1"/>
    <sheet name="Consumer Information &amp; Approval" sheetId="2" r:id="rId2"/>
    <sheet name="Notes" sheetId="3" r:id="rId3"/>
    <sheet name="Authorized Units &amp; Budget" sheetId="4" r:id="rId4"/>
    <sheet name="ESS &amp; Non-Taxable" sheetId="12" r:id="rId5"/>
    <sheet name="CFC Taxable Wage &amp; Comp" sheetId="10" r:id="rId6"/>
    <sheet name="Non-CFC Taxable Wage &amp; Comp" sheetId="6" r:id="rId7"/>
    <sheet name="Quarterly Report" sheetId="9" r:id="rId8"/>
    <sheet name="Definitions" sheetId="8" r:id="rId9"/>
  </sheets>
  <externalReferences>
    <externalReference r:id="rId10"/>
    <externalReference r:id="rId11"/>
    <externalReference r:id="rId12"/>
  </externalReferences>
  <definedNames>
    <definedName name="Admin" localSheetId="5">#REF!</definedName>
    <definedName name="Admin" localSheetId="4">#REF!</definedName>
    <definedName name="Admin">#REF!</definedName>
    <definedName name="Auth_SC_Amount">'[1]ESS &amp; Non-Taxable'!$J$28</definedName>
    <definedName name="AuthAA" localSheetId="5">'[1]Authorized Units &amp; Budget'!#REF!</definedName>
    <definedName name="AuthAA" localSheetId="4">'[1]Authorized Units &amp; Budget'!#REF!</definedName>
    <definedName name="AuthAA">'[1]Authorized Units &amp; Budget'!#REF!</definedName>
    <definedName name="AuthCFC">'Authorized Units &amp; Budget'!$B$19</definedName>
    <definedName name="AuthCRT">'Authorized Units &amp; Budget'!$B$61</definedName>
    <definedName name="AuthDental" localSheetId="5">'[1]Authorized Units &amp; Budget'!#REF!</definedName>
    <definedName name="AuthDental" localSheetId="4">'[1]Authorized Units &amp; Budget'!#REF!</definedName>
    <definedName name="AuthDental">'[1]Authorized Units &amp; Budget'!#REF!</definedName>
    <definedName name="AuthEA">'Authorized Units &amp; Budget'!$B$56</definedName>
    <definedName name="AuthLVN">'Authorized Units &amp; Budget'!$B$36</definedName>
    <definedName name="AuthMHM" localSheetId="5">'[1]Authorized Units &amp; Budget'!#REF!</definedName>
    <definedName name="AuthMHM" localSheetId="4">'[1]Authorized Units &amp; Budget'!#REF!</definedName>
    <definedName name="AuthMHM">'[1]Authorized Units &amp; Budget'!#REF!</definedName>
    <definedName name="Authorized_Daily_Respite_Units" localSheetId="5">'[1]Authorized Units &amp; Budget'!#REF!</definedName>
    <definedName name="Authorized_Daily_Respite_Units" localSheetId="4">'[1]Authorized Units &amp; Budget'!#REF!</definedName>
    <definedName name="Authorized_Daily_Respite_Units">'[1]Authorized Units &amp; Budget'!#REF!</definedName>
    <definedName name="Authorized_Hourly_Respite_Hours">'[1]Authorized Units &amp; Budget'!$B$21</definedName>
    <definedName name="Authorized_SHL_Hours">'[1]Authorized Units &amp; Budget'!$B$15</definedName>
    <definedName name="AuthRespite">'Authorized Units &amp; Budget'!$B$25</definedName>
    <definedName name="AuthRN">'Authorized Units &amp; Budget'!$B$31</definedName>
    <definedName name="AuthSCS">'ESS &amp; Non-Taxable'!$H$39</definedName>
    <definedName name="AuthSE">'Authorized Units &amp; Budget'!$B$51</definedName>
    <definedName name="AuthSHL">'Authorized Units &amp; Budget'!$B$19</definedName>
    <definedName name="AuthSpLVN">'Authorized Units &amp; Budget'!$B$46</definedName>
    <definedName name="AuthSpRN">'Authorized Units &amp; Budget'!$B$41</definedName>
    <definedName name="Avail_for_SC">'[1]ESS &amp; Non-Taxable'!$G$26</definedName>
    <definedName name="Benefits" localSheetId="5">#REF!</definedName>
    <definedName name="Benefits" localSheetId="4">#REF!</definedName>
    <definedName name="Benefits">#REF!</definedName>
    <definedName name="Budget_Balance">'[1]Taxable Wage &amp; Compensation'!$L$11</definedName>
    <definedName name="CFCBudget">'Authorized Units &amp; Budget'!$B$11</definedName>
    <definedName name="CFCRate">'Authorized Units &amp; Budget'!$B$21</definedName>
    <definedName name="Client" localSheetId="5">#REF!</definedName>
    <definedName name="Client" localSheetId="4">#REF!</definedName>
    <definedName name="Client">#REF!</definedName>
    <definedName name="Client_Name" localSheetId="5">#REF!</definedName>
    <definedName name="Client_Name" localSheetId="4">#REF!</definedName>
    <definedName name="Client_Name">#REF!</definedName>
    <definedName name="CMPAS_Rate" localSheetId="5">#REF!</definedName>
    <definedName name="CMPAS_Rate" localSheetId="4">#REF!</definedName>
    <definedName name="CMPAS_Rate">#REF!</definedName>
    <definedName name="Consumer_Name" localSheetId="7">'[1]Consumer Information &amp; Approval'!$D$5</definedName>
    <definedName name="Consumer_Name">'Consumer Information &amp; Approval'!$D$5</definedName>
    <definedName name="CRTDollars">'[1]Authorized Units &amp; Budget'!$B$59</definedName>
    <definedName name="CRTHrs">'[1]Authorized Units &amp; Budget'!$B$57</definedName>
    <definedName name="CRTRAte">'Authorized Units &amp; Budget'!$B$62</definedName>
    <definedName name="Dental_AA_MHM" localSheetId="5">'[1]Authorized Units &amp; Budget'!#REF!</definedName>
    <definedName name="Dental_AA_MHM" localSheetId="4">'[1]Authorized Units &amp; Budget'!#REF!</definedName>
    <definedName name="Dental_AA_MHM">'[1]Authorized Units &amp; Budget'!#REF!</definedName>
    <definedName name="DR_LAR">'Consumer Information &amp; Approval'!$E$18</definedName>
    <definedName name="EADollars">'[1]Authorized Units &amp; Budget'!$B$54</definedName>
    <definedName name="EAHrs">'[1]Authorized Units &amp; Budget'!$B$52</definedName>
    <definedName name="EARate">'Authorized Units &amp; Budget'!$B$57</definedName>
    <definedName name="Employer_Tax" localSheetId="5">#REF!</definedName>
    <definedName name="Employer_Tax" localSheetId="4">#REF!</definedName>
    <definedName name="Employer_Tax">#REF!</definedName>
    <definedName name="ESS_Amount">'[1]ESS &amp; Non-Taxable'!$G$12</definedName>
    <definedName name="ESS_Budget">'[1]ESS &amp; Non-Taxable'!$J$12</definedName>
    <definedName name="ESS_Purchases">'[1]ESS &amp; Non-Taxable'!$G$23</definedName>
    <definedName name="ESSPurchases">'ESS &amp; Non-Taxable'!$H$33</definedName>
    <definedName name="FICA">'CFC Taxable Wage &amp; Comp'!$Q$14</definedName>
    <definedName name="From" localSheetId="7">'[1]Consumer Information &amp; Approval'!$D$23</definedName>
    <definedName name="From">'Consumer Information &amp; Approval'!$D$23</definedName>
    <definedName name="FUTA">'CFC Taxable Wage &amp; Comp'!$Q$13</definedName>
    <definedName name="FUTA_Max">'CFC Taxable Wage &amp; Comp'!$Q$10</definedName>
    <definedName name="Hourly" localSheetId="5">#REF!</definedName>
    <definedName name="Hourly" localSheetId="4">#REF!</definedName>
    <definedName name="Hourly">#REF!</definedName>
    <definedName name="Hourly_Back" localSheetId="5">#REF!</definedName>
    <definedName name="Hourly_Back" localSheetId="4">#REF!</definedName>
    <definedName name="Hourly_Back">#REF!</definedName>
    <definedName name="Hourly_Max" localSheetId="5">#REF!</definedName>
    <definedName name="Hourly_Max" localSheetId="4">#REF!</definedName>
    <definedName name="Hourly_Max">#REF!</definedName>
    <definedName name="Hourly_Min" localSheetId="5">#REF!</definedName>
    <definedName name="Hourly_Min" localSheetId="4">#REF!</definedName>
    <definedName name="Hourly_Min">#REF!</definedName>
    <definedName name="Hourly_Reg" localSheetId="5">#REF!</definedName>
    <definedName name="Hourly_Reg" localSheetId="4">#REF!</definedName>
    <definedName name="Hourly_Reg">#REF!</definedName>
    <definedName name="Hourly_Respite_Rate">'[1]Authorized Units &amp; Budget'!$G$18</definedName>
    <definedName name="Hourly_Total" localSheetId="5">#REF!</definedName>
    <definedName name="Hourly_Total" localSheetId="4">#REF!</definedName>
    <definedName name="Hourly_Total">#REF!</definedName>
    <definedName name="IndName">'Consumer Information &amp; Approval'!$D$5</definedName>
    <definedName name="LVNRate">'Authorized Units &amp; Budget'!$B$37</definedName>
    <definedName name="Max_Admin">'[2]Admin &amp; Compensation'!$F$38</definedName>
    <definedName name="Medicaid_Number" localSheetId="7">'[1]Consumer Information &amp; Approval'!$D$7</definedName>
    <definedName name="Medicaid_Number">'Consumer Information &amp; Approval'!$D$7</definedName>
    <definedName name="Medicare">'CFC Taxable Wage &amp; Comp'!$Q$15</definedName>
    <definedName name="MedID">'Consumer Information &amp; Approval'!$D$7</definedName>
    <definedName name="Name" localSheetId="5">#REF!</definedName>
    <definedName name="Name" localSheetId="4">#REF!</definedName>
    <definedName name="Name">#REF!</definedName>
    <definedName name="Non_Taxable">'[1]ESS &amp; Non-Taxable'!$G$41</definedName>
    <definedName name="NONCFCBudget">'Authorized Units &amp; Budget'!$B$12</definedName>
    <definedName name="NonTaxableCosts">'ESS &amp; Non-Taxable'!$H$54</definedName>
    <definedName name="NULHrs">'[3]Authorized Units &amp; Budget'!$D$36</definedName>
    <definedName name="NULSHrs">'[3]Authorized Units &amp; Budget'!$D$46</definedName>
    <definedName name="NULVNDollars">'[1]Authorized Units &amp; Budget'!$B$34</definedName>
    <definedName name="NULVNHrs">'[1]Authorized Units &amp; Budget'!$B$32</definedName>
    <definedName name="Number" localSheetId="5">#REF!</definedName>
    <definedName name="Number" localSheetId="4">#REF!</definedName>
    <definedName name="Number">#REF!</definedName>
    <definedName name="NURHrs">'[3]Authorized Units &amp; Budget'!$D$31</definedName>
    <definedName name="NURNDollars">'[1]Authorized Units &amp; Budget'!$B$29</definedName>
    <definedName name="NURNHrs">'[1]Authorized Units &amp; Budget'!$B$27</definedName>
    <definedName name="NURSHrs">'[3]Authorized Units &amp; Budget'!$D$41</definedName>
    <definedName name="OTDollars">'[3]Authorized Units &amp; Budget'!$D$58</definedName>
    <definedName name="OTHrs">'[3]Authorized Units &amp; Budget'!$D$56</definedName>
    <definedName name="_xlnm.Print_Area" localSheetId="5">'CFC Taxable Wage &amp; Comp'!$B$2:$L$87</definedName>
    <definedName name="_xlnm.Print_Area" localSheetId="6">'Non-CFC Taxable Wage &amp; Comp'!$B$2:$L$119</definedName>
    <definedName name="_xlnm.Print_Area" localSheetId="7">'Quarterly Report'!$B$1:$H$163</definedName>
    <definedName name="_xlnm.Print_Titles" localSheetId="7">'Quarterly Report'!$1:$13</definedName>
    <definedName name="Program" localSheetId="5">#REF!</definedName>
    <definedName name="Program" localSheetId="4">#REF!</definedName>
    <definedName name="Program">#REF!</definedName>
    <definedName name="PTDollars">'[3]Authorized Units &amp; Budget'!$D$53</definedName>
    <definedName name="PTHrs">'[3]Authorized Units &amp; Budget'!$D$51</definedName>
    <definedName name="RespiteRate">'Authorized Units &amp; Budget'!$B$27</definedName>
    <definedName name="RNRate">'Authorized Units &amp; Budget'!$B$32</definedName>
    <definedName name="SC_funded_by_ESS">'[1]ESS &amp; Non-Taxable'!$G$29</definedName>
    <definedName name="SC_funded_outside_ESS">'[1]ESS &amp; Non-Taxable'!$G$30</definedName>
    <definedName name="SC_Units">'[1]ESS &amp; Non-Taxable'!$G$28</definedName>
    <definedName name="SCSRate">'ESS &amp; Non-Taxable'!$K$37</definedName>
    <definedName name="SEDollars">'[1]Authorized Units &amp; Budget'!$B$49</definedName>
    <definedName name="SEHrs">'[1]Authorized Units &amp; Budget'!$B$47</definedName>
    <definedName name="SERate">'Authorized Units &amp; Budget'!$B$52</definedName>
    <definedName name="SHL_Rate">'[1]Authorized Units &amp; Budget'!$G$17</definedName>
    <definedName name="SPDollars">'[3]Authorized Units &amp; Budget'!$D$63</definedName>
    <definedName name="SpecLVNRate">'Authorized Units &amp; Budget'!$B$47</definedName>
    <definedName name="SpecRNRate">'Authorized Units &amp; Budget'!$B$42</definedName>
    <definedName name="SPHrs">'[3]Authorized Units &amp; Budget'!$D$61</definedName>
    <definedName name="SpLVNDollars">'[1]Authorized Units &amp; Budget'!$B$44</definedName>
    <definedName name="SpLVNHrs">'[1]Authorized Units &amp; Budget'!$B$42</definedName>
    <definedName name="SpRNDollars">'[1]Authorized Units &amp; Budget'!$B$39</definedName>
    <definedName name="SpRNHrs">'[1]Authorized Units &amp; Budget'!$B$37</definedName>
    <definedName name="SUTA" localSheetId="5">#REF!</definedName>
    <definedName name="SUTA" localSheetId="4">#REF!</definedName>
    <definedName name="SUTA">#REF!</definedName>
    <definedName name="SUTA_Max">'CFC Taxable Wage &amp; Comp'!$Q$11</definedName>
    <definedName name="Taxable">'[1]ESS &amp; Non-Taxable'!$G$45</definedName>
    <definedName name="To" localSheetId="7">'[1]Consumer Information &amp; Approval'!$F$23</definedName>
    <definedName name="To">'Consumer Information &amp; Approval'!$F$23</definedName>
    <definedName name="Total_Budget" localSheetId="7">'[1]Authorized Units &amp; Budget'!$B$10</definedName>
    <definedName name="Total_Budget">'Authorized Units &amp; Budget'!$B$14</definedName>
    <definedName name="Total_ESS_Costs">'[1]ESS &amp; Non-Taxable'!$G$32</definedName>
    <definedName name="Total_LVN_Dollars">'[3]Authorized Units &amp; Budget'!$D$38</definedName>
    <definedName name="Total_RN_Dollars">'[3]Authorized Units &amp; Budget'!$D$33</definedName>
    <definedName name="Total_SC_Costs">'[1]ESS &amp; Non-Taxable'!$G$31</definedName>
    <definedName name="Total_SpLVN_Dollars">'[3]Authorized Units &amp; Budget'!$D$48</definedName>
    <definedName name="Total_SpRN_Dollars">'[3]Authorized Units &amp; Budget'!$D$43</definedName>
    <definedName name="Total_Tax">'CFC Taxable Wage &amp; Comp'!$Q$16</definedName>
    <definedName name="TotalSCSCosts">'ESS &amp; Non-Taxable'!$H$42</definedName>
    <definedName name="Units" localSheetId="5">#REF!</definedName>
    <definedName name="Units" localSheetId="4">#REF!</definedName>
    <definedName name="Units">#REF!</definedName>
    <definedName name="Weeks">'Consumer Information &amp; Approval'!$J$23</definedName>
  </definedNames>
  <calcPr calcId="145621"/>
</workbook>
</file>

<file path=xl/calcChain.xml><?xml version="1.0" encoding="utf-8"?>
<calcChain xmlns="http://schemas.openxmlformats.org/spreadsheetml/2006/main">
  <c r="G12" i="6" l="1"/>
  <c r="K210" i="6"/>
  <c r="O214" i="6"/>
  <c r="P214" i="6" s="1"/>
  <c r="H197" i="6" s="1"/>
  <c r="I215" i="6"/>
  <c r="I216" i="6"/>
  <c r="I217" i="6"/>
  <c r="I218" i="6"/>
  <c r="I219" i="6"/>
  <c r="K135" i="6"/>
  <c r="O139" i="6"/>
  <c r="P139" i="6" s="1"/>
  <c r="H122" i="6" s="1"/>
  <c r="I140" i="6"/>
  <c r="I141" i="6"/>
  <c r="I142" i="6"/>
  <c r="I143" i="6"/>
  <c r="I144" i="6"/>
  <c r="K160" i="6"/>
  <c r="O164" i="6"/>
  <c r="P164" i="6"/>
  <c r="H147" i="6" s="1"/>
  <c r="I165" i="6"/>
  <c r="I166" i="6"/>
  <c r="I167" i="6"/>
  <c r="I168" i="6"/>
  <c r="I169" i="6"/>
  <c r="K185" i="6"/>
  <c r="O189" i="6"/>
  <c r="P189" i="6" s="1"/>
  <c r="H172" i="6" s="1"/>
  <c r="I190" i="6"/>
  <c r="I191" i="6"/>
  <c r="I192" i="6"/>
  <c r="I193" i="6"/>
  <c r="I194" i="6"/>
  <c r="G12" i="10"/>
  <c r="K95" i="10"/>
  <c r="O99" i="10"/>
  <c r="P99" i="10"/>
  <c r="H90" i="10" s="1"/>
  <c r="I94" i="10" s="1"/>
  <c r="K94" i="10" s="1"/>
  <c r="J90" i="10" s="1"/>
  <c r="I100" i="10"/>
  <c r="I101" i="10"/>
  <c r="I102" i="10"/>
  <c r="I103" i="10"/>
  <c r="I104" i="10"/>
  <c r="K112" i="10"/>
  <c r="O116" i="10"/>
  <c r="P116" i="10" s="1"/>
  <c r="H107" i="10" s="1"/>
  <c r="I111" i="10" s="1"/>
  <c r="K111" i="10" s="1"/>
  <c r="J107" i="10" s="1"/>
  <c r="I117" i="10"/>
  <c r="I118" i="10"/>
  <c r="I119" i="10"/>
  <c r="I120" i="10"/>
  <c r="I121" i="10"/>
  <c r="K129" i="10"/>
  <c r="O133" i="10"/>
  <c r="P133" i="10"/>
  <c r="H124" i="10" s="1"/>
  <c r="I128" i="10" s="1"/>
  <c r="K128" i="10" s="1"/>
  <c r="J124" i="10" s="1"/>
  <c r="I134" i="10"/>
  <c r="I135" i="10"/>
  <c r="I136" i="10"/>
  <c r="I137" i="10"/>
  <c r="I138" i="10"/>
  <c r="K146" i="10"/>
  <c r="O150" i="10"/>
  <c r="P150" i="10" s="1"/>
  <c r="H141" i="10" s="1"/>
  <c r="I145" i="10" s="1"/>
  <c r="K145" i="10" s="1"/>
  <c r="J141" i="10" s="1"/>
  <c r="I151" i="10"/>
  <c r="I152" i="10"/>
  <c r="I153" i="10"/>
  <c r="I154" i="10"/>
  <c r="I155" i="10"/>
  <c r="I201" i="6" l="1"/>
  <c r="K201" i="6" s="1"/>
  <c r="I202" i="6"/>
  <c r="K202" i="6" s="1"/>
  <c r="I203" i="6"/>
  <c r="K203" i="6" s="1"/>
  <c r="I204" i="6"/>
  <c r="K204" i="6" s="1"/>
  <c r="I205" i="6"/>
  <c r="K205" i="6" s="1"/>
  <c r="I206" i="6"/>
  <c r="K206" i="6" s="1"/>
  <c r="I207" i="6"/>
  <c r="K207" i="6" s="1"/>
  <c r="I208" i="6"/>
  <c r="K208" i="6" s="1"/>
  <c r="I209" i="6"/>
  <c r="K209" i="6" s="1"/>
  <c r="I151" i="6"/>
  <c r="K151" i="6" s="1"/>
  <c r="I152" i="6"/>
  <c r="K152" i="6" s="1"/>
  <c r="I153" i="6"/>
  <c r="K153" i="6" s="1"/>
  <c r="I154" i="6"/>
  <c r="K154" i="6" s="1"/>
  <c r="I155" i="6"/>
  <c r="K155" i="6" s="1"/>
  <c r="I156" i="6"/>
  <c r="K156" i="6" s="1"/>
  <c r="I157" i="6"/>
  <c r="K157" i="6" s="1"/>
  <c r="I158" i="6"/>
  <c r="K158" i="6" s="1"/>
  <c r="I159" i="6"/>
  <c r="K159" i="6" s="1"/>
  <c r="I126" i="6"/>
  <c r="K126" i="6" s="1"/>
  <c r="I127" i="6"/>
  <c r="K127" i="6" s="1"/>
  <c r="I128" i="6"/>
  <c r="K128" i="6" s="1"/>
  <c r="I129" i="6"/>
  <c r="K129" i="6" s="1"/>
  <c r="I130" i="6"/>
  <c r="K130" i="6" s="1"/>
  <c r="I131" i="6"/>
  <c r="K131" i="6" s="1"/>
  <c r="I132" i="6"/>
  <c r="K132" i="6" s="1"/>
  <c r="I133" i="6"/>
  <c r="K133" i="6" s="1"/>
  <c r="I134" i="6"/>
  <c r="K134" i="6" s="1"/>
  <c r="I176" i="6"/>
  <c r="K176" i="6" s="1"/>
  <c r="I177" i="6"/>
  <c r="K177" i="6" s="1"/>
  <c r="I178" i="6"/>
  <c r="K178" i="6" s="1"/>
  <c r="I179" i="6"/>
  <c r="K179" i="6" s="1"/>
  <c r="I180" i="6"/>
  <c r="K180" i="6" s="1"/>
  <c r="I181" i="6"/>
  <c r="K181" i="6" s="1"/>
  <c r="I182" i="6"/>
  <c r="K182" i="6" s="1"/>
  <c r="I183" i="6"/>
  <c r="K183" i="6" s="1"/>
  <c r="I184" i="6"/>
  <c r="K184" i="6" s="1"/>
  <c r="Q106" i="10"/>
  <c r="Q107" i="10"/>
  <c r="K107" i="10" s="1"/>
  <c r="L107" i="10" s="1"/>
  <c r="N107" i="10" s="1"/>
  <c r="Q123" i="10"/>
  <c r="Q124" i="10"/>
  <c r="K124" i="10" s="1"/>
  <c r="L124" i="10" s="1"/>
  <c r="N124" i="10" s="1"/>
  <c r="Q140" i="10"/>
  <c r="Q141" i="10"/>
  <c r="K141" i="10" s="1"/>
  <c r="L141" i="10" s="1"/>
  <c r="N141" i="10" s="1"/>
  <c r="Q89" i="10"/>
  <c r="Q90" i="10"/>
  <c r="K90" i="10" s="1"/>
  <c r="L90" i="10" s="1"/>
  <c r="N90" i="10" s="1"/>
  <c r="F142" i="9"/>
  <c r="F140" i="9"/>
  <c r="F141" i="9"/>
  <c r="F139" i="9"/>
  <c r="D142" i="9"/>
  <c r="D140" i="9"/>
  <c r="D141" i="9"/>
  <c r="D139" i="9"/>
  <c r="F101" i="9"/>
  <c r="F102" i="9"/>
  <c r="F103" i="9"/>
  <c r="F100" i="9"/>
  <c r="F104" i="9" s="1"/>
  <c r="G105" i="9" s="1"/>
  <c r="D101" i="9"/>
  <c r="D102" i="9"/>
  <c r="D103" i="9"/>
  <c r="D100" i="9"/>
  <c r="D104" i="9" s="1"/>
  <c r="E105" i="9" s="1"/>
  <c r="E104" i="9"/>
  <c r="G104" i="9"/>
  <c r="J197" i="6" l="1"/>
  <c r="J122" i="6"/>
  <c r="J172" i="6"/>
  <c r="J147" i="6"/>
  <c r="I83" i="6"/>
  <c r="K83" i="6"/>
  <c r="I58" i="6"/>
  <c r="I33" i="6"/>
  <c r="K58" i="6"/>
  <c r="K33" i="6"/>
  <c r="K108" i="6"/>
  <c r="I108" i="6"/>
  <c r="B12" i="4"/>
  <c r="B68" i="4"/>
  <c r="Q196" i="6" l="1"/>
  <c r="Q197" i="6"/>
  <c r="K197" i="6" s="1"/>
  <c r="L197" i="6" s="1"/>
  <c r="N197" i="6" s="1"/>
  <c r="Q171" i="6"/>
  <c r="Q172" i="6"/>
  <c r="K172" i="6" s="1"/>
  <c r="L172" i="6" s="1"/>
  <c r="N172" i="6" s="1"/>
  <c r="Q146" i="6"/>
  <c r="L147" i="6"/>
  <c r="N147" i="6" s="1"/>
  <c r="Q147" i="6"/>
  <c r="K147" i="6" s="1"/>
  <c r="Q121" i="6"/>
  <c r="Q122" i="6"/>
  <c r="K122" i="6" s="1"/>
  <c r="L122" i="6" s="1"/>
  <c r="N122" i="6" s="1"/>
  <c r="P114" i="6"/>
  <c r="H97" i="6" s="1"/>
  <c r="O114" i="6"/>
  <c r="P89" i="6"/>
  <c r="H72" i="6" s="1"/>
  <c r="O89" i="6"/>
  <c r="H22" i="6"/>
  <c r="H47" i="6"/>
  <c r="P64" i="6"/>
  <c r="O64" i="6"/>
  <c r="P39" i="6"/>
  <c r="O39" i="6"/>
  <c r="P82" i="10"/>
  <c r="H73" i="10" s="1"/>
  <c r="O82" i="10"/>
  <c r="P65" i="10"/>
  <c r="H56" i="10" s="1"/>
  <c r="O65" i="10"/>
  <c r="P48" i="10"/>
  <c r="H39" i="10" s="1"/>
  <c r="O48" i="10"/>
  <c r="H22" i="10"/>
  <c r="P31" i="10"/>
  <c r="O31" i="10"/>
  <c r="F5" i="9" l="1"/>
  <c r="C5" i="9"/>
  <c r="I76" i="6" l="1"/>
  <c r="K76" i="6" s="1"/>
  <c r="I77" i="6"/>
  <c r="K77" i="6" s="1"/>
  <c r="I78" i="6"/>
  <c r="K78" i="6" s="1"/>
  <c r="I79" i="6"/>
  <c r="K79" i="6" s="1"/>
  <c r="I80" i="6"/>
  <c r="K80" i="6" s="1"/>
  <c r="I81" i="6"/>
  <c r="K81" i="6" s="1"/>
  <c r="I82" i="6"/>
  <c r="K82" i="6" s="1"/>
  <c r="I84" i="6"/>
  <c r="K84" i="6" s="1"/>
  <c r="K85" i="6"/>
  <c r="I90" i="6"/>
  <c r="I91" i="6"/>
  <c r="I92" i="6"/>
  <c r="I93" i="6"/>
  <c r="I94" i="6"/>
  <c r="I101" i="6"/>
  <c r="K101" i="6" s="1"/>
  <c r="I102" i="6"/>
  <c r="K102" i="6"/>
  <c r="I103" i="6"/>
  <c r="K103" i="6"/>
  <c r="I104" i="6"/>
  <c r="K104" i="6"/>
  <c r="I105" i="6"/>
  <c r="K105" i="6"/>
  <c r="I106" i="6"/>
  <c r="K106" i="6"/>
  <c r="I107" i="6"/>
  <c r="K107" i="6"/>
  <c r="I109" i="6"/>
  <c r="K109" i="6"/>
  <c r="K110" i="6"/>
  <c r="I115" i="6"/>
  <c r="I116" i="6"/>
  <c r="I117" i="6"/>
  <c r="I118" i="6"/>
  <c r="I119" i="6"/>
  <c r="Q16" i="6"/>
  <c r="I51" i="6"/>
  <c r="K51" i="6" s="1"/>
  <c r="I52" i="6"/>
  <c r="K52" i="6" s="1"/>
  <c r="I53" i="6"/>
  <c r="K53" i="6" s="1"/>
  <c r="I54" i="6"/>
  <c r="K54" i="6" s="1"/>
  <c r="I55" i="6"/>
  <c r="K55" i="6" s="1"/>
  <c r="I56" i="6"/>
  <c r="K56" i="6" s="1"/>
  <c r="I57" i="6"/>
  <c r="K57" i="6" s="1"/>
  <c r="I59" i="6"/>
  <c r="K59" i="6" s="1"/>
  <c r="K60" i="6"/>
  <c r="I65" i="6"/>
  <c r="I66" i="6"/>
  <c r="I67" i="6"/>
  <c r="I68" i="6"/>
  <c r="I69" i="6"/>
  <c r="I60" i="10"/>
  <c r="K60" i="10" s="1"/>
  <c r="J56" i="10" s="1"/>
  <c r="K61" i="10"/>
  <c r="I66" i="10"/>
  <c r="I67" i="10"/>
  <c r="I68" i="10"/>
  <c r="I69" i="10"/>
  <c r="I70" i="10"/>
  <c r="I77" i="10"/>
  <c r="K77" i="10" s="1"/>
  <c r="J73" i="10" s="1"/>
  <c r="K78" i="10"/>
  <c r="I83" i="10"/>
  <c r="I84" i="10"/>
  <c r="I85" i="10"/>
  <c r="I86" i="10"/>
  <c r="I87" i="10"/>
  <c r="I43" i="10"/>
  <c r="K43" i="10" s="1"/>
  <c r="J39" i="10" s="1"/>
  <c r="K44" i="10"/>
  <c r="I49" i="10"/>
  <c r="I50" i="10"/>
  <c r="I51" i="10"/>
  <c r="I52" i="10"/>
  <c r="I53" i="10"/>
  <c r="K27" i="10"/>
  <c r="Q16" i="10"/>
  <c r="J97" i="6" l="1"/>
  <c r="Q97" i="6" s="1"/>
  <c r="K97" i="6" s="1"/>
  <c r="L97" i="6" s="1"/>
  <c r="N97" i="6" s="1"/>
  <c r="J72" i="6"/>
  <c r="Q96" i="6"/>
  <c r="J47" i="6"/>
  <c r="Q72" i="10"/>
  <c r="Q73" i="10"/>
  <c r="K73" i="10" s="1"/>
  <c r="L73" i="10" s="1"/>
  <c r="N73" i="10" s="1"/>
  <c r="Q55" i="10"/>
  <c r="Q56" i="10"/>
  <c r="K56" i="10" s="1"/>
  <c r="L56" i="10" s="1"/>
  <c r="N56" i="10" s="1"/>
  <c r="Q38" i="10"/>
  <c r="Q39" i="10"/>
  <c r="K39" i="10" s="1"/>
  <c r="L39" i="10" s="1"/>
  <c r="N39" i="10" s="1"/>
  <c r="G120" i="9"/>
  <c r="G121" i="9"/>
  <c r="G122" i="9"/>
  <c r="G119" i="9"/>
  <c r="D120" i="9"/>
  <c r="D121" i="9"/>
  <c r="D122" i="9"/>
  <c r="D119" i="9"/>
  <c r="F110" i="9"/>
  <c r="F111" i="9"/>
  <c r="F112" i="9"/>
  <c r="F109" i="9"/>
  <c r="F92" i="9"/>
  <c r="F93" i="9"/>
  <c r="F94" i="9"/>
  <c r="F91" i="9"/>
  <c r="D92" i="9"/>
  <c r="D93" i="9"/>
  <c r="D94" i="9"/>
  <c r="D91" i="9"/>
  <c r="F83" i="9"/>
  <c r="F84" i="9"/>
  <c r="F85" i="9"/>
  <c r="F82" i="9"/>
  <c r="D83" i="9"/>
  <c r="D84" i="9"/>
  <c r="D85" i="9"/>
  <c r="D82" i="9"/>
  <c r="F74" i="9"/>
  <c r="F75" i="9"/>
  <c r="F76" i="9"/>
  <c r="F73" i="9"/>
  <c r="D74" i="9"/>
  <c r="D75" i="9"/>
  <c r="D76" i="9"/>
  <c r="D73" i="9"/>
  <c r="F65" i="9"/>
  <c r="F66" i="9"/>
  <c r="F67" i="9"/>
  <c r="D65" i="9"/>
  <c r="D66" i="9"/>
  <c r="D67" i="9"/>
  <c r="F64" i="9"/>
  <c r="D64" i="9"/>
  <c r="F56" i="9"/>
  <c r="F57" i="9"/>
  <c r="F47" i="9"/>
  <c r="F48" i="9"/>
  <c r="F49" i="9"/>
  <c r="F38" i="9"/>
  <c r="F39" i="9"/>
  <c r="F40" i="9"/>
  <c r="F37" i="9"/>
  <c r="F46" i="9"/>
  <c r="F55" i="9"/>
  <c r="D56" i="9"/>
  <c r="D57" i="9"/>
  <c r="D58" i="9"/>
  <c r="D55" i="9"/>
  <c r="D47" i="9"/>
  <c r="D48" i="9"/>
  <c r="D49" i="9"/>
  <c r="D46" i="9"/>
  <c r="D38" i="9"/>
  <c r="D39" i="9"/>
  <c r="D40" i="9"/>
  <c r="D37" i="9"/>
  <c r="G28" i="9"/>
  <c r="G29" i="9"/>
  <c r="G30" i="9"/>
  <c r="G27" i="9"/>
  <c r="F28" i="9"/>
  <c r="F29" i="9"/>
  <c r="F30" i="9"/>
  <c r="F27" i="9"/>
  <c r="D28" i="9"/>
  <c r="D29" i="9"/>
  <c r="D30" i="9"/>
  <c r="D27" i="9"/>
  <c r="G18" i="9"/>
  <c r="G19" i="9"/>
  <c r="G20" i="9"/>
  <c r="G17" i="9"/>
  <c r="F18" i="9"/>
  <c r="F19" i="9"/>
  <c r="F20" i="9"/>
  <c r="F17" i="9"/>
  <c r="D18" i="9"/>
  <c r="D19" i="9"/>
  <c r="D20" i="9"/>
  <c r="D17" i="9"/>
  <c r="Q71" i="6" l="1"/>
  <c r="Q72" i="6"/>
  <c r="K72" i="6" s="1"/>
  <c r="L72" i="6" s="1"/>
  <c r="N72" i="6" s="1"/>
  <c r="Q46" i="6"/>
  <c r="Q47" i="6"/>
  <c r="K47" i="6" s="1"/>
  <c r="L47" i="6" s="1"/>
  <c r="N47" i="6" s="1"/>
  <c r="G8" i="12"/>
  <c r="D8" i="12"/>
  <c r="F5" i="12"/>
  <c r="B5" i="12"/>
  <c r="I41" i="6" l="1"/>
  <c r="I42" i="6"/>
  <c r="I43" i="6"/>
  <c r="I44" i="6"/>
  <c r="I40" i="6"/>
  <c r="K35" i="6"/>
  <c r="I33" i="10"/>
  <c r="I34" i="10"/>
  <c r="I35" i="10"/>
  <c r="I36" i="10"/>
  <c r="I32" i="10"/>
  <c r="J8" i="6"/>
  <c r="G8" i="6"/>
  <c r="K5" i="6"/>
  <c r="C5" i="6"/>
  <c r="J8" i="10"/>
  <c r="G8" i="10"/>
  <c r="K5" i="10"/>
  <c r="C5" i="10"/>
  <c r="H53" i="12"/>
  <c r="H52" i="12"/>
  <c r="H54" i="12" l="1"/>
  <c r="K40" i="12"/>
  <c r="H32" i="12"/>
  <c r="H31" i="12"/>
  <c r="F130" i="9" l="1"/>
  <c r="F132" i="9"/>
  <c r="F131" i="9"/>
  <c r="F129" i="9"/>
  <c r="H33" i="12"/>
  <c r="I26" i="10"/>
  <c r="K26" i="10" s="1"/>
  <c r="J22" i="10" s="1"/>
  <c r="Q21" i="10" l="1"/>
  <c r="Q22" i="10"/>
  <c r="K22" i="10" s="1"/>
  <c r="L22" i="10" s="1"/>
  <c r="N22" i="10" s="1"/>
  <c r="G134" i="9"/>
  <c r="E134" i="9"/>
  <c r="D134" i="9"/>
  <c r="D135" i="9" s="1"/>
  <c r="E124" i="9"/>
  <c r="G124" i="9"/>
  <c r="G114" i="9"/>
  <c r="E114" i="9"/>
  <c r="D114" i="9"/>
  <c r="D115" i="9" s="1"/>
  <c r="G95" i="9"/>
  <c r="E95" i="9"/>
  <c r="F95" i="9"/>
  <c r="G96" i="9" s="1"/>
  <c r="D95" i="9"/>
  <c r="E96" i="9" s="1"/>
  <c r="G86" i="9"/>
  <c r="E86" i="9"/>
  <c r="F86" i="9"/>
  <c r="G87" i="9" s="1"/>
  <c r="D86" i="9"/>
  <c r="E87" i="9" s="1"/>
  <c r="G77" i="9"/>
  <c r="E77" i="9"/>
  <c r="F77" i="9"/>
  <c r="G78" i="9" s="1"/>
  <c r="D77" i="9"/>
  <c r="E78" i="9" s="1"/>
  <c r="G68" i="9"/>
  <c r="E68" i="9"/>
  <c r="F68" i="9"/>
  <c r="G69" i="9" s="1"/>
  <c r="D68" i="9"/>
  <c r="E69" i="9" s="1"/>
  <c r="G59" i="9"/>
  <c r="E59" i="9"/>
  <c r="F59" i="9"/>
  <c r="G60" i="9" s="1"/>
  <c r="D59" i="9"/>
  <c r="E60" i="9" s="1"/>
  <c r="G50" i="9"/>
  <c r="E50" i="9"/>
  <c r="F50" i="9"/>
  <c r="G51" i="9" s="1"/>
  <c r="D50" i="9"/>
  <c r="E51" i="9" s="1"/>
  <c r="G41" i="9"/>
  <c r="E41" i="9"/>
  <c r="F41" i="9"/>
  <c r="G42" i="9" s="1"/>
  <c r="D41" i="9"/>
  <c r="E42" i="9" s="1"/>
  <c r="E32" i="9"/>
  <c r="E22" i="9"/>
  <c r="F22" i="9"/>
  <c r="I34" i="6" l="1"/>
  <c r="I31" i="6"/>
  <c r="I29" i="6"/>
  <c r="I27" i="6"/>
  <c r="I32" i="6"/>
  <c r="I30" i="6"/>
  <c r="I28" i="6"/>
  <c r="I26" i="6"/>
  <c r="K28" i="6"/>
  <c r="K30" i="6"/>
  <c r="K32" i="6"/>
  <c r="K26" i="6"/>
  <c r="K27" i="6"/>
  <c r="K29" i="6"/>
  <c r="K31" i="6"/>
  <c r="K34" i="6"/>
  <c r="D22" i="9"/>
  <c r="D23" i="9" s="1"/>
  <c r="F144" i="9"/>
  <c r="F32" i="9"/>
  <c r="F114" i="9"/>
  <c r="F115" i="9" s="1"/>
  <c r="D32" i="9"/>
  <c r="D33" i="9" s="1"/>
  <c r="G32" i="9"/>
  <c r="D124" i="9"/>
  <c r="D125" i="9" s="1"/>
  <c r="F134" i="9"/>
  <c r="F135" i="9" s="1"/>
  <c r="G22" i="9"/>
  <c r="F23" i="9" s="1"/>
  <c r="J22" i="6" l="1"/>
  <c r="F33" i="9"/>
  <c r="Q22" i="6" l="1"/>
  <c r="K22" i="6" s="1"/>
  <c r="L22" i="6" s="1"/>
  <c r="N22" i="6" s="1"/>
  <c r="Q21" i="6"/>
  <c r="B63" i="4"/>
  <c r="B58" i="4"/>
  <c r="B53" i="4"/>
  <c r="B48" i="4"/>
  <c r="B43" i="4"/>
  <c r="B38" i="4"/>
  <c r="B33" i="4"/>
  <c r="B28" i="4"/>
  <c r="B22" i="4"/>
  <c r="B11" i="4" s="1"/>
  <c r="B26" i="4"/>
  <c r="B20" i="4"/>
  <c r="D8" i="4"/>
  <c r="B8" i="4"/>
  <c r="C5" i="4"/>
  <c r="A5" i="4"/>
  <c r="J23" i="2"/>
  <c r="I23" i="2"/>
  <c r="F8" i="3"/>
  <c r="D8" i="3"/>
  <c r="E5" i="3"/>
  <c r="C5" i="3"/>
  <c r="H16" i="12" l="1"/>
  <c r="H11" i="12"/>
  <c r="K18" i="12"/>
  <c r="K58" i="12"/>
  <c r="G11" i="6" s="1"/>
  <c r="L11" i="6" s="1"/>
  <c r="J16" i="6" s="1"/>
  <c r="K57" i="12" l="1"/>
  <c r="K59" i="12" s="1"/>
  <c r="H21" i="12"/>
  <c r="K31" i="12"/>
  <c r="B14" i="4"/>
  <c r="H10" i="12" s="1"/>
  <c r="H12" i="12"/>
  <c r="H17" i="12"/>
  <c r="K32" i="12" s="1"/>
  <c r="K19" i="12"/>
  <c r="K33" i="12" l="1"/>
  <c r="H37" i="12" s="1"/>
  <c r="H38" i="12" s="1"/>
  <c r="H22" i="12"/>
  <c r="K43" i="12" s="1"/>
  <c r="K14" i="12"/>
  <c r="H14" i="12" s="1"/>
  <c r="H41" i="12" l="1"/>
  <c r="H40" i="12"/>
  <c r="H42" i="12" l="1"/>
  <c r="G11" i="10"/>
  <c r="L11" i="10" s="1"/>
  <c r="J16" i="10" s="1"/>
  <c r="F120" i="9"/>
  <c r="F122" i="9"/>
  <c r="F121" i="9"/>
  <c r="F119" i="9"/>
  <c r="J17" i="10"/>
  <c r="H43" i="12"/>
  <c r="J17" i="6" l="1"/>
  <c r="F25" i="2" s="1"/>
  <c r="D144" i="9"/>
  <c r="F124" i="9"/>
  <c r="F125" i="9" s="1"/>
  <c r="H56" i="12"/>
  <c r="H58" i="12" s="1"/>
  <c r="H46" i="12"/>
  <c r="F149" i="9" l="1"/>
  <c r="F146" i="9"/>
  <c r="F148" i="9" s="1"/>
</calcChain>
</file>

<file path=xl/sharedStrings.xml><?xml version="1.0" encoding="utf-8"?>
<sst xmlns="http://schemas.openxmlformats.org/spreadsheetml/2006/main" count="1001" uniqueCount="279">
  <si>
    <r>
      <t xml:space="preserve">Home and Community Based Services
</t>
    </r>
    <r>
      <rPr>
        <sz val="12"/>
        <rFont val="Arial"/>
        <family val="2"/>
      </rPr>
      <t>Consumer Directed Services Budget</t>
    </r>
  </si>
  <si>
    <t>General Information and Instructions for Use of Workbook</t>
  </si>
  <si>
    <t>THIS PAGE IS NOT CONSIDERED PART OF THE BUDGET</t>
  </si>
  <si>
    <t>*</t>
  </si>
  <si>
    <t>Enter the appropriate information in the "Blue" cells (the cells with "dashed" lines around them).  Be sure the information you enter is accurate, as the budget calculations are based on the entries made in these cells.</t>
  </si>
  <si>
    <t>Use the "TAB" key to move between the "Blue" cells.  Entries may only be made in the "Blue" cells; all other cells are locked.</t>
  </si>
  <si>
    <t>You can use the keyboard to move between the pages in the workbook.  Press "CTRL" and "Page Down" at the same time to move to the next worksheet; Press "CTRL" and "Page Up" at the same time to move to the previous worksheet.</t>
  </si>
  <si>
    <t>Watch for "Pop-Up" information windows for many of the cells.  If the "Pop-Up" windows are covering the body of the budget, you may "drag and drop" them to a different area.</t>
  </si>
  <si>
    <t>Be sure to read any error messages carefully.  They give you instructions on how to correct data entry errors.</t>
  </si>
  <si>
    <t>Complete the entire Workbook for each Consumer at the following times (and when required by program policy):</t>
  </si>
  <si>
    <t>Initially and at Annual Reassessment</t>
  </si>
  <si>
    <t>Termination of Services</t>
  </si>
  <si>
    <t>Change in Employee</t>
  </si>
  <si>
    <t>Change in Number of Hours Employee Works, Rate of Pay, Bonus, or Benefits</t>
  </si>
  <si>
    <t xml:space="preserve">Change in Employee Pay Rate or Benefits </t>
  </si>
  <si>
    <t>Change in Reimbursement Rate</t>
  </si>
  <si>
    <t>Change in Administrative Costs</t>
  </si>
  <si>
    <t>Change in Payment Option back to Agency Option</t>
  </si>
  <si>
    <t>Change in Number of Authorized Units for Hourly Services</t>
  </si>
  <si>
    <t>Use of Respite Services</t>
  </si>
  <si>
    <t>Anytime Other Time Required by Program Policy</t>
  </si>
  <si>
    <t>Complete the Quarterly Report at least Quarterly (more frequently if required by Program Policy)</t>
  </si>
  <si>
    <t>Be sure both the Employer (Consumer or Legal Guardian), Designated Responsible Party (if applicable), and the CDS Agency Representative sign Consumer Information &amp; Budget Approval Page of the workbook, and that the budget Calculations are listed as "VALID".</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</si>
  <si>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</si>
  <si>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</si>
  <si>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</si>
  <si>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</si>
  <si>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</si>
  <si>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</si>
  <si>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</si>
  <si>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</si>
  <si>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</si>
  <si>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Overtime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</si>
  <si>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</si>
  <si>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</si>
  <si>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</si>
  <si>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</si>
  <si>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</si>
  <si>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</si>
  <si>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</si>
  <si>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</si>
  <si>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</si>
  <si>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</si>
  <si>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</si>
  <si>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</si>
  <si>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</si>
  <si>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</si>
  <si>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</si>
  <si>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</si>
  <si>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</si>
  <si>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</si>
  <si>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</si>
  <si>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</si>
  <si>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</si>
  <si>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</si>
  <si>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</si>
  <si>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</si>
  <si>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</si>
  <si>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</si>
  <si>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</si>
  <si>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</si>
  <si>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</si>
  <si>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</si>
  <si>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</si>
  <si>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</si>
  <si>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</si>
  <si>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</si>
  <si>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r>
      <t xml:space="preserve">Home and Community Based Services
</t>
    </r>
    <r>
      <rPr>
        <sz val="12"/>
        <rFont val="Arial"/>
        <family val="2"/>
      </rPr>
      <t>Consumer Directed Services Budget August 2011</t>
    </r>
  </si>
  <si>
    <t>Consumer Information &amp; Budget Approval</t>
  </si>
  <si>
    <t>Consumer Name:</t>
  </si>
  <si>
    <t>Consumer Medicaid Number:</t>
  </si>
  <si>
    <t>Consumer's Address:</t>
  </si>
  <si>
    <t>Consumer's City, State, Zip Code:</t>
  </si>
  <si>
    <t>Consumer's Telephone Number:</t>
  </si>
  <si>
    <t>Waiver Contract Area:</t>
  </si>
  <si>
    <t>Does the Consumer Have a  Designated Representative (DR) and/or Legally Authorized Representative (LAR)?</t>
  </si>
  <si>
    <t>LAR's Name:</t>
  </si>
  <si>
    <t>DR's Name:</t>
  </si>
  <si>
    <r>
      <t xml:space="preserve">Effective / Coverage Period </t>
    </r>
    <r>
      <rPr>
        <b/>
        <sz val="8"/>
        <rFont val="Arial"/>
        <family val="2"/>
      </rPr>
      <t>(This does not guarantee eligibility for the entire period)</t>
    </r>
    <r>
      <rPr>
        <b/>
        <sz val="12"/>
        <rFont val="Arial"/>
        <family val="2"/>
      </rPr>
      <t>:</t>
    </r>
  </si>
  <si>
    <t>Budget Calculations are:</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</si>
  <si>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</si>
  <si>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Employer (Consumer or Legally Authorized Representative)</t>
  </si>
  <si>
    <t>Date</t>
  </si>
  <si>
    <t>Designated Responsible Party (If Applicable)</t>
  </si>
  <si>
    <t>CDS Agency Representative</t>
  </si>
  <si>
    <t>Notes</t>
  </si>
  <si>
    <t>Consumer Name</t>
  </si>
  <si>
    <t>Medicaid Number</t>
  </si>
  <si>
    <t>Coverage Period From:</t>
  </si>
  <si>
    <t>To:</t>
  </si>
  <si>
    <t>WCA 1</t>
  </si>
  <si>
    <t>WCA 2</t>
  </si>
  <si>
    <t>WCA 3</t>
  </si>
  <si>
    <t>WCA 4</t>
  </si>
  <si>
    <t>WCA 5</t>
  </si>
  <si>
    <t>WCA 6</t>
  </si>
  <si>
    <t>WCA 7</t>
  </si>
  <si>
    <t>WCA 8</t>
  </si>
  <si>
    <t>WCA 9</t>
  </si>
  <si>
    <t>Yes</t>
  </si>
  <si>
    <t>No</t>
  </si>
  <si>
    <t>Total Annual CDS Budget</t>
  </si>
  <si>
    <t>Service</t>
  </si>
  <si>
    <t>Rate</t>
  </si>
  <si>
    <t>Hourly Respite</t>
  </si>
  <si>
    <t>Annual Authorized Hourly Respite Hours</t>
  </si>
  <si>
    <t>Weekly Authorized Hourly Respite Hours</t>
  </si>
  <si>
    <t>Total Hourly Respite Dollars</t>
  </si>
  <si>
    <t>Nursing RN</t>
  </si>
  <si>
    <t>Annual Authorized Hours</t>
  </si>
  <si>
    <t>Total Nursing RN Dollars</t>
  </si>
  <si>
    <t>Nursing LVN</t>
  </si>
  <si>
    <t>Total Nursing LVN Dollars</t>
  </si>
  <si>
    <t>Specialized Nursing RN</t>
  </si>
  <si>
    <t>Total Specialized Nursing RN Dollars</t>
  </si>
  <si>
    <t>Specialized Nursing LVN</t>
  </si>
  <si>
    <t>Total Specialized Nursing LVN Dollars</t>
  </si>
  <si>
    <t>Supported Employment</t>
  </si>
  <si>
    <t>Units of Supported Employment</t>
  </si>
  <si>
    <t>Total Supported Employment Dollars</t>
  </si>
  <si>
    <t>Employment Assistance</t>
  </si>
  <si>
    <t>Units of Employment Assistance</t>
  </si>
  <si>
    <t>Total Employment Assistance Dollars</t>
  </si>
  <si>
    <t>Cognitive Rehabilitation Therapy</t>
  </si>
  <si>
    <t>Units of Cognitive Rehabilitation Therapy</t>
  </si>
  <si>
    <t>Total Cognitive Rehabilitation Therapy Dollars</t>
  </si>
  <si>
    <t>Quarterly Report</t>
  </si>
  <si>
    <t>Quarterly Report Coverage Period From:</t>
  </si>
  <si>
    <t>Q1</t>
  </si>
  <si>
    <t>Quarter Number:</t>
  </si>
  <si>
    <t>Q2</t>
  </si>
  <si>
    <t>Q3</t>
  </si>
  <si>
    <t>Q4</t>
  </si>
  <si>
    <t>NOTE - All Budgeted Amounts on the Quarterly Report are Estimates</t>
  </si>
  <si>
    <t>Auth Units</t>
  </si>
  <si>
    <t>Billed Units</t>
  </si>
  <si>
    <t>Auth Dollars</t>
  </si>
  <si>
    <t>Billed Dollars</t>
  </si>
  <si>
    <t>Quarter 1</t>
  </si>
  <si>
    <t>Quarter 2</t>
  </si>
  <si>
    <t>Quarter 3</t>
  </si>
  <si>
    <t>Quarter 4</t>
  </si>
  <si>
    <t>Total</t>
  </si>
  <si>
    <t>Remaining</t>
  </si>
  <si>
    <t>Authorized Units</t>
  </si>
  <si>
    <t>Actual Units</t>
  </si>
  <si>
    <t>Authorized Dollars</t>
  </si>
  <si>
    <t>Actual Dollars</t>
  </si>
  <si>
    <t>Quarter 1 Units</t>
  </si>
  <si>
    <t>Quarter 2 Units</t>
  </si>
  <si>
    <t>Quarter 3 Units</t>
  </si>
  <si>
    <t>Quarter 4 Units</t>
  </si>
  <si>
    <t>Employee Compensation Totals (Units):</t>
  </si>
  <si>
    <t>Remaining:</t>
  </si>
  <si>
    <t>Employer Support Services</t>
  </si>
  <si>
    <t>Support Consultation Services</t>
  </si>
  <si>
    <t>Non-Taxable Employee Compensation Costs</t>
  </si>
  <si>
    <t>TOTAL  BUDGET</t>
  </si>
  <si>
    <t>TOTAL BUDGET REMAINING:</t>
  </si>
  <si>
    <t>Dollars Remaining 
(negative indicates the consumer has overspent):</t>
  </si>
  <si>
    <t>Percent of Budgeted Dollars Spent 
(negative amount indicates the consumer has overspent):</t>
  </si>
  <si>
    <t>NOTE - The consumer must not develop a regular employee schedule 
that contains fewer than or more than the weekly authorized units.</t>
  </si>
  <si>
    <t>CERTIFICATION:  By signature below I certify that the numbers entered into this quarterly report are accurate as reported to me.</t>
  </si>
  <si>
    <t>CDS Agency Representative Printed Name</t>
  </si>
  <si>
    <t>Phone Number (with Area Code)</t>
  </si>
  <si>
    <t>CDS Agency Representative Signature</t>
  </si>
  <si>
    <t>Family Member?</t>
  </si>
  <si>
    <t>Exempt all taxes</t>
  </si>
  <si>
    <t>Exempt SUTA and FUTA</t>
  </si>
  <si>
    <t>Available Amounts</t>
  </si>
  <si>
    <t>F.U.T.A. Max Wage:</t>
  </si>
  <si>
    <t>Total Available for Taxable Compensation:</t>
  </si>
  <si>
    <t>Dollars Left in Budget:</t>
  </si>
  <si>
    <t>S.U.T.A. Max Wage:</t>
  </si>
  <si>
    <t>Total Taxable Compensation:</t>
  </si>
  <si>
    <t>F.U.T.A.:</t>
  </si>
  <si>
    <t>Taxable Wage and Compensation Validation</t>
  </si>
  <si>
    <t>F.I.C.A.:</t>
  </si>
  <si>
    <t>Within Total Budget for Consumer?</t>
  </si>
  <si>
    <t>Medicare:</t>
  </si>
  <si>
    <t>Total Tax:</t>
  </si>
  <si>
    <t>Minimum Employee Compensation %</t>
  </si>
  <si>
    <t>Employee Hours, Pay Rates and Other Compensation</t>
  </si>
  <si>
    <t>Employee Name</t>
  </si>
  <si>
    <t>Begin Date</t>
  </si>
  <si>
    <t>End Date</t>
  </si>
  <si>
    <t>Weeks Employed</t>
  </si>
  <si>
    <t>S.U.T.A. Rate</t>
  </si>
  <si>
    <t>Total Annual Wages</t>
  </si>
  <si>
    <t>Annual Taxes</t>
  </si>
  <si>
    <t>Annual Total</t>
  </si>
  <si>
    <t>Family Exemption</t>
  </si>
  <si>
    <t>Not exempt</t>
  </si>
  <si>
    <t>Meets household exemption criteria?</t>
  </si>
  <si>
    <t>Hourly Pay</t>
  </si>
  <si>
    <t>Hours per Week</t>
  </si>
  <si>
    <t>Pay Rate</t>
  </si>
  <si>
    <t>Weeks</t>
  </si>
  <si>
    <t>OT Pay Rate</t>
  </si>
  <si>
    <t>Wages</t>
  </si>
  <si>
    <t>Cognitive Rehab. Therapy</t>
  </si>
  <si>
    <t>NOTE - The consumer must not develop a regular employee schedule that contains fewer than or more than the weekly authorized units.</t>
  </si>
  <si>
    <t>Other Compensation</t>
  </si>
  <si>
    <t>Amount</t>
  </si>
  <si>
    <t>Number of Payments</t>
  </si>
  <si>
    <t>Bonuses</t>
  </si>
  <si>
    <t>Paid Holidays</t>
  </si>
  <si>
    <t>Vacation Pay</t>
  </si>
  <si>
    <t>Sick Leave</t>
  </si>
  <si>
    <t>Other -Specify</t>
  </si>
  <si>
    <t>Employer Support Services &amp; Non-Taxable Costs</t>
  </si>
  <si>
    <t>Total  Annual CDS Budget:</t>
  </si>
  <si>
    <t>ESS_Budget</t>
  </si>
  <si>
    <t>Estimated Employer Related Support Services Purchases</t>
  </si>
  <si>
    <t>Comments:</t>
  </si>
  <si>
    <t xml:space="preserve">Advertising  </t>
  </si>
  <si>
    <t xml:space="preserve">Equipment &amp; Supplies </t>
  </si>
  <si>
    <t xml:space="preserve">Copies &amp; Mailing </t>
  </si>
  <si>
    <t>Other - Specify</t>
  </si>
  <si>
    <t>Total Estimated Employer Related Support Services Purchases:</t>
  </si>
  <si>
    <t>Estimated Support Consultation Services Costs</t>
  </si>
  <si>
    <t>Amount of ESS Available for Support Consultation:</t>
  </si>
  <si>
    <t>SCS Hourly Rate</t>
  </si>
  <si>
    <t>Available Support Consultation Services Hours:</t>
  </si>
  <si>
    <t>Support Consultation Services Hours Authorized by the IDT:</t>
  </si>
  <si>
    <t>Support Consultation Services Funded through ESS:</t>
  </si>
  <si>
    <t>Payment for Support Consultation Services above the 10% (if required by the IDT):</t>
  </si>
  <si>
    <t>Total Support Consultation Services Costs:</t>
  </si>
  <si>
    <t>Total Costs for ESS and Support Consultation Services:</t>
  </si>
  <si>
    <t>Amount Available for Employee Compensation Costs:</t>
  </si>
  <si>
    <t>Health Insurance Premium(s)</t>
  </si>
  <si>
    <t>Worker's comp or liability insurance</t>
  </si>
  <si>
    <t>Total Spent for ESS and Non-Taxable Costs</t>
  </si>
  <si>
    <t>Funds Available for Taxable Compensation Costs</t>
  </si>
  <si>
    <r>
      <t>Amount Available for all Estimated 
Employer Support Services Costs</t>
    </r>
    <r>
      <rPr>
        <b/>
        <sz val="10"/>
        <rFont val="Arial"/>
        <family val="2"/>
      </rPr>
      <t>:</t>
    </r>
  </si>
  <si>
    <r>
      <t>Maximum</t>
    </r>
    <r>
      <rPr>
        <sz val="10"/>
        <rFont val="Arial"/>
      </rPr>
      <t xml:space="preserve"> Amount Available for Employer Related Support Services Purchases:</t>
    </r>
  </si>
  <si>
    <t>Weekly Authorized CFC Hours</t>
  </si>
  <si>
    <t>Total CFC Dollars</t>
  </si>
  <si>
    <t>Annual CFC Budget</t>
  </si>
  <si>
    <t>Annual Non-CFC Budget</t>
  </si>
  <si>
    <t>Annual Authorized CFC PAS Hab Hours</t>
  </si>
  <si>
    <t>CFC Taxable Wage and Compensation Costs</t>
  </si>
  <si>
    <t>Within CFC Budget?</t>
  </si>
  <si>
    <t>Community First Choice PAS Hab</t>
  </si>
  <si>
    <t>Criminal History Check</t>
  </si>
  <si>
    <t>Total Estimated Employer Related Support Services Purchases
from Waiver Budget:</t>
  </si>
  <si>
    <t>Total Waiver Budget</t>
  </si>
  <si>
    <t>N/A</t>
  </si>
  <si>
    <t>Waiver Amount:</t>
  </si>
  <si>
    <t>Amount Available for Estimated Employer Support Services Costs
from the Waiver Budget:</t>
  </si>
  <si>
    <t>Dollars Left in
CFC-PAS HAB Budget:</t>
  </si>
  <si>
    <t>Total CFC-PAS Hab Budget</t>
  </si>
  <si>
    <t>Amount Available for Estimated Employer Support Services Costs
from the CFC-PAS Hab Budget:</t>
  </si>
  <si>
    <t>CFC-PAS Hab Amount:</t>
  </si>
  <si>
    <t>Total Estimated Employer Related Support Services Purchases
from CFC-PAS Hab Budget:</t>
  </si>
  <si>
    <t>*NOTE--CFC-PAS Hab funds may not be used for purchasing Hepatitis B vaccinations</t>
  </si>
  <si>
    <t>SCS Budget</t>
  </si>
  <si>
    <t>CFC Budget</t>
  </si>
  <si>
    <t>Non-CFC Budget</t>
  </si>
  <si>
    <t>TOTAL ESS MAX:</t>
  </si>
  <si>
    <t>CFC SCS Dollars Avail</t>
  </si>
  <si>
    <t>Waiver SCS Dollars Avail</t>
  </si>
  <si>
    <t>Auth SCS Dollars</t>
  </si>
  <si>
    <t>Total CFC Available for Taxable Compensation:</t>
  </si>
  <si>
    <t>CFC Taxable Avail</t>
  </si>
  <si>
    <t>Waiver Taxable Avail</t>
  </si>
  <si>
    <t>Total Estimated Non-Taxable Employee Compensation Costs
from CFC-PAS Hab Budget:</t>
  </si>
  <si>
    <t>Total Estimated Non-Taxable Employee Compensation Costs
from Waiver Budget:</t>
  </si>
  <si>
    <t>Total Estimated Non-Taxable Employee Compensation Costs:</t>
  </si>
  <si>
    <t>Within Waiver Budget?</t>
  </si>
  <si>
    <t>CFC PAS Hab</t>
  </si>
  <si>
    <t>Waiver Taxable Wage and Compensation Costs</t>
  </si>
  <si>
    <t>CFC-PAS Hab Max</t>
  </si>
  <si>
    <t>Waiver Max</t>
  </si>
  <si>
    <t>Community First Choice - PAS Hab</t>
  </si>
  <si>
    <t>Transportation</t>
  </si>
  <si>
    <t>Units of Transportation</t>
  </si>
  <si>
    <t>Total Transportation Dollars</t>
  </si>
  <si>
    <t>Transportation Totals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</si>
</sst>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0.0000%"/>
  </numFmts>
  <fonts count="26" x14ac:knownFonts="1">
    <font>
      <sz val="11"/>
      <color theme="1"/>
      <name val="Calibri"/>
      <family val="2"/>
      <scheme val="minor"/>
    </font>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b/>
      <sz val="14"/>
      <name val="Arial"/>
      <family val="2"/>
    </font>
    <font>
      <b/>
      <i/>
      <sz val="12"/>
      <name val="Arial"/>
      <family val="2"/>
    </font>
    <font>
      <i/>
      <sz val="9"/>
      <name val="Arial"/>
      <family val="2"/>
    </font>
    <font>
      <i/>
      <sz val="10"/>
      <name val="Arial"/>
      <family val="2"/>
    </font>
    <font>
      <b/>
      <i/>
      <sz val="16"/>
      <name val="Arial"/>
      <family val="2"/>
    </font>
    <font>
      <sz val="11"/>
      <color theme="1"/>
      <name val="Calibri"/>
      <family val="2"/>
      <scheme val="minor"/>
    </font>
    <font>
      <i/>
      <sz val="11"/>
      <name val="Arial"/>
      <family val="2"/>
    </font>
    <font>
      <i/>
      <sz val="8"/>
      <name val="Arial"/>
      <family val="2"/>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13"/>
        <bgColor indexed="64"/>
      </patternFill>
    </fill>
    <fill>
      <patternFill patternType="lightTrellis">
        <bgColor indexed="9"/>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29">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DashDot">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DashDot">
        <color indexed="64"/>
      </bottom>
      <diagonal/>
    </border>
    <border>
      <left/>
      <right style="medium">
        <color indexed="64"/>
      </right>
      <top/>
      <bottom style="mediumDashDot">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DashDot">
        <color indexed="64"/>
      </left>
      <right style="mediumDashDot">
        <color indexed="64"/>
      </right>
      <top style="mediumDashDot">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style="mediumDashDot">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style="medium">
        <color indexed="64"/>
      </left>
      <right/>
      <top style="mediumDashDot">
        <color indexed="64"/>
      </top>
      <bottom style="thin">
        <color indexed="64"/>
      </bottom>
      <diagonal/>
    </border>
    <border>
      <left/>
      <right/>
      <top style="mediumDashDot">
        <color indexed="64"/>
      </top>
      <bottom style="thin">
        <color indexed="64"/>
      </bottom>
      <diagonal/>
    </border>
    <border>
      <left/>
      <right style="medium">
        <color indexed="64"/>
      </right>
      <top style="mediumDashDot">
        <color indexed="64"/>
      </top>
      <bottom style="thin">
        <color indexed="64"/>
      </bottom>
      <diagonal/>
    </border>
    <border>
      <left/>
      <right style="mediumDashDot">
        <color indexed="64"/>
      </right>
      <top style="thin">
        <color indexed="64"/>
      </top>
      <bottom style="thin">
        <color indexed="64"/>
      </bottom>
      <diagonal/>
    </border>
    <border>
      <left style="thin">
        <color indexed="64"/>
      </left>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right style="thin">
        <color indexed="64"/>
      </right>
      <top style="mediumDashDot">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DashDot">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DashDot">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DashDot">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DashDot">
        <color indexed="64"/>
      </top>
      <bottom style="thin">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thin">
        <color indexed="64"/>
      </right>
      <top style="medium">
        <color indexed="64"/>
      </top>
      <bottom style="mediumDashDot">
        <color indexed="64"/>
      </bottom>
      <diagonal/>
    </border>
    <border>
      <left style="mediumDashDot">
        <color indexed="64"/>
      </left>
      <right style="medium">
        <color indexed="64"/>
      </right>
      <top style="mediumDashDot">
        <color indexed="64"/>
      </top>
      <bottom style="mediumDashDot">
        <color indexed="64"/>
      </bottom>
      <diagonal/>
    </border>
    <border>
      <left style="mediumDashDot">
        <color indexed="64"/>
      </left>
      <right style="medium">
        <color indexed="64"/>
      </right>
      <top style="mediumDashDot">
        <color indexed="64"/>
      </top>
      <bottom/>
      <diagonal/>
    </border>
  </borders>
  <cellStyleXfs count="5">
    <xf numFmtId="0" fontId="0" fillId="0" borderId="0"/>
    <xf numFmtId="0" fontId="1" fillId="0" borderId="0"/>
    <xf numFmtId="0" fontId="3" fillId="0" borderId="0"/>
    <xf numFmtId="44" fontId="23" fillId="0" borderId="0" applyFont="0" applyFill="0" applyBorder="0" applyAlignment="0" applyProtection="0"/>
    <xf numFmtId="9" fontId="23" fillId="0" borderId="0" applyFont="0" applyFill="0" applyBorder="0" applyAlignment="0" applyProtection="0"/>
  </cellStyleXfs>
  <cellXfs count="728">
    <xf numFmtId="0" fontId="0" fillId="0" borderId="0" xfId="0"/>
    <xf numFmtId="0" fontId="1" fillId="0" borderId="0" xfId="1"/>
    <xf numFmtId="0" fontId="7" fillId="0" borderId="0" xfId="1" applyFont="1" applyAlignment="1">
      <alignment horizont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 fillId="0" borderId="7" xfId="1" applyBorder="1" applyAlignment="1">
      <alignment horizontal="center" vertical="center"/>
    </xf>
    <xf numFmtId="0" fontId="2" fillId="0" borderId="8" xfId="1" applyFont="1" applyBorder="1" applyAlignment="1">
      <alignment horizontal="center" vertical="center" wrapText="1"/>
    </xf>
    <xf numFmtId="0" fontId="2" fillId="0" borderId="6"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0" xfId="1" applyFont="1" applyFill="1" applyBorder="1"/>
    <xf numFmtId="0" fontId="2" fillId="0" borderId="32" xfId="1" applyFont="1" applyFill="1" applyBorder="1"/>
    <xf numFmtId="0" fontId="1" fillId="0" borderId="31" xfId="1" applyFill="1" applyBorder="1" applyAlignment="1">
      <alignment horizontal="center" vertical="center"/>
    </xf>
    <xf numFmtId="0" fontId="1" fillId="0" borderId="0" xfId="1" applyFill="1" applyBorder="1"/>
    <xf numFmtId="0" fontId="1" fillId="0" borderId="7" xfId="1" applyFill="1" applyBorder="1" applyAlignment="1">
      <alignment horizontal="center" vertical="center"/>
    </xf>
    <xf numFmtId="0" fontId="1" fillId="0" borderId="33" xfId="1" applyFill="1" applyBorder="1"/>
    <xf numFmtId="0" fontId="2" fillId="0" borderId="34" xfId="1" applyFont="1" applyFill="1" applyBorder="1"/>
    <xf numFmtId="0" fontId="1" fillId="0" borderId="0" xfId="1"/>
    <xf numFmtId="0" fontId="1" fillId="0" borderId="0" xfId="1" applyFill="1" applyProtection="1"/>
    <xf numFmtId="0" fontId="1" fillId="0" borderId="0" xfId="1" applyFill="1"/>
    <xf numFmtId="0" fontId="2" fillId="0" borderId="0" xfId="1" applyFont="1" applyFill="1" applyBorder="1"/>
    <xf numFmtId="0" fontId="1" fillId="0" borderId="0" xfId="1" applyFill="1" applyBorder="1"/>
    <xf numFmtId="0" fontId="1" fillId="0" borderId="0" xfId="1" applyFill="1" applyBorder="1" applyAlignment="1">
      <alignment horizontal="center"/>
    </xf>
    <xf numFmtId="0" fontId="7" fillId="0" borderId="0" xfId="1" applyFont="1" applyFill="1" applyAlignment="1">
      <alignment horizontal="center"/>
    </xf>
    <xf numFmtId="0" fontId="11" fillId="0" borderId="0" xfId="1" applyFont="1" applyFill="1" applyAlignment="1">
      <alignment horizontal="center"/>
    </xf>
    <xf numFmtId="0" fontId="3" fillId="0" borderId="0" xfId="1" applyFont="1" applyFill="1" applyBorder="1"/>
    <xf numFmtId="0" fontId="2" fillId="0" borderId="0" xfId="1" applyFont="1" applyFill="1" applyBorder="1" applyAlignment="1">
      <alignment horizontal="center" vertical="center" wrapText="1"/>
    </xf>
    <xf numFmtId="0" fontId="1" fillId="0" borderId="0" xfId="1"/>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14" fontId="9" fillId="0" borderId="2" xfId="1" applyNumberFormat="1" applyFont="1" applyBorder="1" applyAlignment="1" applyProtection="1">
      <alignment horizontal="center"/>
    </xf>
    <xf numFmtId="0" fontId="6" fillId="0" borderId="0" xfId="1" applyFont="1" applyAlignment="1" applyProtection="1">
      <alignment horizontal="center" vertical="center" wrapText="1"/>
    </xf>
    <xf numFmtId="0" fontId="1" fillId="0" borderId="0" xfId="1"/>
    <xf numFmtId="0" fontId="1" fillId="0" borderId="0" xfId="1" applyProtection="1"/>
    <xf numFmtId="0" fontId="7" fillId="0" borderId="0" xfId="1" applyFont="1" applyAlignment="1" applyProtection="1">
      <alignment horizontal="center"/>
    </xf>
    <xf numFmtId="0" fontId="1" fillId="0" borderId="0" xfId="1" applyBorder="1" applyProtection="1"/>
    <xf numFmtId="0" fontId="1" fillId="0" borderId="0" xfId="1" applyBorder="1" applyAlignment="1" applyProtection="1">
      <alignment horizontal="right"/>
    </xf>
    <xf numFmtId="0" fontId="1" fillId="0" borderId="0" xfId="1" applyFill="1" applyBorder="1" applyAlignment="1" applyProtection="1">
      <alignment horizontal="left"/>
    </xf>
    <xf numFmtId="0" fontId="1" fillId="0" borderId="0" xfId="1" applyBorder="1" applyAlignment="1" applyProtection="1">
      <alignment horizontal="left"/>
    </xf>
    <xf numFmtId="0" fontId="1" fillId="0" borderId="2" xfId="1" applyBorder="1" applyProtection="1"/>
    <xf numFmtId="0" fontId="3" fillId="0" borderId="0" xfId="1" applyFont="1" applyBorder="1" applyProtection="1"/>
    <xf numFmtId="0" fontId="3" fillId="0" borderId="0" xfId="1" applyFont="1" applyBorder="1" applyAlignment="1" applyProtection="1">
      <alignment horizontal="right"/>
    </xf>
    <xf numFmtId="0" fontId="2" fillId="0" borderId="0" xfId="1" applyFont="1" applyProtection="1"/>
    <xf numFmtId="0" fontId="4" fillId="0" borderId="0" xfId="1" applyFont="1" applyProtection="1"/>
    <xf numFmtId="0" fontId="5" fillId="0" borderId="0" xfId="1" applyFont="1" applyProtection="1"/>
    <xf numFmtId="0" fontId="3" fillId="0" borderId="0" xfId="1" applyFont="1" applyAlignment="1" applyProtection="1">
      <alignment wrapText="1"/>
    </xf>
    <xf numFmtId="164" fontId="1" fillId="0" borderId="0" xfId="1" applyNumberFormat="1" applyAlignment="1" applyProtection="1">
      <alignment horizontal="center"/>
    </xf>
    <xf numFmtId="0" fontId="4" fillId="0" borderId="0" xfId="1" applyFont="1" applyBorder="1" applyAlignment="1" applyProtection="1">
      <alignment horizontal="center" wrapText="1"/>
    </xf>
    <xf numFmtId="0" fontId="7" fillId="2" borderId="4" xfId="1" applyFont="1" applyFill="1" applyBorder="1" applyAlignment="1" applyProtection="1">
      <alignment horizontal="center"/>
      <protection locked="0"/>
    </xf>
    <xf numFmtId="0" fontId="3" fillId="0" borderId="0" xfId="1" applyFont="1" applyFill="1" applyBorder="1" applyAlignment="1" applyProtection="1">
      <alignment horizontal="right"/>
    </xf>
    <xf numFmtId="0" fontId="13" fillId="0" borderId="0" xfId="1" applyFont="1" applyProtection="1"/>
    <xf numFmtId="0" fontId="7" fillId="0" borderId="0" xfId="1" applyFont="1" applyFill="1" applyBorder="1" applyAlignment="1" applyProtection="1">
      <alignment horizontal="center"/>
    </xf>
    <xf numFmtId="0" fontId="12" fillId="0" borderId="0" xfId="1" applyFont="1" applyBorder="1" applyProtection="1"/>
    <xf numFmtId="0" fontId="1" fillId="0" borderId="0" xfId="1" applyAlignment="1" applyProtection="1">
      <alignment wrapText="1"/>
    </xf>
    <xf numFmtId="0" fontId="6" fillId="0" borderId="0" xfId="1" applyFont="1" applyAlignment="1" applyProtection="1">
      <alignment horizontal="center" wrapText="1"/>
    </xf>
    <xf numFmtId="0" fontId="7" fillId="0" borderId="0" xfId="1" applyFont="1" applyBorder="1" applyProtection="1"/>
    <xf numFmtId="49" fontId="1" fillId="0" borderId="0" xfId="1" applyNumberFormat="1" applyFill="1" applyAlignment="1" applyProtection="1"/>
    <xf numFmtId="1" fontId="1" fillId="0" borderId="0" xfId="1" applyNumberFormat="1" applyProtection="1"/>
    <xf numFmtId="2" fontId="1" fillId="0" borderId="0" xfId="1" applyNumberFormat="1" applyProtection="1"/>
    <xf numFmtId="4" fontId="1" fillId="0" borderId="0" xfId="1" applyNumberFormat="1" applyFill="1" applyAlignment="1" applyProtection="1"/>
    <xf numFmtId="0" fontId="7" fillId="0" borderId="0" xfId="1" applyFont="1" applyBorder="1" applyAlignment="1" applyProtection="1">
      <alignment horizontal="right"/>
    </xf>
    <xf numFmtId="0" fontId="7" fillId="0" borderId="0" xfId="1" applyFont="1" applyBorder="1" applyAlignment="1" applyProtection="1">
      <alignment horizontal="center" wrapText="1"/>
    </xf>
    <xf numFmtId="0" fontId="7" fillId="0" borderId="20" xfId="1" applyFont="1" applyFill="1" applyBorder="1" applyAlignment="1" applyProtection="1">
      <alignment horizontal="center"/>
    </xf>
    <xf numFmtId="1" fontId="3" fillId="0" borderId="0" xfId="1" applyNumberFormat="1" applyFont="1" applyFill="1" applyBorder="1" applyProtection="1"/>
    <xf numFmtId="3" fontId="1" fillId="0" borderId="0" xfId="1" applyNumberFormat="1" applyFill="1" applyProtection="1"/>
    <xf numFmtId="0" fontId="3" fillId="0" borderId="0" xfId="2"/>
    <xf numFmtId="0" fontId="3" fillId="0" borderId="0" xfId="2" applyProtection="1"/>
    <xf numFmtId="0" fontId="3" fillId="0" borderId="0" xfId="2" applyBorder="1" applyProtection="1"/>
    <xf numFmtId="0" fontId="3" fillId="0" borderId="0" xfId="2" applyFont="1" applyProtection="1"/>
    <xf numFmtId="0" fontId="9" fillId="0" borderId="0" xfId="2" applyFont="1" applyAlignment="1" applyProtection="1">
      <alignment horizontal="center"/>
    </xf>
    <xf numFmtId="0" fontId="9" fillId="0" borderId="2" xfId="2" applyFont="1" applyBorder="1" applyAlignment="1" applyProtection="1">
      <alignment horizontal="center"/>
    </xf>
    <xf numFmtId="0" fontId="8" fillId="0" borderId="0" xfId="2" applyFont="1" applyAlignment="1" applyProtection="1">
      <alignment horizontal="center"/>
    </xf>
    <xf numFmtId="0" fontId="8" fillId="0" borderId="0" xfId="2" applyFont="1" applyAlignment="1" applyProtection="1">
      <alignment horizontal="right"/>
    </xf>
    <xf numFmtId="14" fontId="9" fillId="0" borderId="0" xfId="2" applyNumberFormat="1" applyFont="1" applyBorder="1" applyAlignment="1" applyProtection="1">
      <alignment horizontal="center"/>
    </xf>
    <xf numFmtId="0" fontId="3" fillId="0" borderId="0" xfId="2" applyAlignment="1" applyProtection="1">
      <alignment horizontal="right"/>
    </xf>
    <xf numFmtId="0" fontId="9" fillId="0" borderId="0" xfId="2" applyFont="1" applyBorder="1" applyAlignment="1" applyProtection="1">
      <alignment horizontal="center"/>
    </xf>
    <xf numFmtId="0" fontId="8" fillId="0" borderId="1" xfId="2" applyFont="1" applyBorder="1" applyAlignment="1" applyProtection="1">
      <alignment horizontal="center"/>
    </xf>
    <xf numFmtId="0" fontId="8" fillId="0" borderId="0" xfId="2" applyFont="1" applyBorder="1" applyAlignment="1" applyProtection="1">
      <alignment horizontal="center"/>
    </xf>
    <xf numFmtId="0" fontId="7" fillId="2" borderId="4" xfId="2" applyFont="1" applyFill="1" applyBorder="1" applyAlignment="1" applyProtection="1">
      <alignment horizontal="center"/>
      <protection locked="0"/>
    </xf>
    <xf numFmtId="14" fontId="9" fillId="0" borderId="2" xfId="2" applyNumberFormat="1" applyFont="1" applyBorder="1" applyAlignment="1" applyProtection="1">
      <alignment horizontal="center"/>
    </xf>
    <xf numFmtId="0" fontId="7" fillId="0" borderId="0" xfId="2" applyFont="1" applyFill="1" applyBorder="1" applyAlignment="1" applyProtection="1">
      <alignment horizontal="center"/>
    </xf>
    <xf numFmtId="0" fontId="7" fillId="0" borderId="0" xfId="2" applyFont="1" applyFill="1" applyBorder="1" applyProtection="1"/>
    <xf numFmtId="0" fontId="3" fillId="0" borderId="0" xfId="2" applyFill="1" applyProtection="1"/>
    <xf numFmtId="0" fontId="7" fillId="0" borderId="0" xfId="2" applyFont="1" applyProtection="1"/>
    <xf numFmtId="0" fontId="10" fillId="0" borderId="18" xfId="2" applyFont="1" applyBorder="1" applyAlignment="1" applyProtection="1">
      <alignment horizontal="center"/>
    </xf>
    <xf numFmtId="0" fontId="10" fillId="0" borderId="1" xfId="2" applyFont="1" applyBorder="1" applyAlignment="1" applyProtection="1">
      <alignment horizontal="center"/>
    </xf>
    <xf numFmtId="0" fontId="10" fillId="0" borderId="16" xfId="2" applyFont="1" applyBorder="1" applyAlignment="1" applyProtection="1">
      <alignment horizontal="center"/>
    </xf>
    <xf numFmtId="0" fontId="7" fillId="0" borderId="0" xfId="2" applyFont="1" applyFill="1" applyAlignment="1" applyProtection="1">
      <alignment horizontal="right"/>
    </xf>
    <xf numFmtId="0" fontId="8" fillId="0" borderId="3" xfId="2" applyFont="1" applyBorder="1" applyProtection="1"/>
    <xf numFmtId="0" fontId="3" fillId="0" borderId="19" xfId="2" applyBorder="1" applyProtection="1"/>
    <xf numFmtId="14" fontId="9" fillId="2" borderId="4" xfId="2" applyNumberFormat="1" applyFont="1" applyFill="1" applyBorder="1" applyAlignment="1" applyProtection="1">
      <alignment horizontal="center"/>
      <protection locked="0"/>
    </xf>
    <xf numFmtId="0" fontId="7" fillId="0" borderId="0" xfId="2" applyFont="1" applyBorder="1" applyAlignment="1" applyProtection="1">
      <alignment horizontal="right"/>
    </xf>
    <xf numFmtId="164" fontId="7" fillId="0" borderId="21" xfId="2" applyNumberFormat="1" applyFont="1" applyBorder="1" applyProtection="1"/>
    <xf numFmtId="0" fontId="8" fillId="0" borderId="28" xfId="2" applyFont="1" applyBorder="1" applyAlignment="1" applyProtection="1">
      <alignment horizontal="right"/>
    </xf>
    <xf numFmtId="0" fontId="8" fillId="0" borderId="29" xfId="2" applyFont="1" applyBorder="1" applyAlignment="1" applyProtection="1">
      <alignment horizontal="right"/>
    </xf>
    <xf numFmtId="0" fontId="8" fillId="0" borderId="30" xfId="2" applyFont="1" applyBorder="1" applyAlignment="1" applyProtection="1">
      <alignment horizontal="right"/>
    </xf>
    <xf numFmtId="2" fontId="9" fillId="0" borderId="0" xfId="2" applyNumberFormat="1" applyFont="1" applyFill="1" applyBorder="1" applyProtection="1"/>
    <xf numFmtId="0" fontId="3" fillId="0" borderId="0" xfId="2" applyFill="1"/>
    <xf numFmtId="2" fontId="9" fillId="0" borderId="0" xfId="2" applyNumberFormat="1" applyFont="1" applyFill="1" applyBorder="1" applyAlignment="1" applyProtection="1">
      <alignment horizontal="right"/>
    </xf>
    <xf numFmtId="164" fontId="3" fillId="0" borderId="0" xfId="2" applyNumberFormat="1" applyFill="1" applyBorder="1" applyProtection="1"/>
    <xf numFmtId="0" fontId="9" fillId="0" borderId="0" xfId="2" applyFont="1" applyFill="1" applyBorder="1" applyAlignment="1" applyProtection="1">
      <alignment horizontal="right"/>
    </xf>
    <xf numFmtId="0" fontId="3" fillId="0" borderId="16" xfId="2" applyBorder="1"/>
    <xf numFmtId="0" fontId="3" fillId="0" borderId="32" xfId="2" applyBorder="1"/>
    <xf numFmtId="0" fontId="3" fillId="0" borderId="0" xfId="2" applyFill="1" applyBorder="1" applyAlignment="1">
      <alignment horizontal="center"/>
    </xf>
    <xf numFmtId="0" fontId="3" fillId="0" borderId="40" xfId="2" applyBorder="1"/>
    <xf numFmtId="0" fontId="3" fillId="0" borderId="50" xfId="2" applyFill="1" applyBorder="1"/>
    <xf numFmtId="0" fontId="13" fillId="0" borderId="3" xfId="2" applyFont="1" applyBorder="1" applyProtection="1"/>
    <xf numFmtId="0" fontId="13" fillId="0" borderId="32" xfId="2" applyFont="1" applyBorder="1"/>
    <xf numFmtId="0" fontId="13" fillId="0" borderId="0" xfId="2" applyFont="1" applyFill="1"/>
    <xf numFmtId="0" fontId="13" fillId="0" borderId="0" xfId="2" applyFont="1"/>
    <xf numFmtId="0" fontId="14" fillId="0" borderId="3" xfId="2" applyFont="1" applyBorder="1" applyProtection="1"/>
    <xf numFmtId="0" fontId="14" fillId="0" borderId="32" xfId="2" applyFont="1" applyBorder="1"/>
    <xf numFmtId="0" fontId="14" fillId="0" borderId="0" xfId="2" applyFont="1" applyFill="1"/>
    <xf numFmtId="0" fontId="14" fillId="0" borderId="0" xfId="2" applyFont="1"/>
    <xf numFmtId="0" fontId="8" fillId="0" borderId="51" xfId="2" applyFont="1" applyFill="1" applyBorder="1" applyAlignment="1" applyProtection="1">
      <alignment horizontal="center"/>
    </xf>
    <xf numFmtId="0" fontId="8" fillId="0" borderId="52" xfId="2" applyFont="1" applyFill="1" applyBorder="1" applyAlignment="1" applyProtection="1">
      <alignment horizontal="center"/>
    </xf>
    <xf numFmtId="0" fontId="8" fillId="0" borderId="53" xfId="2" applyFont="1" applyFill="1" applyBorder="1" applyAlignment="1" applyProtection="1">
      <alignment horizontal="center"/>
    </xf>
    <xf numFmtId="0" fontId="8" fillId="0" borderId="54" xfId="2" applyFont="1" applyFill="1" applyBorder="1" applyAlignment="1" applyProtection="1">
      <alignment horizontal="center"/>
    </xf>
    <xf numFmtId="0" fontId="8" fillId="0" borderId="55" xfId="2" applyFont="1" applyFill="1" applyBorder="1" applyAlignment="1" applyProtection="1">
      <alignment horizontal="center"/>
    </xf>
    <xf numFmtId="0" fontId="8" fillId="0" borderId="56" xfId="2" applyFont="1" applyFill="1" applyBorder="1" applyAlignment="1" applyProtection="1">
      <alignment horizontal="center"/>
    </xf>
    <xf numFmtId="0" fontId="8" fillId="2" borderId="4" xfId="2" applyFont="1" applyFill="1" applyBorder="1" applyAlignment="1" applyProtection="1">
      <alignment horizontal="center"/>
      <protection locked="0"/>
    </xf>
    <xf numFmtId="164" fontId="8" fillId="0" borderId="57" xfId="2" applyNumberFormat="1" applyFont="1" applyFill="1" applyBorder="1" applyAlignment="1" applyProtection="1">
      <alignment horizontal="center"/>
    </xf>
    <xf numFmtId="164" fontId="8" fillId="0" borderId="58" xfId="2" applyNumberFormat="1" applyFont="1" applyFill="1" applyBorder="1" applyAlignment="1" applyProtection="1">
      <alignment horizontal="center"/>
    </xf>
    <xf numFmtId="0" fontId="8" fillId="0" borderId="59" xfId="2" applyFont="1" applyFill="1" applyBorder="1" applyAlignment="1" applyProtection="1">
      <alignment horizontal="center"/>
    </xf>
    <xf numFmtId="0" fontId="8" fillId="2" borderId="61" xfId="2" applyFont="1" applyFill="1" applyBorder="1" applyAlignment="1" applyProtection="1">
      <alignment horizontal="center"/>
      <protection locked="0"/>
    </xf>
    <xf numFmtId="0" fontId="9" fillId="0" borderId="62" xfId="2" applyFont="1" applyFill="1" applyBorder="1" applyAlignment="1" applyProtection="1">
      <alignment horizontal="center"/>
    </xf>
    <xf numFmtId="0" fontId="9" fillId="0" borderId="52" xfId="2" applyFont="1" applyFill="1" applyBorder="1" applyAlignment="1" applyProtection="1">
      <alignment horizontal="center"/>
    </xf>
    <xf numFmtId="164" fontId="9" fillId="0" borderId="52" xfId="2" applyNumberFormat="1" applyFont="1" applyFill="1" applyBorder="1" applyAlignment="1" applyProtection="1">
      <alignment horizontal="center"/>
    </xf>
    <xf numFmtId="164" fontId="9" fillId="0" borderId="49" xfId="2" applyNumberFormat="1" applyFont="1" applyFill="1" applyBorder="1" applyAlignment="1" applyProtection="1">
      <alignment horizontal="center"/>
    </xf>
    <xf numFmtId="0" fontId="9" fillId="0" borderId="30" xfId="2" applyFont="1" applyFill="1" applyBorder="1" applyAlignment="1" applyProtection="1">
      <alignment horizontal="center"/>
    </xf>
    <xf numFmtId="0" fontId="9" fillId="0" borderId="63" xfId="2" applyFont="1" applyFill="1" applyBorder="1" applyAlignment="1" applyProtection="1">
      <alignment horizontal="center"/>
    </xf>
    <xf numFmtId="164" fontId="9" fillId="0" borderId="63" xfId="2" applyNumberFormat="1" applyFont="1" applyFill="1" applyBorder="1" applyAlignment="1" applyProtection="1">
      <alignment horizontal="center"/>
    </xf>
    <xf numFmtId="164" fontId="9" fillId="0" borderId="64" xfId="2" applyNumberFormat="1" applyFont="1" applyFill="1" applyBorder="1" applyAlignment="1" applyProtection="1">
      <alignment horizontal="center"/>
    </xf>
    <xf numFmtId="0" fontId="8" fillId="0" borderId="65" xfId="2" applyFont="1" applyFill="1" applyBorder="1" applyAlignment="1" applyProtection="1">
      <alignment horizontal="center"/>
    </xf>
    <xf numFmtId="0" fontId="9" fillId="0" borderId="66" xfId="2" applyFont="1" applyFill="1" applyBorder="1" applyAlignment="1" applyProtection="1">
      <alignment horizontal="center"/>
    </xf>
    <xf numFmtId="0" fontId="9" fillId="0" borderId="0" xfId="2" applyFont="1" applyFill="1" applyBorder="1" applyAlignment="1" applyProtection="1">
      <alignment horizontal="center"/>
    </xf>
    <xf numFmtId="164" fontId="9" fillId="0" borderId="0" xfId="2" applyNumberFormat="1" applyFont="1" applyFill="1" applyBorder="1" applyAlignment="1" applyProtection="1">
      <alignment horizontal="center"/>
    </xf>
    <xf numFmtId="164" fontId="8" fillId="2" borderId="4" xfId="2" applyNumberFormat="1" applyFont="1" applyFill="1" applyBorder="1" applyAlignment="1" applyProtection="1">
      <alignment horizontal="center"/>
      <protection locked="0"/>
    </xf>
    <xf numFmtId="0" fontId="8" fillId="0" borderId="22" xfId="2" applyFont="1" applyFill="1" applyBorder="1" applyAlignment="1" applyProtection="1">
      <alignment horizontal="center"/>
    </xf>
    <xf numFmtId="0" fontId="8" fillId="7" borderId="52" xfId="2" applyFont="1" applyFill="1" applyBorder="1" applyAlignment="1" applyProtection="1">
      <alignment horizontal="center"/>
    </xf>
    <xf numFmtId="0" fontId="8" fillId="7" borderId="53" xfId="2" applyFont="1" applyFill="1" applyBorder="1" applyAlignment="1" applyProtection="1">
      <alignment horizontal="center"/>
    </xf>
    <xf numFmtId="0" fontId="8" fillId="7" borderId="56" xfId="2" applyFont="1" applyFill="1" applyBorder="1" applyAlignment="1" applyProtection="1">
      <alignment horizontal="center"/>
    </xf>
    <xf numFmtId="0" fontId="8" fillId="7" borderId="13" xfId="2" applyFont="1" applyFill="1" applyBorder="1" applyAlignment="1" applyProtection="1">
      <alignment horizontal="center"/>
    </xf>
    <xf numFmtId="0" fontId="8" fillId="7" borderId="60" xfId="2" applyFont="1" applyFill="1" applyBorder="1" applyAlignment="1" applyProtection="1">
      <alignment horizontal="center"/>
    </xf>
    <xf numFmtId="0" fontId="8" fillId="7" borderId="63" xfId="2" applyFont="1" applyFill="1" applyBorder="1" applyAlignment="1" applyProtection="1">
      <alignment horizontal="center"/>
    </xf>
    <xf numFmtId="164" fontId="8" fillId="8" borderId="49" xfId="2" applyNumberFormat="1" applyFont="1" applyFill="1" applyBorder="1" applyAlignment="1" applyProtection="1">
      <alignment horizontal="center"/>
    </xf>
    <xf numFmtId="0" fontId="8" fillId="0" borderId="47" xfId="2" applyFont="1" applyFill="1" applyBorder="1" applyAlignment="1" applyProtection="1">
      <alignment horizontal="center"/>
    </xf>
    <xf numFmtId="0" fontId="3" fillId="0" borderId="0" xfId="2" applyFont="1" applyFill="1" applyProtection="1"/>
    <xf numFmtId="0" fontId="8" fillId="0" borderId="28" xfId="2" applyFont="1" applyFill="1" applyBorder="1" applyAlignment="1" applyProtection="1">
      <alignment horizontal="right"/>
    </xf>
    <xf numFmtId="0" fontId="8" fillId="0" borderId="29" xfId="2" applyFont="1" applyFill="1" applyBorder="1" applyAlignment="1" applyProtection="1">
      <alignment horizontal="right"/>
    </xf>
    <xf numFmtId="0" fontId="8" fillId="0" borderId="30" xfId="2" applyFont="1" applyFill="1" applyBorder="1" applyAlignment="1" applyProtection="1">
      <alignment horizontal="right"/>
    </xf>
    <xf numFmtId="0" fontId="8" fillId="0" borderId="3" xfId="2" applyFont="1" applyFill="1" applyBorder="1" applyAlignment="1" applyProtection="1">
      <alignment horizontal="right"/>
    </xf>
    <xf numFmtId="164" fontId="8" fillId="0" borderId="0" xfId="2" applyNumberFormat="1" applyFont="1" applyFill="1" applyBorder="1" applyAlignment="1" applyProtection="1">
      <alignment horizontal="center"/>
    </xf>
    <xf numFmtId="0" fontId="8" fillId="0" borderId="52" xfId="2" applyFont="1" applyBorder="1" applyAlignment="1" applyProtection="1">
      <alignment horizontal="center"/>
    </xf>
    <xf numFmtId="0" fontId="8" fillId="0" borderId="53" xfId="2" applyFont="1" applyBorder="1" applyAlignment="1" applyProtection="1">
      <alignment horizontal="center"/>
    </xf>
    <xf numFmtId="2" fontId="8" fillId="2" borderId="75" xfId="2" applyNumberFormat="1" applyFont="1" applyFill="1" applyBorder="1" applyAlignment="1" applyProtection="1">
      <alignment horizontal="right"/>
      <protection locked="0"/>
    </xf>
    <xf numFmtId="164" fontId="8" fillId="0" borderId="56" xfId="2" applyNumberFormat="1" applyFont="1" applyBorder="1" applyProtection="1"/>
    <xf numFmtId="164" fontId="8" fillId="2" borderId="4" xfId="2" applyNumberFormat="1" applyFont="1" applyFill="1" applyBorder="1" applyProtection="1">
      <protection locked="0"/>
    </xf>
    <xf numFmtId="164" fontId="8" fillId="2" borderId="61" xfId="2" applyNumberFormat="1" applyFont="1" applyFill="1" applyBorder="1" applyProtection="1">
      <protection locked="0"/>
    </xf>
    <xf numFmtId="0" fontId="9" fillId="0" borderId="18" xfId="2" applyFont="1" applyFill="1" applyBorder="1" applyAlignment="1" applyProtection="1">
      <alignment horizontal="right"/>
    </xf>
    <xf numFmtId="2" fontId="9" fillId="0" borderId="1" xfId="2" applyNumberFormat="1" applyFont="1" applyFill="1" applyBorder="1" applyProtection="1"/>
    <xf numFmtId="164" fontId="8" fillId="0" borderId="112" xfId="2" applyNumberFormat="1" applyFont="1" applyBorder="1" applyProtection="1"/>
    <xf numFmtId="164" fontId="8" fillId="0" borderId="113" xfId="2" applyNumberFormat="1" applyFont="1" applyBorder="1" applyProtection="1"/>
    <xf numFmtId="2" fontId="9" fillId="0" borderId="95" xfId="2" applyNumberFormat="1" applyFont="1" applyFill="1" applyBorder="1" applyProtection="1"/>
    <xf numFmtId="164" fontId="8" fillId="10" borderId="95" xfId="2" applyNumberFormat="1" applyFont="1" applyFill="1" applyBorder="1" applyProtection="1"/>
    <xf numFmtId="164" fontId="8" fillId="0" borderId="97" xfId="2" applyNumberFormat="1" applyFont="1" applyBorder="1" applyProtection="1"/>
    <xf numFmtId="0" fontId="9" fillId="0" borderId="1" xfId="2" applyFont="1" applyFill="1" applyBorder="1" applyAlignment="1" applyProtection="1">
      <alignment horizontal="right"/>
    </xf>
    <xf numFmtId="164" fontId="8" fillId="0" borderId="1" xfId="2" applyNumberFormat="1" applyFont="1" applyFill="1" applyBorder="1" applyProtection="1"/>
    <xf numFmtId="164" fontId="8" fillId="0" borderId="115" xfId="2" applyNumberFormat="1" applyFont="1" applyFill="1" applyBorder="1" applyAlignment="1" applyProtection="1"/>
    <xf numFmtId="2" fontId="8" fillId="0" borderId="56" xfId="2" applyNumberFormat="1" applyFont="1" applyFill="1" applyBorder="1" applyAlignment="1" applyProtection="1"/>
    <xf numFmtId="2" fontId="9" fillId="0" borderId="96" xfId="2" applyNumberFormat="1" applyFont="1" applyFill="1" applyBorder="1" applyAlignment="1" applyProtection="1"/>
    <xf numFmtId="0" fontId="3" fillId="0" borderId="3" xfId="2" applyBorder="1"/>
    <xf numFmtId="0" fontId="13" fillId="0" borderId="0" xfId="2" applyFont="1" applyFill="1" applyProtection="1"/>
    <xf numFmtId="0" fontId="14" fillId="0" borderId="0" xfId="2" applyFont="1" applyFill="1" applyProtection="1"/>
    <xf numFmtId="0" fontId="8" fillId="0" borderId="0" xfId="2" applyFont="1" applyFill="1" applyAlignment="1" applyProtection="1">
      <alignment horizontal="center"/>
    </xf>
    <xf numFmtId="0" fontId="8" fillId="0" borderId="3" xfId="2" applyFont="1" applyFill="1" applyBorder="1" applyAlignment="1" applyProtection="1">
      <alignment horizontal="center"/>
    </xf>
    <xf numFmtId="0" fontId="1" fillId="0" borderId="0" xfId="1"/>
    <xf numFmtId="0" fontId="1" fillId="0" borderId="0" xfId="1" applyProtection="1"/>
    <xf numFmtId="0" fontId="1" fillId="0" borderId="0" xfId="1" applyFill="1" applyBorder="1" applyProtection="1"/>
    <xf numFmtId="0" fontId="3" fillId="0" borderId="0" xfId="1" applyFont="1" applyBorder="1" applyProtection="1"/>
    <xf numFmtId="0" fontId="3" fillId="0" borderId="0" xfId="1" applyFont="1" applyBorder="1" applyAlignment="1" applyProtection="1">
      <alignment horizontal="right"/>
    </xf>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1"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0" fontId="3" fillId="0" borderId="0" xfId="1" applyFont="1" applyFill="1" applyBorder="1" applyAlignment="1" applyProtection="1">
      <alignment horizontal="right"/>
    </xf>
    <xf numFmtId="0" fontId="7" fillId="0" borderId="0" xfId="1" applyFont="1" applyBorder="1" applyProtection="1"/>
    <xf numFmtId="0" fontId="1" fillId="0" borderId="0" xfId="1" applyFill="1" applyProtection="1"/>
    <xf numFmtId="164" fontId="3" fillId="0" borderId="0" xfId="1" applyNumberFormat="1" applyFont="1" applyFill="1" applyBorder="1" applyProtection="1"/>
    <xf numFmtId="165" fontId="3" fillId="0" borderId="0" xfId="1" applyNumberFormat="1" applyFont="1" applyFill="1" applyBorder="1" applyProtection="1"/>
    <xf numFmtId="165" fontId="3" fillId="0" borderId="0" xfId="1" applyNumberFormat="1" applyFont="1" applyFill="1" applyBorder="1" applyAlignment="1" applyProtection="1">
      <alignment horizontal="right"/>
    </xf>
    <xf numFmtId="0" fontId="1" fillId="0" borderId="0" xfId="1" applyFill="1" applyBorder="1" applyAlignment="1" applyProtection="1">
      <alignment horizontal="center" wrapText="1"/>
    </xf>
    <xf numFmtId="0" fontId="1" fillId="0" borderId="0" xfId="1" applyFill="1" applyBorder="1" applyAlignment="1" applyProtection="1">
      <alignment horizontal="right"/>
    </xf>
    <xf numFmtId="2" fontId="1" fillId="2" borderId="4" xfId="1" applyNumberFormat="1" applyFill="1" applyBorder="1" applyProtection="1">
      <protection locked="0"/>
    </xf>
    <xf numFmtId="164" fontId="1" fillId="0" borderId="15" xfId="1" applyNumberFormat="1" applyBorder="1" applyProtection="1"/>
    <xf numFmtId="164" fontId="3" fillId="0" borderId="17" xfId="1" applyNumberFormat="1" applyFont="1" applyFill="1" applyBorder="1" applyAlignment="1" applyProtection="1">
      <alignment horizontal="center"/>
    </xf>
    <xf numFmtId="0" fontId="17" fillId="0" borderId="0" xfId="1" applyFont="1" applyBorder="1" applyAlignment="1" applyProtection="1">
      <alignment horizontal="center"/>
    </xf>
    <xf numFmtId="164" fontId="1" fillId="0" borderId="0" xfId="1" applyNumberFormat="1" applyFill="1" applyProtection="1"/>
    <xf numFmtId="0" fontId="1" fillId="0" borderId="0" xfId="1" applyBorder="1" applyAlignment="1" applyProtection="1">
      <alignment horizontal="center" wrapText="1"/>
    </xf>
    <xf numFmtId="164" fontId="1" fillId="0" borderId="22" xfId="1" applyNumberFormat="1" applyFill="1" applyBorder="1" applyAlignment="1" applyProtection="1">
      <alignment horizontal="center"/>
    </xf>
    <xf numFmtId="0" fontId="10" fillId="0" borderId="0" xfId="1" applyFont="1" applyBorder="1" applyAlignment="1" applyProtection="1">
      <alignment horizontal="center"/>
    </xf>
    <xf numFmtId="164" fontId="7" fillId="0" borderId="0" xfId="1" applyNumberFormat="1" applyFont="1" applyBorder="1" applyAlignment="1" applyProtection="1"/>
    <xf numFmtId="0" fontId="2" fillId="0" borderId="0" xfId="1" applyFont="1" applyBorder="1" applyAlignment="1" applyProtection="1">
      <alignment horizontal="center"/>
    </xf>
    <xf numFmtId="164" fontId="1" fillId="0" borderId="0" xfId="1" applyNumberFormat="1" applyFill="1" applyBorder="1" applyAlignment="1" applyProtection="1">
      <alignment horizontal="right"/>
    </xf>
    <xf numFmtId="14" fontId="1" fillId="3" borderId="23" xfId="1" applyNumberFormat="1" applyFill="1" applyBorder="1" applyProtection="1">
      <protection locked="0"/>
    </xf>
    <xf numFmtId="14" fontId="1" fillId="3" borderId="4" xfId="1" applyNumberFormat="1" applyFill="1" applyBorder="1" applyProtection="1">
      <protection locked="0"/>
    </xf>
    <xf numFmtId="165" fontId="1" fillId="3" borderId="4" xfId="1" applyNumberFormat="1" applyFill="1" applyBorder="1" applyProtection="1">
      <protection locked="0"/>
    </xf>
    <xf numFmtId="164" fontId="1" fillId="3" borderId="4" xfId="1" applyNumberFormat="1" applyFill="1" applyBorder="1" applyProtection="1">
      <protection locked="0"/>
    </xf>
    <xf numFmtId="0" fontId="1" fillId="3" borderId="24" xfId="1" applyFill="1" applyBorder="1" applyProtection="1">
      <protection locked="0"/>
    </xf>
    <xf numFmtId="164" fontId="1" fillId="3" borderId="25" xfId="1" applyNumberFormat="1" applyFill="1" applyBorder="1" applyProtection="1">
      <protection locked="0"/>
    </xf>
    <xf numFmtId="0" fontId="1" fillId="3" borderId="26" xfId="1" applyFill="1" applyBorder="1" applyProtection="1">
      <protection locked="0"/>
    </xf>
    <xf numFmtId="10" fontId="3" fillId="0" borderId="0" xfId="1" applyNumberFormat="1" applyFont="1" applyBorder="1" applyProtection="1"/>
    <xf numFmtId="165" fontId="1" fillId="0" borderId="0" xfId="1" applyNumberFormat="1" applyProtection="1"/>
    <xf numFmtId="0" fontId="1" fillId="0" borderId="1" xfId="1" applyBorder="1" applyAlignment="1" applyProtection="1">
      <alignment wrapText="1"/>
    </xf>
    <xf numFmtId="0" fontId="1" fillId="0" borderId="1" xfId="1" applyBorder="1" applyAlignment="1" applyProtection="1">
      <alignment horizontal="center" wrapText="1"/>
    </xf>
    <xf numFmtId="0" fontId="6" fillId="0" borderId="0" xfId="1" applyFont="1" applyAlignment="1" applyProtection="1">
      <alignment horizontal="center" vertical="center" wrapText="1"/>
    </xf>
    <xf numFmtId="164" fontId="1" fillId="0" borderId="0" xfId="1" applyNumberFormat="1" applyFill="1" applyBorder="1" applyProtection="1"/>
    <xf numFmtId="0" fontId="1" fillId="0" borderId="0" xfId="1" applyAlignment="1" applyProtection="1">
      <alignment horizontal="center"/>
    </xf>
    <xf numFmtId="0" fontId="1" fillId="0" borderId="18" xfId="1" applyBorder="1" applyAlignment="1" applyProtection="1">
      <alignment horizontal="center" wrapText="1"/>
    </xf>
    <xf numFmtId="0" fontId="1" fillId="0" borderId="35" xfId="1" applyBorder="1" applyAlignment="1" applyProtection="1">
      <alignment horizontal="center" wrapText="1"/>
    </xf>
    <xf numFmtId="0" fontId="3" fillId="0" borderId="36" xfId="1" applyFont="1" applyBorder="1" applyAlignment="1" applyProtection="1">
      <alignment horizontal="center" wrapText="1"/>
    </xf>
    <xf numFmtId="0" fontId="1" fillId="0" borderId="36" xfId="1" applyBorder="1" applyAlignment="1" applyProtection="1">
      <alignment horizontal="center" wrapText="1"/>
    </xf>
    <xf numFmtId="0" fontId="1" fillId="0" borderId="37" xfId="1" applyBorder="1" applyAlignment="1" applyProtection="1">
      <alignment horizontal="center" wrapText="1"/>
    </xf>
    <xf numFmtId="164" fontId="1" fillId="0" borderId="39" xfId="1" applyNumberFormat="1" applyBorder="1" applyProtection="1"/>
    <xf numFmtId="164" fontId="1" fillId="0" borderId="39" xfId="1" applyNumberFormat="1" applyBorder="1" applyAlignment="1" applyProtection="1">
      <alignment horizontal="right"/>
    </xf>
    <xf numFmtId="164" fontId="1" fillId="0" borderId="40" xfId="1" applyNumberFormat="1" applyBorder="1" applyAlignment="1" applyProtection="1">
      <alignment horizontal="right"/>
    </xf>
    <xf numFmtId="165" fontId="1" fillId="0" borderId="0" xfId="1" applyNumberFormat="1" applyFill="1" applyBorder="1" applyProtection="1"/>
    <xf numFmtId="164" fontId="1" fillId="0" borderId="0" xfId="1" applyNumberFormat="1" applyBorder="1" applyAlignment="1" applyProtection="1">
      <alignment horizontal="right"/>
    </xf>
    <xf numFmtId="164" fontId="1" fillId="0" borderId="32" xfId="1" applyNumberFormat="1" applyBorder="1" applyAlignment="1" applyProtection="1">
      <alignment horizontal="right"/>
    </xf>
    <xf numFmtId="0" fontId="7" fillId="0" borderId="3" xfId="1" applyFont="1" applyBorder="1" applyProtection="1"/>
    <xf numFmtId="0" fontId="1" fillId="0" borderId="41" xfId="1" applyBorder="1" applyAlignment="1" applyProtection="1">
      <alignment horizontal="center" wrapText="1"/>
    </xf>
    <xf numFmtId="0" fontId="1" fillId="0" borderId="42" xfId="1" applyBorder="1" applyProtection="1"/>
    <xf numFmtId="0" fontId="1" fillId="0" borderId="43" xfId="1" applyBorder="1" applyAlignment="1" applyProtection="1">
      <alignment horizontal="center" wrapText="1"/>
    </xf>
    <xf numFmtId="0" fontId="1" fillId="0" borderId="44" xfId="1" applyBorder="1" applyAlignment="1" applyProtection="1">
      <alignment horizontal="center"/>
    </xf>
    <xf numFmtId="2" fontId="1" fillId="0" borderId="45" xfId="1" applyNumberFormat="1" applyFill="1" applyBorder="1" applyProtection="1"/>
    <xf numFmtId="0" fontId="1" fillId="4" borderId="46" xfId="1" applyFill="1" applyBorder="1" applyProtection="1"/>
    <xf numFmtId="164" fontId="1" fillId="0" borderId="47" xfId="1" applyNumberFormat="1" applyFill="1" applyBorder="1" applyProtection="1"/>
    <xf numFmtId="2" fontId="1" fillId="0" borderId="48" xfId="1" applyNumberFormat="1" applyFill="1" applyBorder="1" applyProtection="1"/>
    <xf numFmtId="0" fontId="1" fillId="4" borderId="13" xfId="1" applyFill="1" applyBorder="1" applyProtection="1"/>
    <xf numFmtId="0" fontId="17" fillId="0" borderId="32" xfId="1" applyFont="1" applyBorder="1" applyAlignment="1" applyProtection="1">
      <alignment horizontal="center"/>
    </xf>
    <xf numFmtId="0" fontId="17" fillId="0" borderId="3" xfId="1" applyFont="1" applyBorder="1" applyAlignment="1" applyProtection="1">
      <alignment horizontal="center"/>
    </xf>
    <xf numFmtId="0" fontId="1" fillId="0" borderId="32" xfId="1" applyBorder="1" applyAlignment="1" applyProtection="1">
      <alignment horizontal="right"/>
    </xf>
    <xf numFmtId="0" fontId="1" fillId="5" borderId="35" xfId="1" applyFill="1" applyBorder="1" applyAlignment="1" applyProtection="1">
      <alignment horizontal="center"/>
    </xf>
    <xf numFmtId="0" fontId="1" fillId="5" borderId="35" xfId="1" applyFill="1" applyBorder="1" applyAlignment="1" applyProtection="1">
      <alignment horizontal="center" wrapText="1"/>
    </xf>
    <xf numFmtId="0" fontId="1" fillId="0" borderId="37" xfId="1" applyBorder="1" applyAlignment="1" applyProtection="1">
      <alignment horizontal="center"/>
    </xf>
    <xf numFmtId="0" fontId="1" fillId="0" borderId="0" xfId="1" applyProtection="1">
      <protection locked="0"/>
    </xf>
    <xf numFmtId="164" fontId="1" fillId="2" borderId="4" xfId="1" applyNumberFormat="1" applyFill="1" applyBorder="1" applyProtection="1">
      <protection locked="0"/>
    </xf>
    <xf numFmtId="164" fontId="1" fillId="0" borderId="67" xfId="1" applyNumberFormat="1" applyFill="1" applyBorder="1" applyProtection="1"/>
    <xf numFmtId="164" fontId="1" fillId="4" borderId="2" xfId="1" applyNumberFormat="1" applyFill="1" applyBorder="1" applyProtection="1"/>
    <xf numFmtId="0" fontId="1" fillId="0" borderId="0" xfId="1" applyFill="1" applyAlignment="1" applyProtection="1"/>
    <xf numFmtId="0" fontId="3" fillId="0" borderId="0" xfId="1" applyFont="1" applyFill="1" applyProtection="1"/>
    <xf numFmtId="0" fontId="1" fillId="4" borderId="52" xfId="1" applyFill="1" applyBorder="1" applyProtection="1"/>
    <xf numFmtId="0" fontId="1" fillId="4" borderId="53" xfId="1" applyFill="1" applyBorder="1" applyProtection="1"/>
    <xf numFmtId="0" fontId="3" fillId="0" borderId="0" xfId="1" applyFont="1" applyFill="1" applyBorder="1" applyAlignment="1" applyProtection="1">
      <alignment horizontal="right"/>
    </xf>
    <xf numFmtId="0" fontId="1" fillId="0" borderId="0" xfId="1"/>
    <xf numFmtId="0" fontId="1" fillId="0" borderId="0" xfId="1" applyProtection="1"/>
    <xf numFmtId="0" fontId="6" fillId="0" borderId="0" xfId="1" applyFont="1" applyAlignment="1" applyProtection="1">
      <alignment horizontal="center"/>
    </xf>
    <xf numFmtId="0" fontId="3" fillId="0" borderId="0" xfId="1" applyFont="1" applyProtection="1"/>
    <xf numFmtId="0" fontId="9" fillId="0" borderId="0" xfId="1" applyFont="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164" fontId="2" fillId="0" borderId="0" xfId="1" applyNumberFormat="1" applyFont="1" applyFill="1" applyBorder="1" applyProtection="1"/>
    <xf numFmtId="0" fontId="2" fillId="0" borderId="0" xfId="1" applyFont="1" applyFill="1" applyBorder="1" applyProtection="1"/>
    <xf numFmtId="164" fontId="4" fillId="0" borderId="0" xfId="1" applyNumberFormat="1" applyFont="1" applyFill="1" applyBorder="1" applyProtection="1"/>
    <xf numFmtId="0" fontId="1" fillId="0" borderId="0" xfId="1" applyFill="1" applyProtection="1"/>
    <xf numFmtId="164" fontId="1" fillId="0" borderId="0" xfId="1" applyNumberFormat="1" applyProtection="1"/>
    <xf numFmtId="0" fontId="7" fillId="0" borderId="0" xfId="1" applyFont="1" applyBorder="1" applyAlignment="1" applyProtection="1">
      <alignment horizontal="right"/>
    </xf>
    <xf numFmtId="164" fontId="7" fillId="0" borderId="0" xfId="1" applyNumberFormat="1" applyFont="1" applyBorder="1" applyAlignment="1" applyProtection="1">
      <alignment horizontal="right"/>
    </xf>
    <xf numFmtId="164" fontId="1" fillId="0" borderId="32" xfId="1" applyNumberFormat="1" applyBorder="1" applyProtection="1"/>
    <xf numFmtId="49" fontId="1" fillId="0" borderId="0" xfId="1" applyNumberFormat="1" applyProtection="1"/>
    <xf numFmtId="164" fontId="1" fillId="0" borderId="0" xfId="1" applyNumberFormat="1" applyFill="1" applyBorder="1" applyProtection="1"/>
    <xf numFmtId="2" fontId="1" fillId="0" borderId="38" xfId="1" applyNumberFormat="1" applyBorder="1" applyProtection="1"/>
    <xf numFmtId="164" fontId="7" fillId="0" borderId="21" xfId="1" applyNumberFormat="1" applyFont="1" applyBorder="1" applyAlignment="1" applyProtection="1">
      <alignment horizontal="center" vertical="center"/>
    </xf>
    <xf numFmtId="0" fontId="7" fillId="0" borderId="3" xfId="1" applyFont="1" applyBorder="1" applyAlignment="1" applyProtection="1">
      <alignment horizontal="right"/>
    </xf>
    <xf numFmtId="164" fontId="7" fillId="0" borderId="32" xfId="1" applyNumberFormat="1" applyFont="1" applyBorder="1" applyAlignment="1" applyProtection="1">
      <alignment horizontal="right"/>
    </xf>
    <xf numFmtId="164" fontId="1" fillId="6" borderId="0" xfId="1" applyNumberFormat="1" applyFill="1" applyProtection="1"/>
    <xf numFmtId="164" fontId="9" fillId="0" borderId="0" xfId="1" applyNumberFormat="1" applyFont="1" applyFill="1" applyBorder="1" applyProtection="1"/>
    <xf numFmtId="164" fontId="22" fillId="0" borderId="21" xfId="1" applyNumberFormat="1" applyFont="1" applyBorder="1" applyAlignment="1" applyProtection="1">
      <alignment horizontal="center"/>
    </xf>
    <xf numFmtId="0" fontId="8" fillId="0" borderId="1" xfId="1" applyFont="1" applyBorder="1" applyAlignment="1" applyProtection="1">
      <alignment horizontal="center"/>
    </xf>
    <xf numFmtId="0" fontId="1" fillId="0" borderId="0" xfId="1" applyFill="1" applyBorder="1" applyAlignment="1" applyProtection="1">
      <alignment horizontal="center" wrapText="1"/>
    </xf>
    <xf numFmtId="0" fontId="0" fillId="0" borderId="0" xfId="0" applyBorder="1"/>
    <xf numFmtId="164" fontId="9" fillId="0" borderId="116" xfId="2" applyNumberFormat="1" applyFont="1" applyBorder="1" applyAlignment="1" applyProtection="1">
      <alignment horizontal="center"/>
    </xf>
    <xf numFmtId="164" fontId="9" fillId="0" borderId="21" xfId="2" applyNumberFormat="1" applyFont="1" applyBorder="1" applyAlignment="1" applyProtection="1">
      <alignment horizontal="center"/>
    </xf>
    <xf numFmtId="0" fontId="10" fillId="0" borderId="18" xfId="1" applyFont="1" applyBorder="1" applyAlignment="1" applyProtection="1">
      <alignment horizontal="center"/>
    </xf>
    <xf numFmtId="0" fontId="10" fillId="0" borderId="1" xfId="1" applyFont="1" applyBorder="1" applyAlignment="1" applyProtection="1">
      <alignment horizontal="center"/>
    </xf>
    <xf numFmtId="0" fontId="10" fillId="0" borderId="16" xfId="1" applyFont="1" applyBorder="1" applyAlignment="1" applyProtection="1">
      <alignment horizontal="center"/>
    </xf>
    <xf numFmtId="0" fontId="8" fillId="0" borderId="0" xfId="1" applyFont="1" applyAlignment="1" applyProtection="1">
      <alignment horizontal="center"/>
    </xf>
    <xf numFmtId="14" fontId="9" fillId="0" borderId="2" xfId="1" applyNumberFormat="1" applyFont="1" applyBorder="1" applyAlignment="1" applyProtection="1">
      <alignment horizontal="center"/>
    </xf>
    <xf numFmtId="0" fontId="1" fillId="0" borderId="3" xfId="1" applyBorder="1" applyAlignment="1" applyProtection="1">
      <alignment horizontal="right"/>
    </xf>
    <xf numFmtId="0" fontId="3" fillId="0" borderId="12" xfId="1" applyFont="1" applyBorder="1" applyAlignment="1" applyProtection="1">
      <alignment horizontal="right"/>
    </xf>
    <xf numFmtId="0" fontId="3" fillId="0" borderId="60" xfId="1" applyFont="1" applyBorder="1" applyAlignment="1" applyProtection="1">
      <alignment horizontal="right"/>
    </xf>
    <xf numFmtId="0" fontId="1" fillId="0" borderId="0" xfId="1" applyBorder="1" applyProtection="1"/>
    <xf numFmtId="0" fontId="1" fillId="0" borderId="0" xfId="1" applyFill="1" applyBorder="1" applyAlignment="1" applyProtection="1">
      <alignment wrapText="1"/>
    </xf>
    <xf numFmtId="164" fontId="7" fillId="0" borderId="0" xfId="1" applyNumberFormat="1" applyFont="1" applyBorder="1" applyProtection="1"/>
    <xf numFmtId="164" fontId="18" fillId="0" borderId="21" xfId="1" applyNumberFormat="1" applyFont="1" applyBorder="1" applyAlignment="1" applyProtection="1">
      <alignment horizontal="center" vertical="center"/>
    </xf>
    <xf numFmtId="164" fontId="7" fillId="0" borderId="32" xfId="1" applyNumberFormat="1" applyFont="1" applyBorder="1" applyAlignment="1" applyProtection="1">
      <alignment horizontal="center" vertical="center"/>
    </xf>
    <xf numFmtId="164" fontId="7" fillId="0" borderId="37" xfId="1" applyNumberFormat="1" applyFont="1" applyBorder="1" applyAlignment="1" applyProtection="1">
      <alignment horizontal="center" vertical="center"/>
    </xf>
    <xf numFmtId="164" fontId="1" fillId="2" borderId="10" xfId="1" applyNumberFormat="1" applyFill="1" applyBorder="1" applyAlignment="1" applyProtection="1">
      <alignment horizontal="center" vertical="center"/>
      <protection locked="0"/>
    </xf>
    <xf numFmtId="164" fontId="1" fillId="2" borderId="85" xfId="1" applyNumberFormat="1" applyFill="1" applyBorder="1" applyAlignment="1" applyProtection="1">
      <alignment horizontal="center" vertical="center"/>
      <protection locked="0"/>
    </xf>
    <xf numFmtId="164" fontId="1" fillId="2" borderId="11" xfId="1" applyNumberFormat="1" applyFill="1" applyBorder="1" applyAlignment="1" applyProtection="1">
      <alignment horizontal="center" vertical="center"/>
      <protection locked="0"/>
    </xf>
    <xf numFmtId="164" fontId="1" fillId="2" borderId="57" xfId="1" applyNumberFormat="1" applyFill="1" applyBorder="1" applyAlignment="1" applyProtection="1">
      <alignment horizontal="center" vertical="center"/>
      <protection locked="0"/>
    </xf>
    <xf numFmtId="164" fontId="1" fillId="2" borderId="13" xfId="1" applyNumberFormat="1" applyFill="1" applyBorder="1" applyAlignment="1" applyProtection="1">
      <alignment horizontal="center" vertical="center"/>
      <protection locked="0"/>
    </xf>
    <xf numFmtId="164" fontId="1" fillId="2" borderId="56" xfId="1" applyNumberFormat="1" applyFill="1" applyBorder="1" applyAlignment="1" applyProtection="1">
      <alignment horizontal="center" vertical="center"/>
      <protection locked="0"/>
    </xf>
    <xf numFmtId="164" fontId="1" fillId="2" borderId="14" xfId="1" applyNumberFormat="1" applyFill="1" applyBorder="1" applyAlignment="1" applyProtection="1">
      <alignment horizontal="center" vertical="center"/>
      <protection locked="0"/>
    </xf>
    <xf numFmtId="164" fontId="1" fillId="2" borderId="90" xfId="1" applyNumberFormat="1" applyFill="1" applyBorder="1" applyAlignment="1" applyProtection="1">
      <alignment horizontal="center" vertical="center"/>
      <protection locked="0"/>
    </xf>
    <xf numFmtId="164" fontId="9" fillId="0" borderId="21" xfId="1" applyNumberFormat="1" applyFont="1" applyBorder="1" applyAlignment="1" applyProtection="1">
      <alignment horizontal="center" vertical="center"/>
    </xf>
    <xf numFmtId="164" fontId="3" fillId="0" borderId="48" xfId="1" applyNumberFormat="1" applyFont="1" applyFill="1" applyBorder="1" applyAlignment="1" applyProtection="1">
      <alignment horizontal="center" vertical="center"/>
    </xf>
    <xf numFmtId="0" fontId="3" fillId="0" borderId="28" xfId="1" applyFont="1" applyBorder="1" applyAlignment="1" applyProtection="1"/>
    <xf numFmtId="0" fontId="3" fillId="0" borderId="29" xfId="1" applyFont="1" applyBorder="1" applyAlignment="1" applyProtection="1"/>
    <xf numFmtId="0" fontId="3" fillId="0" borderId="57" xfId="1" applyFont="1" applyBorder="1" applyAlignment="1" applyProtection="1"/>
    <xf numFmtId="0" fontId="3" fillId="0" borderId="30" xfId="1" applyFont="1" applyBorder="1" applyAlignment="1" applyProtection="1"/>
    <xf numFmtId="0" fontId="3" fillId="0" borderId="107" xfId="1" applyFont="1" applyBorder="1" applyAlignment="1" applyProtection="1"/>
    <xf numFmtId="0" fontId="3" fillId="0" borderId="74" xfId="1" applyFont="1" applyFill="1" applyBorder="1" applyAlignment="1" applyProtection="1"/>
    <xf numFmtId="0" fontId="3" fillId="0" borderId="38" xfId="1" applyFont="1" applyFill="1" applyBorder="1" applyAlignment="1" applyProtection="1"/>
    <xf numFmtId="0" fontId="21" fillId="0" borderId="74" xfId="1" applyFont="1" applyFill="1" applyBorder="1" applyAlignment="1" applyProtection="1"/>
    <xf numFmtId="0" fontId="21" fillId="0" borderId="38" xfId="1" applyFont="1" applyFill="1" applyBorder="1" applyAlignment="1" applyProtection="1"/>
    <xf numFmtId="0" fontId="19" fillId="0" borderId="38" xfId="1" applyFont="1" applyBorder="1" applyAlignment="1" applyProtection="1">
      <alignment horizontal="center"/>
    </xf>
    <xf numFmtId="0" fontId="19" fillId="0" borderId="74" xfId="1" applyFont="1" applyBorder="1" applyAlignment="1" applyProtection="1">
      <alignment horizontal="center"/>
    </xf>
    <xf numFmtId="0" fontId="19" fillId="0" borderId="37" xfId="1" applyFont="1" applyBorder="1" applyAlignment="1" applyProtection="1">
      <alignment horizontal="center"/>
    </xf>
    <xf numFmtId="164" fontId="13" fillId="0" borderId="15" xfId="1" applyNumberFormat="1" applyFont="1" applyBorder="1" applyAlignment="1" applyProtection="1">
      <alignment horizontal="right"/>
    </xf>
    <xf numFmtId="4" fontId="13" fillId="0" borderId="117" xfId="1" applyNumberFormat="1" applyFont="1" applyBorder="1" applyAlignment="1" applyProtection="1">
      <alignment horizontal="right"/>
    </xf>
    <xf numFmtId="164" fontId="8" fillId="0" borderId="40" xfId="1" applyNumberFormat="1" applyFont="1" applyBorder="1" applyProtection="1"/>
    <xf numFmtId="164" fontId="24" fillId="0" borderId="37" xfId="1" applyNumberFormat="1" applyFont="1" applyFill="1" applyBorder="1" applyAlignment="1" applyProtection="1">
      <alignment horizontal="right"/>
    </xf>
    <xf numFmtId="0" fontId="3" fillId="0" borderId="0" xfId="1" applyFont="1"/>
    <xf numFmtId="164" fontId="3" fillId="0" borderId="0" xfId="1" applyNumberFormat="1" applyFont="1" applyProtection="1"/>
    <xf numFmtId="164" fontId="1" fillId="0" borderId="0" xfId="1" applyNumberFormat="1"/>
    <xf numFmtId="0" fontId="0" fillId="0" borderId="0" xfId="0" applyFill="1"/>
    <xf numFmtId="164" fontId="2" fillId="0" borderId="9" xfId="1" applyNumberFormat="1" applyFont="1" applyFill="1" applyBorder="1" applyAlignment="1" applyProtection="1">
      <alignment horizontal="center" vertical="center"/>
    </xf>
    <xf numFmtId="164" fontId="2" fillId="0" borderId="21" xfId="1" applyNumberFormat="1" applyFont="1" applyFill="1" applyBorder="1" applyAlignment="1" applyProtection="1">
      <alignment horizontal="center" vertical="center"/>
    </xf>
    <xf numFmtId="0" fontId="3" fillId="0" borderId="110" xfId="1" applyFont="1" applyBorder="1" applyAlignment="1" applyProtection="1"/>
    <xf numFmtId="4" fontId="13" fillId="2" borderId="4" xfId="1" applyNumberFormat="1" applyFont="1" applyFill="1" applyBorder="1" applyAlignment="1" applyProtection="1">
      <alignment horizontal="right"/>
      <protection locked="0"/>
    </xf>
    <xf numFmtId="0" fontId="1" fillId="0" borderId="0" xfId="1" applyBorder="1" applyProtection="1"/>
    <xf numFmtId="0" fontId="10" fillId="0" borderId="38" xfId="1" applyFont="1" applyBorder="1" applyAlignment="1" applyProtection="1">
      <alignment horizontal="center"/>
    </xf>
    <xf numFmtId="0" fontId="2" fillId="0" borderId="3" xfId="1" applyFont="1" applyBorder="1" applyAlignment="1" applyProtection="1"/>
    <xf numFmtId="0" fontId="2" fillId="0" borderId="0" xfId="1" applyFont="1" applyBorder="1" applyAlignment="1" applyProtection="1"/>
    <xf numFmtId="0" fontId="3" fillId="0" borderId="0" xfId="1" applyFont="1" applyFill="1" applyBorder="1" applyAlignment="1" applyProtection="1">
      <alignment horizontal="right" wrapText="1"/>
    </xf>
    <xf numFmtId="164" fontId="1" fillId="0" borderId="0" xfId="1" applyNumberFormat="1" applyFill="1" applyBorder="1" applyAlignment="1" applyProtection="1">
      <alignment horizontal="center" wrapText="1"/>
    </xf>
    <xf numFmtId="164" fontId="9" fillId="0" borderId="21" xfId="1" applyNumberFormat="1" applyFont="1" applyBorder="1" applyAlignment="1" applyProtection="1">
      <alignment horizontal="center"/>
    </xf>
    <xf numFmtId="164" fontId="2" fillId="0" borderId="16" xfId="1" applyNumberFormat="1" applyFont="1" applyFill="1" applyBorder="1" applyAlignment="1" applyProtection="1">
      <alignment horizontal="center"/>
    </xf>
    <xf numFmtId="0" fontId="0" fillId="0" borderId="0" xfId="0" applyAlignment="1">
      <alignment horizontal="left"/>
    </xf>
    <xf numFmtId="0" fontId="0" fillId="0" borderId="18" xfId="0" applyBorder="1"/>
    <xf numFmtId="0" fontId="0" fillId="0" borderId="19" xfId="0" applyBorder="1"/>
    <xf numFmtId="164" fontId="7" fillId="0" borderId="120" xfId="1" applyNumberFormat="1" applyFont="1" applyBorder="1" applyAlignment="1" applyProtection="1">
      <alignment horizontal="center" vertical="center"/>
    </xf>
    <xf numFmtId="164" fontId="7" fillId="0" borderId="121" xfId="1" applyNumberFormat="1" applyFont="1" applyBorder="1" applyAlignment="1" applyProtection="1">
      <alignment horizontal="center" vertical="center"/>
    </xf>
    <xf numFmtId="0" fontId="1" fillId="0" borderId="18" xfId="1" applyBorder="1" applyAlignment="1">
      <alignment horizontal="center" vertical="center"/>
    </xf>
    <xf numFmtId="164" fontId="1" fillId="0" borderId="16" xfId="1" applyNumberFormat="1" applyBorder="1" applyAlignment="1">
      <alignment horizontal="center" vertical="center"/>
    </xf>
    <xf numFmtId="0" fontId="1" fillId="0" borderId="3" xfId="1" applyBorder="1" applyAlignment="1">
      <alignment horizontal="center" vertical="center"/>
    </xf>
    <xf numFmtId="164" fontId="1" fillId="0" borderId="32" xfId="1" applyNumberFormat="1" applyBorder="1" applyAlignment="1">
      <alignment horizontal="center" vertical="center"/>
    </xf>
    <xf numFmtId="0" fontId="3" fillId="0" borderId="19" xfId="1" applyFont="1" applyBorder="1" applyAlignment="1">
      <alignment horizontal="center" vertical="center"/>
    </xf>
    <xf numFmtId="0" fontId="1" fillId="0" borderId="40" xfId="1" applyBorder="1" applyAlignment="1">
      <alignment horizontal="center" vertical="center"/>
    </xf>
    <xf numFmtId="0" fontId="0" fillId="0" borderId="0" xfId="0" applyFill="1" applyAlignment="1">
      <alignment horizontal="left" wrapText="1"/>
    </xf>
    <xf numFmtId="164" fontId="7" fillId="0" borderId="123" xfId="1" applyNumberFormat="1" applyFont="1" applyBorder="1" applyAlignment="1" applyProtection="1">
      <alignment horizontal="center" vertical="center"/>
    </xf>
    <xf numFmtId="0" fontId="1" fillId="0" borderId="0" xfId="1" applyBorder="1"/>
    <xf numFmtId="0" fontId="1" fillId="0" borderId="38" xfId="1" applyFill="1" applyBorder="1" applyAlignment="1" applyProtection="1">
      <alignment horizontal="right" vertical="top"/>
    </xf>
    <xf numFmtId="0" fontId="1" fillId="0" borderId="38" xfId="1" applyBorder="1" applyAlignment="1" applyProtection="1">
      <alignment horizontal="right"/>
    </xf>
    <xf numFmtId="0" fontId="1" fillId="0" borderId="38" xfId="1" applyBorder="1" applyProtection="1"/>
    <xf numFmtId="164" fontId="1" fillId="0" borderId="38" xfId="1" applyNumberFormat="1" applyBorder="1" applyProtection="1"/>
    <xf numFmtId="164" fontId="1" fillId="0" borderId="38" xfId="1" applyNumberFormat="1" applyBorder="1" applyAlignment="1" applyProtection="1">
      <alignment horizontal="right"/>
    </xf>
    <xf numFmtId="164" fontId="1" fillId="0" borderId="38" xfId="1" applyNumberFormat="1" applyFill="1" applyBorder="1" applyAlignment="1" applyProtection="1">
      <alignment horizontal="right"/>
    </xf>
    <xf numFmtId="0" fontId="1" fillId="0" borderId="38" xfId="1" applyFill="1" applyBorder="1" applyProtection="1"/>
    <xf numFmtId="0" fontId="1" fillId="0" borderId="19" xfId="1" applyBorder="1" applyAlignment="1" applyProtection="1">
      <alignment horizontal="right"/>
    </xf>
    <xf numFmtId="164" fontId="1" fillId="3" borderId="27" xfId="1" applyNumberFormat="1" applyFill="1" applyBorder="1" applyProtection="1">
      <protection locked="0"/>
    </xf>
    <xf numFmtId="0" fontId="1" fillId="3" borderId="27" xfId="1" applyFill="1" applyBorder="1" applyProtection="1">
      <protection locked="0"/>
    </xf>
    <xf numFmtId="164" fontId="1" fillId="0" borderId="40" xfId="1" applyNumberFormat="1" applyBorder="1" applyProtection="1"/>
    <xf numFmtId="164" fontId="1" fillId="0" borderId="2" xfId="1" applyNumberFormat="1" applyBorder="1" applyAlignment="1" applyProtection="1">
      <alignment horizontal="right"/>
    </xf>
    <xf numFmtId="0" fontId="1" fillId="0" borderId="38" xfId="1" applyFill="1" applyBorder="1" applyAlignment="1" applyProtection="1">
      <alignment horizontal="right"/>
    </xf>
    <xf numFmtId="0" fontId="1" fillId="0" borderId="38" xfId="1" applyFill="1" applyBorder="1" applyAlignment="1" applyProtection="1">
      <alignment horizontal="right"/>
      <protection locked="0"/>
    </xf>
    <xf numFmtId="164" fontId="1" fillId="0" borderId="38" xfId="1" applyNumberFormat="1" applyFill="1" applyBorder="1" applyProtection="1">
      <protection locked="0"/>
    </xf>
    <xf numFmtId="0" fontId="1" fillId="0" borderId="38" xfId="1" applyFill="1" applyBorder="1" applyProtection="1">
      <protection locked="0"/>
    </xf>
    <xf numFmtId="164" fontId="1" fillId="0" borderId="38" xfId="1" applyNumberFormat="1" applyFill="1" applyBorder="1" applyProtection="1"/>
    <xf numFmtId="164" fontId="1" fillId="0" borderId="32" xfId="1" applyNumberFormat="1" applyFill="1" applyBorder="1" applyAlignment="1" applyProtection="1">
      <alignment horizontal="center"/>
    </xf>
    <xf numFmtId="164" fontId="0" fillId="0" borderId="16" xfId="0" applyNumberFormat="1" applyFill="1" applyBorder="1"/>
    <xf numFmtId="164" fontId="0" fillId="0" borderId="40" xfId="0" applyNumberFormat="1" applyFill="1" applyBorder="1"/>
    <xf numFmtId="164" fontId="0" fillId="0" borderId="0" xfId="0" applyNumberFormat="1"/>
    <xf numFmtId="49" fontId="3" fillId="0" borderId="0" xfId="1" applyNumberFormat="1" applyFont="1" applyFill="1" applyAlignment="1" applyProtection="1"/>
    <xf numFmtId="164" fontId="8" fillId="0" borderId="58" xfId="2" applyNumberFormat="1" applyFont="1" applyFill="1" applyBorder="1" applyAlignment="1" applyProtection="1">
      <alignment horizontal="center"/>
    </xf>
    <xf numFmtId="0" fontId="1" fillId="0" borderId="3" xfId="1" applyBorder="1" applyAlignment="1" applyProtection="1">
      <alignment horizontal="right"/>
    </xf>
    <xf numFmtId="0" fontId="1" fillId="0" borderId="0" xfId="1" applyBorder="1" applyAlignment="1" applyProtection="1">
      <alignment horizontal="right"/>
    </xf>
    <xf numFmtId="0" fontId="1" fillId="0" borderId="3" xfId="1" applyBorder="1" applyProtection="1"/>
    <xf numFmtId="0" fontId="1" fillId="0" borderId="0" xfId="1" applyBorder="1" applyProtection="1"/>
    <xf numFmtId="0" fontId="1" fillId="0" borderId="2" xfId="1" applyBorder="1" applyProtection="1"/>
    <xf numFmtId="0" fontId="1" fillId="0" borderId="29" xfId="1" applyBorder="1" applyAlignment="1" applyProtection="1">
      <alignment horizontal="right"/>
    </xf>
    <xf numFmtId="0" fontId="1" fillId="0" borderId="87" xfId="1" applyBorder="1" applyAlignment="1" applyProtection="1">
      <alignment horizontal="right"/>
    </xf>
    <xf numFmtId="0" fontId="0" fillId="0" borderId="0" xfId="0" applyFill="1" applyAlignment="1">
      <alignment wrapText="1"/>
    </xf>
    <xf numFmtId="0" fontId="1" fillId="0" borderId="3" xfId="1" applyBorder="1" applyProtection="1"/>
    <xf numFmtId="0" fontId="1" fillId="0" borderId="0" xfId="1" applyBorder="1" applyProtection="1"/>
    <xf numFmtId="14" fontId="7" fillId="2" borderId="4"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horizontal="right" vertical="center"/>
    </xf>
    <xf numFmtId="164" fontId="1" fillId="2" borderId="14" xfId="1" applyNumberFormat="1" applyFill="1" applyBorder="1" applyAlignment="1" applyProtection="1">
      <protection locked="0"/>
    </xf>
    <xf numFmtId="2" fontId="9" fillId="0" borderId="0" xfId="2" applyNumberFormat="1" applyFont="1" applyFill="1" applyBorder="1" applyProtection="1"/>
    <xf numFmtId="0" fontId="1" fillId="0" borderId="3" xfId="1" applyBorder="1" applyAlignment="1" applyProtection="1">
      <alignment horizontal="right"/>
    </xf>
    <xf numFmtId="0" fontId="1" fillId="0" borderId="0" xfId="1" applyBorder="1" applyAlignment="1" applyProtection="1">
      <alignment horizontal="right"/>
    </xf>
    <xf numFmtId="0" fontId="1" fillId="0" borderId="2" xfId="1" applyBorder="1" applyProtection="1"/>
    <xf numFmtId="0" fontId="1" fillId="0" borderId="3" xfId="1" applyBorder="1" applyProtection="1"/>
    <xf numFmtId="0" fontId="1" fillId="0" borderId="0" xfId="1" applyBorder="1" applyProtection="1"/>
    <xf numFmtId="0" fontId="1" fillId="0" borderId="87" xfId="1" applyBorder="1" applyAlignment="1" applyProtection="1">
      <alignment horizontal="right"/>
    </xf>
    <xf numFmtId="0" fontId="1" fillId="0" borderId="29" xfId="1" applyBorder="1" applyAlignment="1" applyProtection="1">
      <alignment horizontal="right"/>
    </xf>
    <xf numFmtId="164" fontId="8" fillId="0" borderId="0" xfId="2" applyNumberFormat="1" applyFont="1" applyBorder="1" applyProtection="1"/>
    <xf numFmtId="164" fontId="8" fillId="0" borderId="0" xfId="2" applyNumberFormat="1" applyFont="1" applyFill="1" applyBorder="1" applyProtection="1"/>
    <xf numFmtId="0" fontId="8" fillId="0" borderId="54" xfId="2" applyFont="1" applyBorder="1" applyAlignment="1" applyProtection="1">
      <alignment horizontal="center"/>
    </xf>
    <xf numFmtId="164" fontId="8" fillId="2" borderId="127" xfId="2" applyNumberFormat="1" applyFont="1" applyFill="1" applyBorder="1" applyProtection="1">
      <protection locked="0"/>
    </xf>
    <xf numFmtId="164" fontId="8" fillId="2" borderId="128" xfId="2" applyNumberFormat="1" applyFont="1" applyFill="1" applyBorder="1" applyProtection="1">
      <protection locked="0"/>
    </xf>
    <xf numFmtId="2" fontId="9" fillId="0" borderId="97" xfId="2" applyNumberFormat="1" applyFont="1" applyFill="1" applyBorder="1" applyAlignment="1" applyProtection="1"/>
    <xf numFmtId="0" fontId="2" fillId="0" borderId="70" xfId="1" applyFont="1" applyBorder="1" applyAlignment="1">
      <alignment wrapText="1"/>
    </xf>
    <xf numFmtId="0" fontId="2" fillId="0" borderId="71" xfId="1" applyFont="1" applyBorder="1" applyAlignment="1">
      <alignment wrapText="1"/>
    </xf>
    <xf numFmtId="0" fontId="6" fillId="0" borderId="0" xfId="1" applyFont="1" applyAlignment="1">
      <alignment horizontal="center" vertical="center" wrapText="1"/>
    </xf>
    <xf numFmtId="0" fontId="7" fillId="0" borderId="0" xfId="1" applyFont="1" applyAlignment="1">
      <alignment horizontal="center"/>
    </xf>
    <xf numFmtId="0" fontId="11" fillId="0" borderId="0" xfId="1" applyFont="1" applyAlignment="1">
      <alignment horizontal="center"/>
    </xf>
    <xf numFmtId="0" fontId="2" fillId="0" borderId="72" xfId="1" applyFont="1" applyBorder="1" applyAlignment="1">
      <alignment wrapText="1"/>
    </xf>
    <xf numFmtId="0" fontId="2" fillId="0" borderId="73" xfId="1" applyFont="1" applyBorder="1" applyAlignment="1">
      <alignment wrapText="1"/>
    </xf>
    <xf numFmtId="0" fontId="2" fillId="0" borderId="68" xfId="1" applyFont="1" applyFill="1" applyBorder="1" applyAlignment="1">
      <alignment wrapText="1"/>
    </xf>
    <xf numFmtId="0" fontId="2" fillId="0" borderId="69" xfId="1" applyFont="1" applyFill="1" applyBorder="1" applyAlignment="1">
      <alignment wrapText="1"/>
    </xf>
    <xf numFmtId="0" fontId="12" fillId="0" borderId="74" xfId="1" applyFont="1" applyFill="1" applyBorder="1" applyAlignment="1" applyProtection="1">
      <alignment vertical="center" wrapText="1"/>
    </xf>
    <xf numFmtId="0" fontId="12" fillId="0" borderId="38" xfId="1" applyFont="1" applyFill="1" applyBorder="1" applyAlignment="1" applyProtection="1">
      <alignment vertical="center" wrapText="1"/>
    </xf>
    <xf numFmtId="0" fontId="12" fillId="0" borderId="37" xfId="1" applyFont="1" applyFill="1" applyBorder="1" applyAlignment="1" applyProtection="1">
      <alignment vertical="center" wrapText="1"/>
    </xf>
    <xf numFmtId="0" fontId="7" fillId="2" borderId="75" xfId="1" applyFont="1" applyFill="1" applyBorder="1" applyAlignment="1" applyProtection="1">
      <alignment horizontal="center"/>
      <protection locked="0"/>
    </xf>
    <xf numFmtId="0" fontId="7" fillId="2" borderId="23" xfId="1" applyFont="1" applyFill="1" applyBorder="1" applyAlignment="1" applyProtection="1">
      <alignment horizontal="center"/>
      <protection locked="0"/>
    </xf>
    <xf numFmtId="0" fontId="7" fillId="2" borderId="24" xfId="1" applyFont="1" applyFill="1" applyBorder="1" applyAlignment="1" applyProtection="1">
      <alignment horizontal="center"/>
      <protection locked="0"/>
    </xf>
    <xf numFmtId="0" fontId="7" fillId="0" borderId="74" xfId="1" applyFont="1" applyBorder="1" applyAlignment="1" applyProtection="1">
      <alignment horizontal="right"/>
    </xf>
    <xf numFmtId="0" fontId="7" fillId="0" borderId="38" xfId="1" applyFont="1" applyBorder="1" applyAlignment="1" applyProtection="1">
      <alignment horizontal="right"/>
    </xf>
    <xf numFmtId="0" fontId="7" fillId="9" borderId="74" xfId="1" applyFont="1" applyFill="1" applyBorder="1" applyAlignment="1" applyProtection="1">
      <alignment horizontal="center"/>
    </xf>
    <xf numFmtId="0" fontId="7" fillId="9" borderId="37" xfId="1" applyFont="1" applyFill="1" applyBorder="1" applyAlignment="1" applyProtection="1">
      <alignment horizontal="center"/>
    </xf>
    <xf numFmtId="0" fontId="7" fillId="0" borderId="18" xfId="1" applyFont="1" applyBorder="1" applyAlignment="1" applyProtection="1">
      <alignment horizontal="right" wrapText="1"/>
    </xf>
    <xf numFmtId="0" fontId="7" fillId="0" borderId="1" xfId="1" applyFont="1" applyBorder="1" applyAlignment="1" applyProtection="1">
      <alignment horizontal="right" wrapText="1"/>
    </xf>
    <xf numFmtId="0" fontId="7" fillId="0" borderId="16" xfId="1" applyFont="1" applyBorder="1" applyAlignment="1" applyProtection="1">
      <alignment horizontal="right" wrapText="1"/>
    </xf>
    <xf numFmtId="0" fontId="7" fillId="0" borderId="19" xfId="1" applyFont="1" applyBorder="1" applyAlignment="1" applyProtection="1">
      <alignment horizontal="right" wrapText="1"/>
    </xf>
    <xf numFmtId="0" fontId="7" fillId="0" borderId="2" xfId="1" applyFont="1" applyBorder="1" applyAlignment="1" applyProtection="1">
      <alignment horizontal="right" wrapText="1"/>
    </xf>
    <xf numFmtId="0" fontId="7" fillId="0" borderId="74" xfId="1" applyFont="1" applyBorder="1" applyAlignment="1" applyProtection="1">
      <alignment horizontal="right" wrapText="1"/>
    </xf>
    <xf numFmtId="0" fontId="7" fillId="0" borderId="38" xfId="1" applyFont="1" applyBorder="1" applyAlignment="1" applyProtection="1">
      <alignment horizontal="right" wrapText="1"/>
    </xf>
    <xf numFmtId="0" fontId="7" fillId="0" borderId="76" xfId="1" applyFont="1" applyBorder="1" applyAlignment="1" applyProtection="1">
      <alignment horizontal="right"/>
    </xf>
    <xf numFmtId="0" fontId="7" fillId="0" borderId="76" xfId="1" applyFont="1" applyBorder="1" applyAlignment="1" applyProtection="1">
      <alignment horizontal="right" wrapText="1"/>
    </xf>
    <xf numFmtId="14" fontId="7" fillId="2" borderId="75" xfId="1" applyNumberFormat="1" applyFont="1" applyFill="1" applyBorder="1" applyAlignment="1" applyProtection="1">
      <alignment horizontal="center" vertical="center"/>
      <protection locked="0"/>
    </xf>
    <xf numFmtId="14" fontId="7" fillId="2" borderId="24" xfId="1" applyNumberFormat="1" applyFont="1" applyFill="1" applyBorder="1" applyAlignment="1" applyProtection="1">
      <alignment horizontal="center" vertical="center"/>
      <protection locked="0"/>
    </xf>
    <xf numFmtId="0" fontId="7" fillId="2" borderId="75" xfId="1" applyFont="1" applyFill="1" applyBorder="1" applyAlignment="1" applyProtection="1">
      <alignment horizontal="center" wrapText="1"/>
      <protection locked="0"/>
    </xf>
    <xf numFmtId="0" fontId="7" fillId="2" borderId="23" xfId="1" applyFont="1" applyFill="1" applyBorder="1" applyAlignment="1" applyProtection="1">
      <alignment horizontal="center" wrapText="1"/>
      <protection locked="0"/>
    </xf>
    <xf numFmtId="0" fontId="7" fillId="2" borderId="24" xfId="1" applyFont="1" applyFill="1" applyBorder="1" applyAlignment="1" applyProtection="1">
      <alignment horizontal="center" wrapText="1"/>
      <protection locked="0"/>
    </xf>
    <xf numFmtId="0" fontId="6" fillId="0" borderId="0" xfId="1" applyFont="1" applyAlignment="1" applyProtection="1">
      <alignment horizontal="center" vertical="center" wrapText="1"/>
    </xf>
    <xf numFmtId="0" fontId="7"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3" fillId="2" borderId="77" xfId="1" applyFont="1" applyFill="1" applyBorder="1" applyAlignment="1" applyProtection="1">
      <alignment horizontal="left" vertical="top" wrapText="1"/>
      <protection locked="0"/>
    </xf>
    <xf numFmtId="0" fontId="3" fillId="2" borderId="78" xfId="1" applyFont="1" applyFill="1" applyBorder="1" applyAlignment="1" applyProtection="1">
      <alignment horizontal="left" vertical="top" wrapText="1"/>
      <protection locked="0"/>
    </xf>
    <xf numFmtId="0" fontId="3" fillId="2" borderId="79" xfId="1" applyFont="1" applyFill="1" applyBorder="1" applyAlignment="1" applyProtection="1">
      <alignment horizontal="left" vertical="top" wrapText="1"/>
      <protection locked="0"/>
    </xf>
    <xf numFmtId="0" fontId="3" fillId="2" borderId="20"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top" wrapText="1"/>
      <protection locked="0"/>
    </xf>
    <xf numFmtId="0" fontId="3" fillId="2" borderId="80" xfId="1" applyFont="1" applyFill="1" applyBorder="1" applyAlignment="1" applyProtection="1">
      <alignment horizontal="left" vertical="top" wrapText="1"/>
      <protection locked="0"/>
    </xf>
    <xf numFmtId="0" fontId="3" fillId="2" borderId="81" xfId="1" applyFont="1" applyFill="1" applyBorder="1" applyAlignment="1" applyProtection="1">
      <alignment horizontal="left" vertical="top" wrapText="1"/>
      <protection locked="0"/>
    </xf>
    <xf numFmtId="0" fontId="3" fillId="2" borderId="33" xfId="1" applyFont="1" applyFill="1" applyBorder="1" applyAlignment="1" applyProtection="1">
      <alignment horizontal="left" vertical="top" wrapText="1"/>
      <protection locked="0"/>
    </xf>
    <xf numFmtId="0" fontId="3" fillId="2" borderId="26" xfId="1" applyFont="1" applyFill="1" applyBorder="1" applyAlignment="1" applyProtection="1">
      <alignment horizontal="left" vertical="top" wrapText="1"/>
      <protection locked="0"/>
    </xf>
    <xf numFmtId="4" fontId="8" fillId="0" borderId="18" xfId="2" applyNumberFormat="1" applyFont="1" applyBorder="1" applyAlignment="1" applyProtection="1">
      <alignment horizontal="center"/>
    </xf>
    <xf numFmtId="4" fontId="8" fillId="0" borderId="1" xfId="2" applyNumberFormat="1" applyFont="1" applyBorder="1" applyAlignment="1" applyProtection="1">
      <alignment horizontal="center"/>
    </xf>
    <xf numFmtId="4" fontId="8" fillId="0" borderId="16" xfId="2" applyNumberFormat="1" applyFont="1" applyBorder="1" applyAlignment="1" applyProtection="1">
      <alignment horizontal="center"/>
    </xf>
    <xf numFmtId="0" fontId="8" fillId="2" borderId="75" xfId="2" applyFont="1" applyFill="1" applyBorder="1" applyAlignment="1" applyProtection="1">
      <alignment horizontal="center"/>
      <protection locked="0"/>
    </xf>
    <xf numFmtId="0" fontId="8" fillId="2" borderId="23" xfId="2" applyFont="1" applyFill="1" applyBorder="1" applyAlignment="1" applyProtection="1">
      <alignment horizontal="center"/>
      <protection locked="0"/>
    </xf>
    <xf numFmtId="0" fontId="8" fillId="2" borderId="24" xfId="2" applyFont="1" applyFill="1" applyBorder="1" applyAlignment="1" applyProtection="1">
      <alignment horizontal="center"/>
      <protection locked="0"/>
    </xf>
    <xf numFmtId="164" fontId="8" fillId="0" borderId="84" xfId="2" applyNumberFormat="1" applyFont="1" applyBorder="1" applyAlignment="1" applyProtection="1">
      <alignment horizontal="center"/>
    </xf>
    <xf numFmtId="164" fontId="8" fillId="0" borderId="85" xfId="2" applyNumberFormat="1" applyFont="1" applyBorder="1" applyAlignment="1" applyProtection="1">
      <alignment horizontal="center"/>
    </xf>
    <xf numFmtId="164" fontId="8" fillId="0" borderId="86" xfId="2" applyNumberFormat="1" applyFont="1" applyBorder="1" applyAlignment="1" applyProtection="1">
      <alignment horizontal="center"/>
    </xf>
    <xf numFmtId="164" fontId="8" fillId="0" borderId="19" xfId="2" applyNumberFormat="1" applyFont="1" applyBorder="1" applyAlignment="1" applyProtection="1">
      <alignment horizontal="center"/>
    </xf>
    <xf numFmtId="164" fontId="8" fillId="0" borderId="2" xfId="2" applyNumberFormat="1" applyFont="1" applyBorder="1" applyAlignment="1" applyProtection="1">
      <alignment horizontal="center"/>
    </xf>
    <xf numFmtId="164" fontId="8" fillId="0" borderId="40" xfId="2" applyNumberFormat="1" applyFont="1" applyBorder="1" applyAlignment="1" applyProtection="1">
      <alignment horizontal="center"/>
    </xf>
    <xf numFmtId="0" fontId="8" fillId="0" borderId="18" xfId="2" applyFont="1" applyBorder="1" applyAlignment="1" applyProtection="1">
      <alignment horizontal="center"/>
    </xf>
    <xf numFmtId="0" fontId="8" fillId="0" borderId="1" xfId="2" applyFont="1" applyBorder="1" applyAlignment="1" applyProtection="1">
      <alignment horizontal="center"/>
    </xf>
    <xf numFmtId="0" fontId="8" fillId="0" borderId="16" xfId="2" applyFont="1" applyBorder="1" applyAlignment="1" applyProtection="1">
      <alignment horizontal="center"/>
    </xf>
    <xf numFmtId="2" fontId="8" fillId="2" borderId="75" xfId="2" applyNumberFormat="1" applyFont="1" applyFill="1" applyBorder="1" applyAlignment="1" applyProtection="1">
      <alignment horizontal="center"/>
      <protection locked="0"/>
    </xf>
    <xf numFmtId="2" fontId="8" fillId="2" borderId="23" xfId="2" applyNumberFormat="1" applyFont="1" applyFill="1" applyBorder="1" applyAlignment="1" applyProtection="1">
      <alignment horizontal="center"/>
      <protection locked="0"/>
    </xf>
    <xf numFmtId="2" fontId="8" fillId="2" borderId="24" xfId="2" applyNumberFormat="1" applyFont="1" applyFill="1" applyBorder="1" applyAlignment="1" applyProtection="1">
      <alignment horizontal="center"/>
      <protection locked="0"/>
    </xf>
    <xf numFmtId="164" fontId="8" fillId="0" borderId="74" xfId="2" applyNumberFormat="1" applyFont="1" applyBorder="1" applyAlignment="1" applyProtection="1">
      <alignment horizontal="center"/>
    </xf>
    <xf numFmtId="164" fontId="8" fillId="0" borderId="38" xfId="2" applyNumberFormat="1" applyFont="1" applyBorder="1" applyAlignment="1" applyProtection="1">
      <alignment horizontal="center"/>
    </xf>
    <xf numFmtId="164" fontId="8" fillId="0" borderId="37" xfId="2" applyNumberFormat="1" applyFont="1" applyBorder="1" applyAlignment="1" applyProtection="1">
      <alignment horizontal="center"/>
    </xf>
    <xf numFmtId="0" fontId="8" fillId="2" borderId="71" xfId="2" applyFont="1" applyFill="1" applyBorder="1" applyAlignment="1" applyProtection="1">
      <alignment horizontal="center"/>
      <protection locked="0"/>
    </xf>
    <xf numFmtId="2" fontId="8" fillId="8" borderId="84" xfId="2" applyNumberFormat="1" applyFont="1" applyFill="1" applyBorder="1" applyAlignment="1" applyProtection="1">
      <alignment horizontal="center"/>
    </xf>
    <xf numFmtId="2" fontId="8" fillId="8" borderId="85" xfId="2" applyNumberFormat="1" applyFont="1" applyFill="1" applyBorder="1" applyAlignment="1" applyProtection="1">
      <alignment horizontal="center"/>
    </xf>
    <xf numFmtId="2" fontId="8" fillId="8" borderId="86" xfId="2" applyNumberFormat="1" applyFont="1" applyFill="1" applyBorder="1" applyAlignment="1" applyProtection="1">
      <alignment horizontal="center"/>
    </xf>
    <xf numFmtId="0" fontId="6" fillId="0" borderId="0" xfId="2" applyFont="1" applyAlignment="1" applyProtection="1">
      <alignment horizontal="center" vertical="center" wrapText="1"/>
    </xf>
    <xf numFmtId="0" fontId="8" fillId="0" borderId="82" xfId="2" applyFont="1" applyBorder="1" applyAlignment="1" applyProtection="1">
      <alignment horizontal="center"/>
    </xf>
    <xf numFmtId="0" fontId="8" fillId="0" borderId="83" xfId="2" applyFont="1" applyBorder="1" applyAlignment="1" applyProtection="1">
      <alignment horizontal="center"/>
    </xf>
    <xf numFmtId="0" fontId="8" fillId="0" borderId="73" xfId="2" applyFont="1" applyBorder="1" applyAlignment="1" applyProtection="1">
      <alignment horizontal="center"/>
    </xf>
    <xf numFmtId="0" fontId="8" fillId="0" borderId="0" xfId="2" applyFont="1" applyAlignment="1" applyProtection="1">
      <alignment horizontal="center"/>
    </xf>
    <xf numFmtId="0" fontId="7" fillId="0" borderId="0" xfId="2" applyFont="1" applyAlignment="1" applyProtection="1">
      <alignment horizontal="center"/>
    </xf>
    <xf numFmtId="0" fontId="9" fillId="0" borderId="2" xfId="2" applyFont="1" applyBorder="1" applyAlignment="1" applyProtection="1">
      <alignment horizontal="center"/>
    </xf>
    <xf numFmtId="0" fontId="3" fillId="0" borderId="98" xfId="1" applyFont="1" applyBorder="1" applyProtection="1"/>
    <xf numFmtId="0" fontId="1" fillId="0" borderId="100" xfId="1" applyBorder="1" applyProtection="1"/>
    <xf numFmtId="0" fontId="1" fillId="2" borderId="56" xfId="1" applyFill="1" applyBorder="1" applyProtection="1">
      <protection locked="0"/>
    </xf>
    <xf numFmtId="0" fontId="1" fillId="2" borderId="57" xfId="1" applyFill="1" applyBorder="1" applyProtection="1">
      <protection locked="0"/>
    </xf>
    <xf numFmtId="0" fontId="1" fillId="2" borderId="87" xfId="1" applyFill="1" applyBorder="1" applyProtection="1">
      <protection locked="0"/>
    </xf>
    <xf numFmtId="0" fontId="3" fillId="2" borderId="102" xfId="1" applyFont="1" applyFill="1" applyBorder="1" applyProtection="1">
      <protection locked="0"/>
    </xf>
    <xf numFmtId="0" fontId="1" fillId="2" borderId="93" xfId="1" applyFill="1" applyBorder="1" applyProtection="1">
      <protection locked="0"/>
    </xf>
    <xf numFmtId="0" fontId="1" fillId="0" borderId="29" xfId="1" applyBorder="1" applyProtection="1"/>
    <xf numFmtId="0" fontId="1" fillId="0" borderId="87" xfId="1" applyBorder="1" applyProtection="1"/>
    <xf numFmtId="0" fontId="1" fillId="2" borderId="88" xfId="1" applyFill="1" applyBorder="1" applyProtection="1">
      <protection locked="0"/>
    </xf>
    <xf numFmtId="0" fontId="1" fillId="2" borderId="85" xfId="1" applyFill="1" applyBorder="1" applyProtection="1">
      <protection locked="0"/>
    </xf>
    <xf numFmtId="0" fontId="1" fillId="2" borderId="103" xfId="1" applyFill="1" applyBorder="1" applyProtection="1">
      <protection locked="0"/>
    </xf>
    <xf numFmtId="0" fontId="2" fillId="0" borderId="0" xfId="1" applyFont="1" applyBorder="1" applyAlignment="1" applyProtection="1">
      <alignment horizontal="right"/>
    </xf>
    <xf numFmtId="0" fontId="2" fillId="0" borderId="110" xfId="1" applyFont="1" applyBorder="1" applyAlignment="1" applyProtection="1">
      <alignment horizontal="right"/>
    </xf>
    <xf numFmtId="14" fontId="9" fillId="0" borderId="2" xfId="1" applyNumberFormat="1" applyFont="1" applyBorder="1" applyAlignment="1" applyProtection="1">
      <alignment horizontal="center"/>
    </xf>
    <xf numFmtId="0" fontId="18" fillId="0" borderId="74" xfId="1" applyFont="1" applyBorder="1" applyAlignment="1" applyProtection="1">
      <alignment horizontal="center" vertical="center" wrapText="1"/>
    </xf>
    <xf numFmtId="0" fontId="18" fillId="0" borderId="38" xfId="1" applyFont="1" applyBorder="1" applyAlignment="1" applyProtection="1">
      <alignment horizontal="center" vertical="center"/>
    </xf>
    <xf numFmtId="0" fontId="18" fillId="0" borderId="37" xfId="1" applyFont="1" applyBorder="1" applyAlignment="1" applyProtection="1">
      <alignment horizontal="center" vertical="center"/>
    </xf>
    <xf numFmtId="0" fontId="18" fillId="0" borderId="38" xfId="1" applyFont="1" applyBorder="1" applyAlignment="1" applyProtection="1">
      <alignment horizontal="center" vertical="center" wrapText="1"/>
    </xf>
    <xf numFmtId="0" fontId="18" fillId="0" borderId="37" xfId="1" applyFont="1" applyBorder="1" applyAlignment="1" applyProtection="1">
      <alignment horizontal="center" vertical="center" wrapText="1"/>
    </xf>
    <xf numFmtId="0" fontId="18" fillId="0" borderId="18" xfId="1" applyFont="1" applyBorder="1" applyAlignment="1" applyProtection="1">
      <alignment horizontal="right" vertical="center" wrapText="1"/>
    </xf>
    <xf numFmtId="0" fontId="18" fillId="0" borderId="1" xfId="1" applyFont="1" applyBorder="1" applyAlignment="1" applyProtection="1">
      <alignment horizontal="right" vertical="center" wrapText="1"/>
    </xf>
    <xf numFmtId="0" fontId="18" fillId="0" borderId="16" xfId="1" applyFont="1" applyBorder="1" applyAlignment="1" applyProtection="1">
      <alignment horizontal="right" vertical="center" wrapText="1"/>
    </xf>
    <xf numFmtId="0" fontId="18" fillId="0" borderId="19" xfId="1" applyFont="1" applyBorder="1" applyAlignment="1" applyProtection="1">
      <alignment horizontal="right" vertical="center" wrapText="1"/>
    </xf>
    <xf numFmtId="0" fontId="18" fillId="0" borderId="2" xfId="1" applyFont="1" applyBorder="1" applyAlignment="1" applyProtection="1">
      <alignment horizontal="right" vertical="center" wrapText="1"/>
    </xf>
    <xf numFmtId="0" fontId="18" fillId="0" borderId="40" xfId="1" applyFont="1" applyBorder="1" applyAlignment="1" applyProtection="1">
      <alignment horizontal="right" vertical="center" wrapText="1"/>
    </xf>
    <xf numFmtId="164" fontId="7" fillId="0" borderId="116" xfId="1" applyNumberFormat="1" applyFont="1" applyBorder="1" applyAlignment="1" applyProtection="1">
      <alignment horizontal="center" vertical="center"/>
    </xf>
    <xf numFmtId="164" fontId="7" fillId="0" borderId="9" xfId="1" applyNumberFormat="1" applyFont="1" applyBorder="1" applyAlignment="1" applyProtection="1">
      <alignment horizontal="center" vertical="center"/>
    </xf>
    <xf numFmtId="0" fontId="19" fillId="0" borderId="74" xfId="1" applyFont="1" applyFill="1" applyBorder="1" applyAlignment="1" applyProtection="1">
      <alignment horizontal="center"/>
    </xf>
    <xf numFmtId="0" fontId="19" fillId="0" borderId="38" xfId="1" applyFont="1" applyFill="1" applyBorder="1" applyAlignment="1" applyProtection="1">
      <alignment horizontal="center"/>
    </xf>
    <xf numFmtId="0" fontId="19" fillId="0" borderId="37" xfId="1" applyFont="1" applyFill="1" applyBorder="1" applyAlignment="1" applyProtection="1">
      <alignment horizontal="center"/>
    </xf>
    <xf numFmtId="0" fontId="2" fillId="0" borderId="18" xfId="1" applyFont="1" applyBorder="1" applyAlignment="1" applyProtection="1">
      <alignment horizontal="right" vertical="center"/>
    </xf>
    <xf numFmtId="0" fontId="2" fillId="0" borderId="1" xfId="1" applyFont="1" applyBorder="1" applyAlignment="1" applyProtection="1">
      <alignment horizontal="right" vertical="center"/>
    </xf>
    <xf numFmtId="0" fontId="1" fillId="0" borderId="3" xfId="1" applyBorder="1" applyAlignment="1" applyProtection="1">
      <alignment horizontal="right"/>
    </xf>
    <xf numFmtId="0" fontId="1" fillId="0" borderId="89" xfId="1" applyBorder="1" applyAlignment="1" applyProtection="1">
      <alignment horizontal="right"/>
    </xf>
    <xf numFmtId="0" fontId="8" fillId="0" borderId="1" xfId="1" applyFont="1" applyBorder="1" applyAlignment="1" applyProtection="1">
      <alignment horizontal="center"/>
    </xf>
    <xf numFmtId="0" fontId="1" fillId="0" borderId="90" xfId="1" applyBorder="1" applyAlignment="1" applyProtection="1">
      <alignment horizontal="right"/>
    </xf>
    <xf numFmtId="0" fontId="1" fillId="0" borderId="91" xfId="1" applyBorder="1" applyAlignment="1" applyProtection="1">
      <alignment horizontal="right"/>
    </xf>
    <xf numFmtId="0" fontId="1" fillId="0" borderId="92" xfId="1" applyBorder="1" applyAlignment="1" applyProtection="1">
      <alignment horizontal="right"/>
    </xf>
    <xf numFmtId="0" fontId="10" fillId="0" borderId="74" xfId="1" applyFont="1" applyFill="1" applyBorder="1" applyAlignment="1" applyProtection="1">
      <alignment horizontal="center"/>
    </xf>
    <xf numFmtId="0" fontId="10" fillId="0" borderId="38" xfId="1" applyFont="1" applyFill="1" applyBorder="1" applyAlignment="1" applyProtection="1">
      <alignment horizontal="center"/>
    </xf>
    <xf numFmtId="0" fontId="10" fillId="0" borderId="37" xfId="1" applyFont="1" applyFill="1" applyBorder="1" applyAlignment="1" applyProtection="1">
      <alignment horizontal="center"/>
    </xf>
    <xf numFmtId="7" fontId="3" fillId="0" borderId="36" xfId="3" applyNumberFormat="1" applyFont="1" applyFill="1" applyBorder="1" applyAlignment="1" applyProtection="1">
      <alignment horizontal="center"/>
    </xf>
    <xf numFmtId="7" fontId="3" fillId="0" borderId="95" xfId="3" applyNumberFormat="1" applyFont="1" applyFill="1" applyBorder="1" applyAlignment="1" applyProtection="1">
      <alignment horizontal="center"/>
    </xf>
    <xf numFmtId="7" fontId="3" fillId="0" borderId="96" xfId="3" applyNumberFormat="1" applyFont="1" applyFill="1" applyBorder="1" applyAlignment="1" applyProtection="1">
      <alignment horizontal="center"/>
    </xf>
    <xf numFmtId="2" fontId="3" fillId="0" borderId="118" xfId="1" applyNumberFormat="1" applyFont="1" applyFill="1" applyBorder="1" applyAlignment="1" applyProtection="1">
      <alignment horizontal="center"/>
      <protection locked="0"/>
    </xf>
    <xf numFmtId="2" fontId="3" fillId="0" borderId="12" xfId="1" applyNumberFormat="1" applyFont="1" applyFill="1" applyBorder="1" applyAlignment="1" applyProtection="1">
      <alignment horizontal="center"/>
      <protection locked="0"/>
    </xf>
    <xf numFmtId="2" fontId="3" fillId="0" borderId="60" xfId="1" applyNumberFormat="1" applyFont="1" applyFill="1" applyBorder="1" applyAlignment="1" applyProtection="1">
      <alignment horizontal="center"/>
      <protection locked="0"/>
    </xf>
    <xf numFmtId="2" fontId="3" fillId="0" borderId="48" xfId="1" applyNumberFormat="1" applyFont="1" applyFill="1" applyBorder="1" applyAlignment="1" applyProtection="1">
      <alignment horizontal="center"/>
    </xf>
    <xf numFmtId="2" fontId="3" fillId="0" borderId="13" xfId="1" applyNumberFormat="1" applyFont="1" applyFill="1" applyBorder="1" applyAlignment="1" applyProtection="1">
      <alignment horizontal="center"/>
    </xf>
    <xf numFmtId="2" fontId="3" fillId="0" borderId="56" xfId="1" applyNumberFormat="1" applyFont="1" applyFill="1" applyBorder="1" applyAlignment="1" applyProtection="1">
      <alignment horizontal="center"/>
    </xf>
    <xf numFmtId="0" fontId="1" fillId="2" borderId="101" xfId="1" applyFill="1" applyBorder="1" applyProtection="1">
      <protection locked="0"/>
    </xf>
    <xf numFmtId="0" fontId="1" fillId="2" borderId="99" xfId="1" applyFill="1" applyBorder="1" applyProtection="1">
      <protection locked="0"/>
    </xf>
    <xf numFmtId="0" fontId="1" fillId="2" borderId="90" xfId="1" applyFill="1" applyBorder="1" applyProtection="1">
      <protection locked="0"/>
    </xf>
    <xf numFmtId="0" fontId="1" fillId="2" borderId="91" xfId="1" applyFill="1" applyBorder="1" applyProtection="1">
      <protection locked="0"/>
    </xf>
    <xf numFmtId="0" fontId="1" fillId="2" borderId="100" xfId="1" applyFill="1" applyBorder="1" applyProtection="1">
      <protection locked="0"/>
    </xf>
    <xf numFmtId="0" fontId="9" fillId="0" borderId="19" xfId="1" applyFont="1" applyBorder="1" applyAlignment="1" applyProtection="1">
      <alignment horizontal="right" wrapText="1"/>
    </xf>
    <xf numFmtId="0" fontId="9" fillId="0" borderId="2" xfId="1" applyFont="1" applyBorder="1" applyAlignment="1" applyProtection="1">
      <alignment horizontal="right"/>
    </xf>
    <xf numFmtId="0" fontId="19" fillId="0" borderId="94" xfId="1" applyFont="1" applyBorder="1" applyAlignment="1" applyProtection="1">
      <alignment horizontal="center"/>
    </xf>
    <xf numFmtId="0" fontId="19" fillId="0" borderId="95" xfId="1" applyFont="1" applyBorder="1" applyAlignment="1" applyProtection="1">
      <alignment horizontal="center"/>
    </xf>
    <xf numFmtId="0" fontId="19" fillId="0" borderId="97" xfId="1" applyFont="1" applyBorder="1" applyAlignment="1" applyProtection="1">
      <alignment horizontal="center"/>
    </xf>
    <xf numFmtId="164" fontId="3" fillId="0" borderId="45" xfId="1" applyNumberFormat="1" applyFont="1" applyFill="1" applyBorder="1" applyAlignment="1" applyProtection="1">
      <alignment horizontal="center"/>
    </xf>
    <xf numFmtId="0" fontId="3" fillId="0" borderId="46" xfId="1" applyFont="1" applyFill="1" applyBorder="1" applyAlignment="1" applyProtection="1">
      <alignment horizontal="center"/>
    </xf>
    <xf numFmtId="0" fontId="3" fillId="0" borderId="115" xfId="1" applyFont="1" applyFill="1" applyBorder="1" applyAlignment="1" applyProtection="1">
      <alignment horizontal="center"/>
    </xf>
    <xf numFmtId="0" fontId="9" fillId="0" borderId="74" xfId="1" applyFont="1" applyBorder="1" applyAlignment="1" applyProtection="1">
      <alignment horizontal="right"/>
    </xf>
    <xf numFmtId="0" fontId="9" fillId="0" borderId="38" xfId="1" applyFont="1" applyBorder="1" applyAlignment="1" applyProtection="1">
      <alignment horizontal="right"/>
    </xf>
    <xf numFmtId="0" fontId="9" fillId="0" borderId="37" xfId="1" applyFont="1" applyBorder="1" applyAlignment="1" applyProtection="1">
      <alignment horizontal="right"/>
    </xf>
    <xf numFmtId="0" fontId="25" fillId="0" borderId="110" xfId="1" applyFont="1" applyFill="1" applyBorder="1" applyAlignment="1" applyProtection="1">
      <alignment horizontal="left" vertical="center"/>
      <protection locked="0"/>
    </xf>
    <xf numFmtId="164" fontId="1" fillId="0" borderId="90" xfId="1" applyNumberFormat="1" applyFill="1" applyBorder="1" applyAlignment="1" applyProtection="1">
      <alignment horizontal="right"/>
    </xf>
    <xf numFmtId="164" fontId="1" fillId="0" borderId="91" xfId="1" applyNumberFormat="1" applyFill="1" applyBorder="1" applyAlignment="1" applyProtection="1">
      <alignment horizontal="right"/>
    </xf>
    <xf numFmtId="164" fontId="1" fillId="0" borderId="92" xfId="1" applyNumberFormat="1" applyFill="1" applyBorder="1" applyAlignment="1" applyProtection="1">
      <alignment horizontal="right"/>
    </xf>
    <xf numFmtId="0" fontId="22" fillId="0" borderId="74" xfId="1" applyFont="1" applyBorder="1" applyAlignment="1" applyProtection="1">
      <alignment horizontal="center"/>
    </xf>
    <xf numFmtId="0" fontId="22" fillId="0" borderId="38" xfId="1" applyFont="1" applyBorder="1" applyAlignment="1" applyProtection="1">
      <alignment horizontal="center"/>
    </xf>
    <xf numFmtId="0" fontId="18" fillId="0" borderId="74" xfId="1" applyFont="1" applyBorder="1" applyAlignment="1" applyProtection="1">
      <alignment horizontal="right" vertical="center" wrapText="1"/>
    </xf>
    <xf numFmtId="0" fontId="18" fillId="0" borderId="38" xfId="1" applyFont="1" applyBorder="1" applyAlignment="1" applyProtection="1">
      <alignment horizontal="right" vertical="center" wrapText="1"/>
    </xf>
    <xf numFmtId="0" fontId="18" fillId="0" borderId="37" xfId="1" applyFont="1" applyBorder="1" applyAlignment="1" applyProtection="1">
      <alignment horizontal="right" vertical="center" wrapText="1"/>
    </xf>
    <xf numFmtId="164" fontId="21" fillId="0" borderId="38" xfId="1" applyNumberFormat="1" applyFont="1" applyFill="1" applyBorder="1" applyAlignment="1" applyProtection="1">
      <alignment horizontal="center"/>
    </xf>
    <xf numFmtId="0" fontId="1" fillId="2" borderId="119" xfId="1" applyFill="1" applyBorder="1" applyProtection="1">
      <protection locked="0"/>
    </xf>
    <xf numFmtId="0" fontId="18" fillId="0" borderId="21" xfId="1" applyFont="1" applyBorder="1" applyAlignment="1" applyProtection="1">
      <alignment horizontal="center"/>
    </xf>
    <xf numFmtId="0" fontId="16" fillId="0" borderId="18" xfId="1" applyFont="1" applyFill="1" applyBorder="1" applyAlignment="1" applyProtection="1">
      <alignment horizontal="right"/>
    </xf>
    <xf numFmtId="0" fontId="16" fillId="0" borderId="1" xfId="1" applyFont="1" applyFill="1" applyBorder="1" applyAlignment="1" applyProtection="1">
      <alignment horizontal="right"/>
    </xf>
    <xf numFmtId="0" fontId="1" fillId="0" borderId="0" xfId="1" applyBorder="1" applyAlignment="1" applyProtection="1">
      <alignment horizontal="right"/>
    </xf>
    <xf numFmtId="0" fontId="1" fillId="0" borderId="90" xfId="1" applyBorder="1" applyAlignment="1" applyProtection="1">
      <alignment horizontal="left"/>
    </xf>
    <xf numFmtId="0" fontId="1" fillId="0" borderId="91" xfId="1" applyBorder="1" applyAlignment="1" applyProtection="1">
      <alignment horizontal="left"/>
    </xf>
    <xf numFmtId="0" fontId="1" fillId="0" borderId="56" xfId="1" applyBorder="1" applyAlignment="1" applyProtection="1">
      <alignment horizontal="left"/>
    </xf>
    <xf numFmtId="0" fontId="1" fillId="0" borderId="57" xfId="1" applyBorder="1" applyAlignment="1" applyProtection="1">
      <alignment horizontal="left"/>
    </xf>
    <xf numFmtId="0" fontId="9" fillId="0" borderId="55" xfId="1" applyFont="1" applyBorder="1" applyAlignment="1" applyProtection="1">
      <alignment horizontal="right" wrapText="1"/>
    </xf>
    <xf numFmtId="0" fontId="9" fillId="0" borderId="13" xfId="1" applyFont="1" applyBorder="1" applyAlignment="1" applyProtection="1">
      <alignment horizontal="right"/>
    </xf>
    <xf numFmtId="0" fontId="9" fillId="0" borderId="58" xfId="1" applyFont="1" applyBorder="1" applyAlignment="1" applyProtection="1">
      <alignment horizontal="right"/>
    </xf>
    <xf numFmtId="0" fontId="9" fillId="0" borderId="122" xfId="1" applyFont="1" applyBorder="1" applyAlignment="1" applyProtection="1">
      <alignment horizontal="right" vertical="center" wrapText="1"/>
    </xf>
    <xf numFmtId="0" fontId="9" fillId="0" borderId="63" xfId="1" applyFont="1" applyBorder="1" applyAlignment="1" applyProtection="1">
      <alignment horizontal="right" vertical="center"/>
    </xf>
    <xf numFmtId="0" fontId="9" fillId="0" borderId="64" xfId="1" applyFont="1" applyBorder="1" applyAlignment="1" applyProtection="1">
      <alignment horizontal="right" vertical="center"/>
    </xf>
    <xf numFmtId="0" fontId="1" fillId="2" borderId="101" xfId="1" applyFill="1" applyBorder="1" applyAlignment="1" applyProtection="1">
      <alignment horizontal="left"/>
      <protection locked="0"/>
    </xf>
    <xf numFmtId="0" fontId="1" fillId="2" borderId="91" xfId="1" applyFill="1" applyBorder="1" applyAlignment="1" applyProtection="1">
      <alignment horizontal="left"/>
      <protection locked="0"/>
    </xf>
    <xf numFmtId="0" fontId="1" fillId="2" borderId="102" xfId="1" applyFill="1" applyBorder="1" applyAlignment="1" applyProtection="1">
      <alignment horizontal="left"/>
      <protection locked="0"/>
    </xf>
    <xf numFmtId="0" fontId="1" fillId="2" borderId="85" xfId="1" applyFill="1" applyBorder="1" applyAlignment="1" applyProtection="1">
      <alignment horizontal="left"/>
      <protection locked="0"/>
    </xf>
    <xf numFmtId="0" fontId="9" fillId="0" borderId="114" xfId="1" applyFont="1" applyBorder="1" applyAlignment="1" applyProtection="1">
      <alignment horizontal="right" wrapText="1"/>
    </xf>
    <xf numFmtId="0" fontId="9" fillId="0" borderId="78" xfId="1" applyFont="1" applyBorder="1" applyAlignment="1" applyProtection="1">
      <alignment horizontal="right"/>
    </xf>
    <xf numFmtId="0" fontId="9" fillId="0" borderId="69" xfId="1" applyFont="1" applyBorder="1" applyAlignment="1" applyProtection="1">
      <alignment horizontal="right"/>
    </xf>
    <xf numFmtId="0" fontId="1" fillId="0" borderId="18" xfId="1" applyFill="1" applyBorder="1" applyAlignment="1" applyProtection="1">
      <alignment horizontal="right" vertical="top"/>
    </xf>
    <xf numFmtId="0" fontId="1" fillId="0" borderId="3" xfId="1" applyFill="1" applyBorder="1" applyAlignment="1" applyProtection="1">
      <alignment horizontal="right" vertical="top"/>
    </xf>
    <xf numFmtId="0" fontId="1" fillId="0" borderId="19" xfId="1" applyFill="1" applyBorder="1" applyAlignment="1" applyProtection="1">
      <alignment horizontal="right" vertical="top"/>
    </xf>
    <xf numFmtId="0" fontId="1" fillId="3" borderId="75" xfId="1" applyFill="1" applyBorder="1" applyAlignment="1" applyProtection="1">
      <alignment horizontal="right"/>
      <protection locked="0"/>
    </xf>
    <xf numFmtId="0" fontId="1" fillId="3" borderId="23" xfId="1" applyFill="1" applyBorder="1" applyAlignment="1" applyProtection="1">
      <alignment horizontal="right"/>
      <protection locked="0"/>
    </xf>
    <xf numFmtId="0" fontId="1" fillId="3" borderId="24" xfId="1" applyFill="1" applyBorder="1" applyAlignment="1" applyProtection="1">
      <alignment horizontal="right"/>
      <protection locked="0"/>
    </xf>
    <xf numFmtId="0" fontId="1" fillId="0" borderId="114" xfId="1" applyFill="1" applyBorder="1" applyAlignment="1" applyProtection="1">
      <alignment horizontal="center"/>
    </xf>
    <xf numFmtId="0" fontId="1" fillId="0" borderId="78" xfId="1" applyFill="1" applyBorder="1" applyAlignment="1" applyProtection="1">
      <alignment horizontal="center"/>
    </xf>
    <xf numFmtId="14" fontId="3" fillId="3" borderId="75" xfId="1" applyNumberFormat="1" applyFont="1" applyFill="1" applyBorder="1" applyAlignment="1" applyProtection="1">
      <alignment horizontal="center"/>
      <protection locked="0"/>
    </xf>
    <xf numFmtId="14" fontId="1" fillId="3" borderId="24" xfId="1" applyNumberFormat="1" applyFill="1" applyBorder="1" applyAlignment="1" applyProtection="1">
      <alignment horizontal="center"/>
      <protection locked="0"/>
    </xf>
    <xf numFmtId="0" fontId="1" fillId="0" borderId="3" xfId="1" applyBorder="1" applyProtection="1"/>
    <xf numFmtId="0" fontId="1" fillId="0" borderId="0" xfId="1" applyBorder="1" applyProtection="1"/>
    <xf numFmtId="0" fontId="1" fillId="0" borderId="32" xfId="1" applyBorder="1" applyProtection="1"/>
    <xf numFmtId="0" fontId="1" fillId="0" borderId="2" xfId="1" applyBorder="1" applyProtection="1"/>
    <xf numFmtId="0" fontId="1" fillId="0" borderId="104" xfId="1" applyBorder="1" applyProtection="1"/>
    <xf numFmtId="0" fontId="3" fillId="0" borderId="28" xfId="1" applyFont="1" applyBorder="1" applyAlignment="1" applyProtection="1">
      <alignment horizontal="right"/>
    </xf>
    <xf numFmtId="0" fontId="1" fillId="0" borderId="106" xfId="1" applyBorder="1" applyAlignment="1" applyProtection="1">
      <alignment horizontal="right"/>
    </xf>
    <xf numFmtId="0" fontId="1" fillId="0" borderId="30" xfId="1" applyBorder="1" applyAlignment="1" applyProtection="1">
      <alignment horizontal="right"/>
    </xf>
    <xf numFmtId="0" fontId="1" fillId="0" borderId="107" xfId="1" applyBorder="1" applyAlignment="1" applyProtection="1">
      <alignment horizontal="right"/>
    </xf>
    <xf numFmtId="0" fontId="17" fillId="0" borderId="0" xfId="1" applyFont="1" applyBorder="1" applyAlignment="1" applyProtection="1">
      <alignment horizontal="center" wrapText="1"/>
    </xf>
    <xf numFmtId="2" fontId="13" fillId="0" borderId="2" xfId="1" applyNumberFormat="1" applyFont="1" applyBorder="1" applyProtection="1"/>
    <xf numFmtId="2" fontId="13" fillId="0" borderId="104" xfId="1" applyNumberFormat="1" applyFont="1" applyBorder="1" applyProtection="1"/>
    <xf numFmtId="0" fontId="1" fillId="5" borderId="28" xfId="1" applyFill="1" applyBorder="1" applyAlignment="1" applyProtection="1">
      <alignment horizontal="right"/>
    </xf>
    <xf numFmtId="0" fontId="1" fillId="5" borderId="105" xfId="1" applyFill="1" applyBorder="1" applyAlignment="1" applyProtection="1">
      <alignment horizontal="right"/>
    </xf>
    <xf numFmtId="0" fontId="1" fillId="5" borderId="29" xfId="1" applyFill="1" applyBorder="1" applyAlignment="1" applyProtection="1">
      <alignment horizontal="right"/>
    </xf>
    <xf numFmtId="0" fontId="1" fillId="5" borderId="87" xfId="1" applyFill="1" applyBorder="1" applyAlignment="1" applyProtection="1">
      <alignment horizontal="right"/>
    </xf>
    <xf numFmtId="0" fontId="1" fillId="5" borderId="98" xfId="1" applyFill="1" applyBorder="1" applyAlignment="1" applyProtection="1">
      <alignment horizontal="right"/>
    </xf>
    <xf numFmtId="0" fontId="1" fillId="5" borderId="100" xfId="1" applyFill="1" applyBorder="1" applyAlignment="1" applyProtection="1">
      <alignment horizontal="right"/>
    </xf>
    <xf numFmtId="0" fontId="1" fillId="3" borderId="124" xfId="1" applyFill="1" applyBorder="1" applyAlignment="1" applyProtection="1">
      <alignment horizontal="right"/>
      <protection locked="0"/>
    </xf>
    <xf numFmtId="0" fontId="1" fillId="3" borderId="125" xfId="1" applyFill="1" applyBorder="1" applyAlignment="1" applyProtection="1">
      <alignment horizontal="right"/>
      <protection locked="0"/>
    </xf>
    <xf numFmtId="0" fontId="3" fillId="0" borderId="0" xfId="1" applyFont="1" applyFill="1" applyBorder="1" applyAlignment="1" applyProtection="1">
      <alignment horizontal="right"/>
    </xf>
    <xf numFmtId="0" fontId="10" fillId="0" borderId="74" xfId="1" applyFont="1" applyBorder="1" applyAlignment="1" applyProtection="1">
      <alignment horizontal="center"/>
    </xf>
    <xf numFmtId="0" fontId="10" fillId="0" borderId="38" xfId="1" applyFont="1" applyBorder="1" applyAlignment="1" applyProtection="1">
      <alignment horizontal="center"/>
    </xf>
    <xf numFmtId="0" fontId="10" fillId="0" borderId="37" xfId="1" applyFont="1" applyBorder="1" applyAlignment="1" applyProtection="1">
      <alignment horizontal="center"/>
    </xf>
    <xf numFmtId="0" fontId="3" fillId="0" borderId="0" xfId="1" applyFont="1" applyBorder="1" applyAlignment="1" applyProtection="1">
      <alignment horizontal="right"/>
    </xf>
    <xf numFmtId="0" fontId="1" fillId="0" borderId="62" xfId="1" applyFill="1" applyBorder="1" applyAlignment="1" applyProtection="1">
      <alignment horizontal="right"/>
    </xf>
    <xf numFmtId="0" fontId="1" fillId="0" borderId="110" xfId="1" applyFill="1" applyBorder="1" applyAlignment="1" applyProtection="1">
      <alignment horizontal="right"/>
    </xf>
    <xf numFmtId="0" fontId="9" fillId="0" borderId="108"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109"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164" fontId="7" fillId="0" borderId="16" xfId="1" applyNumberFormat="1" applyFont="1" applyBorder="1" applyAlignment="1" applyProtection="1">
      <alignment horizontal="center" vertical="center"/>
    </xf>
    <xf numFmtId="164" fontId="7" fillId="0" borderId="40" xfId="1" applyNumberFormat="1" applyFont="1" applyBorder="1" applyAlignment="1" applyProtection="1">
      <alignment horizontal="center" vertical="center"/>
    </xf>
    <xf numFmtId="0" fontId="3" fillId="0" borderId="30" xfId="1" applyFont="1" applyBorder="1" applyAlignment="1" applyProtection="1">
      <alignment horizontal="right"/>
    </xf>
    <xf numFmtId="0" fontId="3" fillId="0" borderId="107" xfId="1" applyFont="1" applyBorder="1" applyAlignment="1" applyProtection="1">
      <alignment horizontal="right"/>
    </xf>
    <xf numFmtId="0" fontId="6" fillId="0" borderId="18"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40" xfId="1" applyFont="1" applyFill="1" applyBorder="1" applyAlignment="1" applyProtection="1">
      <alignment horizontal="center" vertical="center"/>
    </xf>
    <xf numFmtId="14" fontId="1" fillId="3" borderId="75" xfId="1" applyNumberFormat="1" applyFill="1" applyBorder="1" applyAlignment="1" applyProtection="1">
      <alignment horizontal="center"/>
      <protection locked="0"/>
    </xf>
    <xf numFmtId="0" fontId="1" fillId="0" borderId="29" xfId="1" applyBorder="1" applyAlignment="1" applyProtection="1">
      <alignment horizontal="right"/>
    </xf>
    <xf numFmtId="0" fontId="1" fillId="0" borderId="57" xfId="1" applyBorder="1" applyAlignment="1" applyProtection="1">
      <alignment horizontal="right"/>
    </xf>
    <xf numFmtId="0" fontId="1" fillId="0" borderId="87" xfId="1" applyBorder="1" applyAlignment="1" applyProtection="1">
      <alignment horizontal="right"/>
    </xf>
    <xf numFmtId="0" fontId="3" fillId="0" borderId="29" xfId="1" applyFont="1" applyBorder="1" applyAlignment="1" applyProtection="1">
      <alignment horizontal="right"/>
    </xf>
    <xf numFmtId="0" fontId="7" fillId="0" borderId="108"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109"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0" fillId="0" borderId="38" xfId="1" applyFont="1" applyBorder="1" applyAlignment="1" applyProtection="1">
      <alignment horizontal="center" vertical="center"/>
    </xf>
    <xf numFmtId="0" fontId="10" fillId="0" borderId="37" xfId="1" applyFont="1" applyBorder="1" applyAlignment="1" applyProtection="1">
      <alignment horizontal="center" vertical="center"/>
    </xf>
    <xf numFmtId="0" fontId="10" fillId="0" borderId="74" xfId="1" applyFont="1" applyBorder="1" applyAlignment="1" applyProtection="1">
      <alignment horizontal="center" vertical="center"/>
    </xf>
    <xf numFmtId="0" fontId="1" fillId="0" borderId="82" xfId="1" applyBorder="1" applyAlignment="1" applyProtection="1">
      <alignment horizontal="left" wrapText="1"/>
    </xf>
    <xf numFmtId="0" fontId="1" fillId="0" borderId="83" xfId="1" applyBorder="1" applyAlignment="1" applyProtection="1">
      <alignment horizontal="left" wrapText="1"/>
    </xf>
    <xf numFmtId="0" fontId="1" fillId="0" borderId="126" xfId="1" applyBorder="1" applyAlignment="1" applyProtection="1">
      <alignment horizontal="left" wrapText="1"/>
    </xf>
    <xf numFmtId="0" fontId="3" fillId="0" borderId="2" xfId="2" applyBorder="1" applyAlignment="1" applyProtection="1">
      <alignment horizontal="center"/>
    </xf>
    <xf numFmtId="0" fontId="3" fillId="0" borderId="1" xfId="2" applyBorder="1" applyAlignment="1" applyProtection="1">
      <alignment horizontal="center"/>
    </xf>
    <xf numFmtId="0" fontId="17" fillId="0" borderId="2" xfId="2" applyFont="1" applyBorder="1" applyAlignment="1" applyProtection="1">
      <alignment horizontal="center" wrapText="1"/>
    </xf>
    <xf numFmtId="0" fontId="3" fillId="0" borderId="0" xfId="2" applyBorder="1" applyAlignment="1" applyProtection="1">
      <alignment horizontal="center" wrapText="1"/>
    </xf>
    <xf numFmtId="49" fontId="7" fillId="2" borderId="77" xfId="2" applyNumberFormat="1" applyFont="1" applyFill="1" applyBorder="1" applyProtection="1">
      <protection locked="0"/>
    </xf>
    <xf numFmtId="49" fontId="7" fillId="2" borderId="79" xfId="2" applyNumberFormat="1" applyFont="1" applyFill="1" applyBorder="1" applyProtection="1">
      <protection locked="0"/>
    </xf>
    <xf numFmtId="49" fontId="7" fillId="2" borderId="111" xfId="2" applyNumberFormat="1" applyFont="1" applyFill="1" applyBorder="1" applyProtection="1">
      <protection locked="0"/>
    </xf>
    <xf numFmtId="49" fontId="7" fillId="2" borderId="27" xfId="2" applyNumberFormat="1" applyFont="1" applyFill="1" applyBorder="1" applyProtection="1">
      <protection locked="0"/>
    </xf>
    <xf numFmtId="49" fontId="3" fillId="2" borderId="77" xfId="2" applyNumberFormat="1" applyFill="1" applyBorder="1" applyAlignment="1" applyProtection="1">
      <alignment horizontal="center"/>
      <protection locked="0"/>
    </xf>
    <xf numFmtId="49" fontId="3" fillId="2" borderId="79" xfId="2" applyNumberFormat="1" applyFill="1" applyBorder="1" applyAlignment="1" applyProtection="1">
      <alignment horizontal="center"/>
      <protection locked="0"/>
    </xf>
    <xf numFmtId="49" fontId="3" fillId="2" borderId="111" xfId="2" applyNumberFormat="1" applyFill="1" applyBorder="1" applyAlignment="1" applyProtection="1">
      <alignment horizontal="center"/>
      <protection locked="0"/>
    </xf>
    <xf numFmtId="49" fontId="3" fillId="2" borderId="27" xfId="2" applyNumberFormat="1" applyFill="1" applyBorder="1" applyAlignment="1" applyProtection="1">
      <alignment horizontal="center"/>
      <protection locked="0"/>
    </xf>
    <xf numFmtId="0" fontId="3" fillId="0" borderId="1" xfId="2" applyBorder="1" applyAlignment="1" applyProtection="1">
      <alignment horizontal="center" wrapText="1"/>
    </xf>
    <xf numFmtId="0" fontId="9" fillId="0" borderId="19" xfId="2" applyFont="1" applyFill="1" applyBorder="1" applyAlignment="1" applyProtection="1">
      <alignment horizontal="right" vertical="center"/>
    </xf>
    <xf numFmtId="0" fontId="9" fillId="0" borderId="2" xfId="2" applyFont="1" applyFill="1" applyBorder="1" applyAlignment="1" applyProtection="1">
      <alignment horizontal="right" vertical="center"/>
    </xf>
    <xf numFmtId="0" fontId="9" fillId="0" borderId="39" xfId="2" applyFont="1" applyFill="1" applyBorder="1" applyAlignment="1" applyProtection="1">
      <alignment horizontal="right" vertical="center"/>
    </xf>
    <xf numFmtId="164" fontId="9" fillId="0" borderId="96" xfId="2" applyNumberFormat="1" applyFont="1" applyFill="1" applyBorder="1" applyAlignment="1" applyProtection="1">
      <alignment horizontal="center" vertical="center"/>
    </xf>
    <xf numFmtId="164" fontId="9" fillId="0" borderId="37" xfId="2" applyNumberFormat="1" applyFont="1" applyFill="1" applyBorder="1" applyAlignment="1" applyProtection="1">
      <alignment horizontal="center" vertical="center"/>
    </xf>
    <xf numFmtId="0" fontId="18" fillId="0" borderId="28" xfId="2" applyFont="1" applyFill="1" applyBorder="1" applyAlignment="1" applyProtection="1">
      <alignment horizontal="center" wrapText="1"/>
    </xf>
    <xf numFmtId="0" fontId="18" fillId="0" borderId="106" xfId="2" applyFont="1" applyFill="1" applyBorder="1" applyAlignment="1" applyProtection="1">
      <alignment horizontal="center" wrapText="1"/>
    </xf>
    <xf numFmtId="164" fontId="6" fillId="0" borderId="46" xfId="2" applyNumberFormat="1" applyFont="1" applyFill="1" applyBorder="1" applyAlignment="1" applyProtection="1">
      <alignment horizontal="center" vertical="center"/>
    </xf>
    <xf numFmtId="164" fontId="6" fillId="0" borderId="47" xfId="2" applyNumberFormat="1" applyFont="1" applyFill="1" applyBorder="1" applyAlignment="1" applyProtection="1">
      <alignment horizontal="center" vertical="center"/>
    </xf>
    <xf numFmtId="0" fontId="18" fillId="0" borderId="30" xfId="2" applyFont="1" applyFill="1" applyBorder="1" applyAlignment="1" applyProtection="1">
      <alignment horizontal="center" wrapText="1"/>
    </xf>
    <xf numFmtId="0" fontId="18" fillId="0" borderId="107" xfId="2" applyFont="1" applyFill="1" applyBorder="1" applyAlignment="1" applyProtection="1">
      <alignment horizontal="center" wrapText="1"/>
    </xf>
    <xf numFmtId="10" fontId="6" fillId="0" borderId="63" xfId="4" applyNumberFormat="1" applyFont="1" applyFill="1" applyBorder="1" applyAlignment="1" applyProtection="1">
      <alignment horizontal="center" vertical="center"/>
    </xf>
    <xf numFmtId="10" fontId="6" fillId="0" borderId="64" xfId="4" applyNumberFormat="1" applyFont="1" applyFill="1" applyBorder="1" applyAlignment="1" applyProtection="1">
      <alignment horizontal="center" vertical="center"/>
    </xf>
    <xf numFmtId="0" fontId="9" fillId="10" borderId="74" xfId="2" applyFont="1" applyFill="1" applyBorder="1" applyAlignment="1" applyProtection="1">
      <alignment horizontal="center"/>
    </xf>
    <xf numFmtId="0" fontId="9" fillId="10" borderId="38" xfId="2" applyFont="1" applyFill="1" applyBorder="1" applyAlignment="1" applyProtection="1">
      <alignment horizontal="center"/>
    </xf>
    <xf numFmtId="0" fontId="9" fillId="10" borderId="37" xfId="2" applyFont="1" applyFill="1" applyBorder="1" applyAlignment="1" applyProtection="1">
      <alignment horizontal="center"/>
    </xf>
    <xf numFmtId="164" fontId="8" fillId="0" borderId="13" xfId="2" applyNumberFormat="1" applyFont="1" applyFill="1" applyBorder="1" applyAlignment="1" applyProtection="1">
      <alignment horizontal="center"/>
    </xf>
    <xf numFmtId="164" fontId="8" fillId="0" borderId="58" xfId="2" applyNumberFormat="1" applyFont="1" applyFill="1" applyBorder="1" applyAlignment="1" applyProtection="1">
      <alignment horizontal="center"/>
    </xf>
    <xf numFmtId="0" fontId="8" fillId="10" borderId="18" xfId="2" applyFont="1" applyFill="1" applyBorder="1" applyAlignment="1" applyProtection="1">
      <alignment horizontal="center"/>
    </xf>
    <xf numFmtId="0" fontId="8" fillId="10" borderId="1" xfId="2" applyFont="1" applyFill="1" applyBorder="1" applyAlignment="1" applyProtection="1">
      <alignment horizontal="center"/>
    </xf>
    <xf numFmtId="0" fontId="8" fillId="10" borderId="16" xfId="2" applyFont="1" applyFill="1" applyBorder="1" applyAlignment="1" applyProtection="1">
      <alignment horizontal="center"/>
    </xf>
    <xf numFmtId="164" fontId="9" fillId="0" borderId="112" xfId="2" applyNumberFormat="1" applyFont="1" applyFill="1" applyBorder="1" applyAlignment="1" applyProtection="1">
      <alignment horizontal="center"/>
    </xf>
    <xf numFmtId="164" fontId="9" fillId="0" borderId="113" xfId="2" applyNumberFormat="1" applyFont="1" applyFill="1" applyBorder="1" applyAlignment="1" applyProtection="1">
      <alignment horizontal="center"/>
    </xf>
    <xf numFmtId="0" fontId="8" fillId="0" borderId="46" xfId="2" applyFont="1" applyFill="1" applyBorder="1" applyAlignment="1" applyProtection="1">
      <alignment horizontal="center"/>
    </xf>
    <xf numFmtId="0" fontId="8" fillId="0" borderId="1" xfId="2" applyFont="1" applyFill="1" applyBorder="1" applyAlignment="1" applyProtection="1">
      <alignment horizontal="center"/>
    </xf>
    <xf numFmtId="0" fontId="8" fillId="0" borderId="16" xfId="2" applyFont="1" applyFill="1" applyBorder="1" applyAlignment="1" applyProtection="1">
      <alignment horizontal="center"/>
    </xf>
    <xf numFmtId="0" fontId="9" fillId="0" borderId="74" xfId="2" applyFont="1" applyFill="1" applyBorder="1" applyAlignment="1" applyProtection="1">
      <alignment horizontal="right"/>
    </xf>
    <xf numFmtId="0" fontId="9" fillId="0" borderId="36" xfId="2" applyFont="1" applyFill="1" applyBorder="1" applyAlignment="1" applyProtection="1">
      <alignment horizontal="right"/>
    </xf>
    <xf numFmtId="0" fontId="9" fillId="0" borderId="74" xfId="2" applyFont="1" applyFill="1" applyBorder="1" applyAlignment="1" applyProtection="1">
      <alignment horizontal="center"/>
    </xf>
    <xf numFmtId="0" fontId="9" fillId="0" borderId="38" xfId="2" applyFont="1" applyFill="1" applyBorder="1" applyAlignment="1" applyProtection="1">
      <alignment horizontal="center"/>
    </xf>
    <xf numFmtId="0" fontId="9" fillId="0" borderId="37" xfId="2" applyFont="1" applyFill="1" applyBorder="1" applyAlignment="1" applyProtection="1">
      <alignment horizontal="center"/>
    </xf>
    <xf numFmtId="0" fontId="18" fillId="0" borderId="74" xfId="2" applyFont="1" applyFill="1" applyBorder="1" applyAlignment="1" applyProtection="1">
      <alignment horizontal="center"/>
    </xf>
    <xf numFmtId="0" fontId="18" fillId="0" borderId="38" xfId="2" applyFont="1" applyFill="1" applyBorder="1" applyAlignment="1" applyProtection="1">
      <alignment horizontal="center"/>
    </xf>
    <xf numFmtId="0" fontId="18" fillId="0" borderId="37" xfId="2" applyFont="1" applyFill="1" applyBorder="1" applyAlignment="1" applyProtection="1">
      <alignment horizontal="center"/>
    </xf>
    <xf numFmtId="0" fontId="8" fillId="10" borderId="19" xfId="2" applyFont="1" applyFill="1" applyBorder="1" applyAlignment="1" applyProtection="1">
      <alignment horizontal="center"/>
    </xf>
    <xf numFmtId="0" fontId="8" fillId="10" borderId="2" xfId="2" applyFont="1" applyFill="1" applyBorder="1" applyAlignment="1" applyProtection="1">
      <alignment horizontal="center"/>
    </xf>
    <xf numFmtId="0" fontId="8" fillId="10" borderId="40" xfId="2" applyFont="1" applyFill="1" applyBorder="1" applyAlignment="1" applyProtection="1">
      <alignment horizontal="center"/>
    </xf>
    <xf numFmtId="0" fontId="8" fillId="10" borderId="74" xfId="2" applyFont="1" applyFill="1" applyBorder="1" applyAlignment="1" applyProtection="1">
      <alignment horizontal="center"/>
    </xf>
    <xf numFmtId="0" fontId="8" fillId="10" borderId="38" xfId="2" applyFont="1" applyFill="1" applyBorder="1" applyAlignment="1" applyProtection="1">
      <alignment horizontal="center"/>
    </xf>
    <xf numFmtId="0" fontId="18" fillId="0" borderId="1" xfId="2" applyFont="1" applyFill="1" applyBorder="1" applyAlignment="1" applyProtection="1">
      <alignment horizontal="center"/>
    </xf>
    <xf numFmtId="2" fontId="9" fillId="0" borderId="0" xfId="2" applyNumberFormat="1" applyFont="1" applyFill="1" applyBorder="1" applyProtection="1"/>
    <xf numFmtId="0" fontId="6" fillId="0" borderId="74" xfId="2" applyFont="1" applyFill="1" applyBorder="1" applyAlignment="1" applyProtection="1">
      <alignment horizontal="center"/>
    </xf>
    <xf numFmtId="0" fontId="6" fillId="0" borderId="38" xfId="2" applyFont="1" applyFill="1" applyBorder="1" applyAlignment="1" applyProtection="1">
      <alignment horizontal="center"/>
    </xf>
    <xf numFmtId="0" fontId="6" fillId="0" borderId="37" xfId="2" applyFont="1" applyFill="1" applyBorder="1" applyAlignment="1" applyProtection="1">
      <alignment horizontal="center"/>
    </xf>
    <xf numFmtId="0" fontId="8" fillId="10" borderId="37" xfId="2" applyFont="1" applyFill="1" applyBorder="1" applyAlignment="1" applyProtection="1">
      <alignment horizontal="center"/>
    </xf>
    <xf numFmtId="0" fontId="6" fillId="0" borderId="0" xfId="2" applyFont="1" applyAlignment="1">
      <alignment horizontal="center" vertical="center" wrapText="1"/>
    </xf>
    <xf numFmtId="0" fontId="9" fillId="0" borderId="0" xfId="2" applyFont="1" applyAlignment="1" applyProtection="1">
      <alignment horizontal="center"/>
    </xf>
    <xf numFmtId="0" fontId="6" fillId="0" borderId="0" xfId="1" applyFont="1" applyFill="1" applyAlignment="1" applyProtection="1">
      <alignment horizontal="center" vertical="center" wrapText="1"/>
    </xf>
    <xf numFmtId="0" fontId="7" fillId="0" borderId="0" xfId="1" applyFont="1" applyFill="1" applyAlignment="1">
      <alignment horizontal="center"/>
    </xf>
    <xf numFmtId="0" fontId="11" fillId="0" borderId="0" xfId="1" applyFont="1" applyFill="1" applyAlignment="1">
      <alignment horizontal="center"/>
    </xf>
    <xf numFmtId="0" fontId="2" fillId="0" borderId="0" xfId="1" applyFont="1" applyFill="1" applyBorder="1"/>
    <xf numFmtId="0" fontId="21" fillId="0" borderId="0" xfId="1" applyFont="1" applyFill="1" applyBorder="1"/>
    <xf numFmtId="0" fontId="2" fillId="0" borderId="0" xfId="1" applyFont="1" applyFill="1" applyBorder="1" applyAlignment="1">
      <alignment horizontal="left" vertical="center" wrapText="1"/>
    </xf>
    <xf numFmtId="0" fontId="2" fillId="0" borderId="0" xfId="1" applyFont="1" applyFill="1" applyBorder="1" applyAlignment="1">
      <alignment horizontal="left"/>
    </xf>
    <xf numFmtId="0" fontId="21" fillId="0" borderId="0" xfId="1" applyFont="1" applyFill="1" applyBorder="1" applyAlignment="1">
      <alignment horizontal="left" vertical="center" wrapText="1"/>
    </xf>
    <xf numFmtId="0" fontId="20" fillId="0" borderId="0" xfId="1" applyFont="1" applyFill="1" applyBorder="1"/>
  </cellXfs>
  <cellStyles count="5">
    <cellStyle name="Currency" xfId="3" builtinId="4"/>
    <cellStyle name="Normal" xfId="0" builtinId="0"/>
    <cellStyle name="Normal 2" xfId="1"/>
    <cellStyle name="Normal 3" xfId="2"/>
    <cellStyle name="Percent" xfId="4" builtinId="5"/>
  </cellStyles>
  <dxfs count="0"/>
  <tableStyles count="0" defaultTableStyle="TableStyleMedium2" defaultPivotStyle="PivotStyleLight16"/>
  <colors>
    <mruColors>
      <color rgb="FFFF66FF"/>
      <color rgb="FFCCFFFF"/>
      <color rgb="FFFF99FF"/>
      <color rgb="FFA9EE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webb\Documents\Budget%20Workbook%20Changes\FY15HCSBudgetWorkbook%2012-22-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ds.state.tx.us/providers/cds/budget/Copy%20of%202006-08-08%20Form%201546%20-%20PAS%20Budget%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rodriguez\AppData\Local\Microsoft\Windows\Temporary%20Internet%20Files\Content.Outlook\7NUWABWH\9-8-2014--FY15CLASSBudge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amp; Non-Taxable"/>
      <sheetName val="Taxable Wage &amp; Compensation"/>
      <sheetName val="Quarterly Report"/>
      <sheetName val="Definitions"/>
    </sheetNames>
    <sheetDataSet>
      <sheetData sheetId="0"/>
      <sheetData sheetId="1">
        <row r="5">
          <cell r="D5">
            <v>0</v>
          </cell>
        </row>
        <row r="7">
          <cell r="D7">
            <v>0</v>
          </cell>
        </row>
        <row r="23">
          <cell r="D23">
            <v>0</v>
          </cell>
          <cell r="F23">
            <v>0</v>
          </cell>
        </row>
      </sheetData>
      <sheetData sheetId="2"/>
      <sheetData sheetId="3">
        <row r="10">
          <cell r="B10">
            <v>0</v>
          </cell>
        </row>
        <row r="15">
          <cell r="B15">
            <v>0</v>
          </cell>
        </row>
        <row r="17">
          <cell r="G17">
            <v>22.01</v>
          </cell>
        </row>
        <row r="18">
          <cell r="G18">
            <v>17.86</v>
          </cell>
        </row>
        <row r="21">
          <cell r="B21">
            <v>0</v>
          </cell>
        </row>
        <row r="27">
          <cell r="B27">
            <v>0</v>
          </cell>
        </row>
        <row r="29">
          <cell r="B29">
            <v>0</v>
          </cell>
        </row>
        <row r="32">
          <cell r="B32">
            <v>0</v>
          </cell>
        </row>
        <row r="34">
          <cell r="B34">
            <v>0</v>
          </cell>
        </row>
        <row r="37">
          <cell r="B37">
            <v>0</v>
          </cell>
        </row>
        <row r="39">
          <cell r="B39">
            <v>0</v>
          </cell>
        </row>
        <row r="42">
          <cell r="B42">
            <v>0</v>
          </cell>
        </row>
        <row r="44">
          <cell r="B44">
            <v>0</v>
          </cell>
        </row>
        <row r="47">
          <cell r="B47">
            <v>0</v>
          </cell>
        </row>
        <row r="49">
          <cell r="B49">
            <v>0</v>
          </cell>
        </row>
        <row r="52">
          <cell r="B52">
            <v>0</v>
          </cell>
        </row>
        <row r="54">
          <cell r="B54">
            <v>0</v>
          </cell>
        </row>
        <row r="57">
          <cell r="B57">
            <v>0</v>
          </cell>
        </row>
        <row r="59">
          <cell r="B59">
            <v>0</v>
          </cell>
        </row>
      </sheetData>
      <sheetData sheetId="4">
        <row r="12">
          <cell r="G12">
            <v>0</v>
          </cell>
          <cell r="J12">
            <v>0</v>
          </cell>
        </row>
        <row r="23">
          <cell r="G23">
            <v>0</v>
          </cell>
        </row>
        <row r="26">
          <cell r="G26">
            <v>0</v>
          </cell>
        </row>
        <row r="28">
          <cell r="G28">
            <v>0</v>
          </cell>
          <cell r="J28">
            <v>0</v>
          </cell>
        </row>
        <row r="29">
          <cell r="G29">
            <v>0</v>
          </cell>
        </row>
        <row r="30">
          <cell r="G30">
            <v>0</v>
          </cell>
        </row>
        <row r="31">
          <cell r="G31">
            <v>0</v>
          </cell>
        </row>
        <row r="32">
          <cell r="G32">
            <v>0</v>
          </cell>
        </row>
        <row r="41">
          <cell r="G41">
            <v>0</v>
          </cell>
        </row>
        <row r="45">
          <cell r="G45">
            <v>0</v>
          </cell>
        </row>
      </sheetData>
      <sheetData sheetId="5">
        <row r="10">
          <cell r="Q10">
            <v>7000</v>
          </cell>
        </row>
        <row r="11">
          <cell r="L11">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OHR, &amp; Non-Taxable"/>
      <sheetName val="Taxable Wage &amp; Compensation"/>
      <sheetName val="Quarterly Report"/>
      <sheetName val="Definitions"/>
    </sheetNames>
    <sheetDataSet>
      <sheetData sheetId="0" refreshError="1"/>
      <sheetData sheetId="1" refreshError="1"/>
      <sheetData sheetId="2" refreshError="1"/>
      <sheetData sheetId="3">
        <row r="33">
          <cell r="D33">
            <v>0</v>
          </cell>
        </row>
        <row r="38">
          <cell r="D38">
            <v>0</v>
          </cell>
        </row>
        <row r="43">
          <cell r="D43">
            <v>0</v>
          </cell>
        </row>
        <row r="48">
          <cell r="D48">
            <v>0</v>
          </cell>
        </row>
        <row r="53">
          <cell r="D53">
            <v>0</v>
          </cell>
        </row>
        <row r="58">
          <cell r="D58">
            <v>0</v>
          </cell>
        </row>
        <row r="63">
          <cell r="D63">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4"/>
  <sheetViews>
    <sheetView tabSelected="1" zoomScaleNormal="100" workbookViewId="0">
      <selection activeCell="B1" sqref="B1:D1"/>
    </sheetView>
  </sheetViews>
  <sheetFormatPr defaultRowHeight="15" x14ac:dyDescent="0.25"/>
  <cols>
    <col min="1" max="1" width="3.85546875" customWidth="1"/>
    <col min="2" max="2" width="1.7109375" bestFit="1" customWidth="1"/>
    <col min="4" max="4" width="73" bestFit="1" customWidth="1"/>
  </cols>
  <sheetData>
    <row r="1" spans="2:4" ht="20.25" x14ac:dyDescent="0.25">
      <c r="B1" s="416" t="s">
        <v>0</v>
      </c>
      <c r="C1" s="416"/>
      <c r="D1" s="416"/>
    </row>
    <row r="2" spans="2:4" ht="15.75" x14ac:dyDescent="0.25">
      <c r="B2" s="417" t="s">
        <v>1</v>
      </c>
      <c r="C2" s="417"/>
      <c r="D2" s="417"/>
    </row>
    <row r="3" spans="2:4" ht="15.75" x14ac:dyDescent="0.25">
      <c r="B3" s="2"/>
      <c r="C3" s="2"/>
      <c r="D3" s="2"/>
    </row>
    <row r="4" spans="2:4" ht="15.75" x14ac:dyDescent="0.25">
      <c r="B4" s="418" t="s">
        <v>2</v>
      </c>
      <c r="C4" s="418"/>
      <c r="D4" s="418"/>
    </row>
    <row r="5" spans="2:4" ht="15.75" thickBot="1" x14ac:dyDescent="0.3">
      <c r="B5" s="1"/>
      <c r="C5" s="1"/>
      <c r="D5" s="1"/>
    </row>
    <row r="6" spans="2:4" ht="45.75" customHeight="1" thickBot="1" x14ac:dyDescent="0.3">
      <c r="B6" s="6" t="s">
        <v>3</v>
      </c>
      <c r="C6" s="419" t="s">
        <v>4</v>
      </c>
      <c r="D6" s="420"/>
    </row>
    <row r="7" spans="2:4" ht="30.75" customHeight="1" thickBot="1" x14ac:dyDescent="0.3">
      <c r="B7" s="3" t="s">
        <v>3</v>
      </c>
      <c r="C7" s="414" t="s">
        <v>5</v>
      </c>
      <c r="D7" s="415"/>
    </row>
    <row r="8" spans="2:4" ht="46.5" customHeight="1" thickBot="1" x14ac:dyDescent="0.3">
      <c r="B8" s="4" t="s">
        <v>3</v>
      </c>
      <c r="C8" s="414" t="s">
        <v>6</v>
      </c>
      <c r="D8" s="415"/>
    </row>
    <row r="9" spans="2:4" ht="31.5" customHeight="1" thickBot="1" x14ac:dyDescent="0.3">
      <c r="B9" s="3" t="s">
        <v>3</v>
      </c>
      <c r="C9" s="414" t="s">
        <v>7</v>
      </c>
      <c r="D9" s="415"/>
    </row>
    <row r="10" spans="2:4" ht="31.5" customHeight="1" thickBot="1" x14ac:dyDescent="0.3">
      <c r="B10" s="3" t="s">
        <v>3</v>
      </c>
      <c r="C10" s="414" t="s">
        <v>8</v>
      </c>
      <c r="D10" s="415"/>
    </row>
    <row r="11" spans="2:4" x14ac:dyDescent="0.25">
      <c r="B11" s="7" t="s">
        <v>3</v>
      </c>
      <c r="C11" s="421" t="s">
        <v>9</v>
      </c>
      <c r="D11" s="422"/>
    </row>
    <row r="12" spans="2:4" x14ac:dyDescent="0.25">
      <c r="B12" s="8"/>
      <c r="C12" s="9"/>
      <c r="D12" s="10" t="s">
        <v>10</v>
      </c>
    </row>
    <row r="13" spans="2:4" x14ac:dyDescent="0.25">
      <c r="B13" s="8"/>
      <c r="C13" s="9"/>
      <c r="D13" s="10" t="s">
        <v>11</v>
      </c>
    </row>
    <row r="14" spans="2:4" x14ac:dyDescent="0.25">
      <c r="B14" s="8"/>
      <c r="C14" s="9"/>
      <c r="D14" s="10" t="s">
        <v>12</v>
      </c>
    </row>
    <row r="15" spans="2:4" x14ac:dyDescent="0.25">
      <c r="B15" s="8"/>
      <c r="C15" s="9"/>
      <c r="D15" s="10" t="s">
        <v>13</v>
      </c>
    </row>
    <row r="16" spans="2:4" x14ac:dyDescent="0.25">
      <c r="B16" s="11"/>
      <c r="C16" s="12"/>
      <c r="D16" s="10" t="s">
        <v>14</v>
      </c>
    </row>
    <row r="17" spans="2:4" x14ac:dyDescent="0.25">
      <c r="B17" s="11"/>
      <c r="C17" s="12"/>
      <c r="D17" s="10" t="s">
        <v>15</v>
      </c>
    </row>
    <row r="18" spans="2:4" x14ac:dyDescent="0.25">
      <c r="B18" s="11"/>
      <c r="C18" s="12"/>
      <c r="D18" s="10" t="s">
        <v>16</v>
      </c>
    </row>
    <row r="19" spans="2:4" x14ac:dyDescent="0.25">
      <c r="B19" s="11"/>
      <c r="C19" s="12"/>
      <c r="D19" s="10" t="s">
        <v>17</v>
      </c>
    </row>
    <row r="20" spans="2:4" x14ac:dyDescent="0.25">
      <c r="B20" s="11"/>
      <c r="C20" s="12"/>
      <c r="D20" s="10" t="s">
        <v>18</v>
      </c>
    </row>
    <row r="21" spans="2:4" x14ac:dyDescent="0.25">
      <c r="B21" s="11"/>
      <c r="C21" s="12"/>
      <c r="D21" s="10" t="s">
        <v>19</v>
      </c>
    </row>
    <row r="22" spans="2:4" ht="15.75" thickBot="1" x14ac:dyDescent="0.3">
      <c r="B22" s="13"/>
      <c r="C22" s="14"/>
      <c r="D22" s="15" t="s">
        <v>20</v>
      </c>
    </row>
    <row r="23" spans="2:4" ht="32.25" customHeight="1" thickBot="1" x14ac:dyDescent="0.3">
      <c r="B23" s="5"/>
      <c r="C23" s="414" t="s">
        <v>21</v>
      </c>
      <c r="D23" s="415"/>
    </row>
    <row r="24" spans="2:4" ht="47.25" customHeight="1" thickBot="1" x14ac:dyDescent="0.3">
      <c r="B24" s="3" t="s">
        <v>3</v>
      </c>
      <c r="C24" s="414" t="s">
        <v>22</v>
      </c>
      <c r="D24" s="415"/>
    </row>
  </sheetData>
  <sheetProtection password="E7F0" sheet="1" objects="1" scenarios="1"/>
  <mergeCells count="11">
    <mergeCell ref="C24:D24"/>
    <mergeCell ref="C23:D23"/>
    <mergeCell ref="C10:D10"/>
    <mergeCell ref="C9:D9"/>
    <mergeCell ref="B1:D1"/>
    <mergeCell ref="B2:D2"/>
    <mergeCell ref="B4:D4"/>
    <mergeCell ref="C6:D6"/>
    <mergeCell ref="C11:D11"/>
    <mergeCell ref="C8:D8"/>
    <mergeCell ref="C7:D7"/>
  </mergeCells>
  <printOptions horizontalCentered="1"/>
  <pageMargins left="0.25" right="0.25" top="0.7" bottom="0.25" header="0.3" footer="0.3"/>
  <pageSetup orientation="portrait" r:id="rId1"/>
  <headerFooter>
    <oddHeader>&amp;LTexas Department of 
Aging and Disability Services&amp;RHCS CDS Budget
February 2015</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zoomScaleNormal="100" workbookViewId="0">
      <selection activeCell="D6" sqref="D6"/>
    </sheetView>
  </sheetViews>
  <sheetFormatPr defaultRowHeight="15" x14ac:dyDescent="0.25"/>
  <cols>
    <col min="1" max="1" width="4.140625" customWidth="1"/>
    <col min="2" max="2" width="44.85546875" customWidth="1"/>
    <col min="3" max="3" width="3.140625" customWidth="1"/>
    <col min="4" max="4" width="28.28515625" customWidth="1"/>
    <col min="5" max="5" width="1.5703125" customWidth="1"/>
    <col min="6" max="6" width="14.42578125" customWidth="1"/>
    <col min="7" max="7" width="3.140625" customWidth="1"/>
    <col min="8" max="8" width="4.140625" customWidth="1"/>
    <col min="9" max="10" width="0" hidden="1" customWidth="1"/>
  </cols>
  <sheetData>
    <row r="1" spans="2:10" x14ac:dyDescent="0.25">
      <c r="B1" s="34"/>
      <c r="C1" s="34"/>
      <c r="D1" s="34"/>
      <c r="E1" s="34"/>
      <c r="F1" s="34"/>
      <c r="G1" s="34"/>
      <c r="H1" s="34"/>
      <c r="I1" s="34"/>
      <c r="J1" s="34"/>
    </row>
    <row r="2" spans="2:10" ht="20.25" x14ac:dyDescent="0.3">
      <c r="B2" s="447" t="s">
        <v>67</v>
      </c>
      <c r="C2" s="447"/>
      <c r="D2" s="447"/>
      <c r="E2" s="447"/>
      <c r="F2" s="447"/>
      <c r="G2" s="447"/>
      <c r="H2" s="56"/>
      <c r="I2" s="55"/>
      <c r="J2" s="55"/>
    </row>
    <row r="3" spans="2:10" ht="15.75" x14ac:dyDescent="0.25">
      <c r="B3" s="448" t="s">
        <v>68</v>
      </c>
      <c r="C3" s="448"/>
      <c r="D3" s="448"/>
      <c r="E3" s="448"/>
      <c r="F3" s="448"/>
      <c r="G3" s="448"/>
      <c r="H3" s="36"/>
      <c r="I3" s="34"/>
      <c r="J3" s="34"/>
    </row>
    <row r="4" spans="2:10" ht="16.5" thickBot="1" x14ac:dyDescent="0.3">
      <c r="B4" s="36"/>
      <c r="C4" s="36"/>
      <c r="D4" s="36"/>
      <c r="E4" s="36"/>
      <c r="F4" s="36"/>
      <c r="G4" s="36"/>
      <c r="H4" s="36"/>
      <c r="I4" s="34"/>
      <c r="J4" s="34"/>
    </row>
    <row r="5" spans="2:10" ht="16.5" thickBot="1" x14ac:dyDescent="0.3">
      <c r="B5" s="429" t="s">
        <v>69</v>
      </c>
      <c r="C5" s="440"/>
      <c r="D5" s="426"/>
      <c r="E5" s="427"/>
      <c r="F5" s="427"/>
      <c r="G5" s="428"/>
      <c r="H5" s="53"/>
      <c r="I5" s="52" t="s">
        <v>90</v>
      </c>
      <c r="J5" s="52"/>
    </row>
    <row r="6" spans="2:10" ht="16.5" thickBot="1" x14ac:dyDescent="0.3">
      <c r="B6" s="38"/>
      <c r="C6" s="37"/>
      <c r="D6" s="39"/>
      <c r="E6" s="39"/>
      <c r="F6" s="39"/>
      <c r="G6" s="39"/>
      <c r="H6" s="40"/>
      <c r="I6" s="52" t="s">
        <v>91</v>
      </c>
      <c r="J6" s="34"/>
    </row>
    <row r="7" spans="2:10" ht="16.5" thickBot="1" x14ac:dyDescent="0.3">
      <c r="B7" s="429" t="s">
        <v>70</v>
      </c>
      <c r="C7" s="430"/>
      <c r="D7" s="50"/>
      <c r="E7" s="64"/>
      <c r="F7" s="53"/>
      <c r="G7" s="57"/>
      <c r="H7" s="52"/>
      <c r="I7" s="52" t="s">
        <v>92</v>
      </c>
      <c r="J7" s="52"/>
    </row>
    <row r="8" spans="2:10" ht="16.5" thickBot="1" x14ac:dyDescent="0.3">
      <c r="B8" s="62"/>
      <c r="C8" s="62"/>
      <c r="D8" s="53"/>
      <c r="E8" s="53"/>
      <c r="F8" s="53"/>
      <c r="G8" s="57"/>
      <c r="H8" s="52"/>
      <c r="I8" s="52" t="s">
        <v>93</v>
      </c>
      <c r="J8" s="52"/>
    </row>
    <row r="9" spans="2:10" ht="16.5" thickBot="1" x14ac:dyDescent="0.3">
      <c r="B9" s="429" t="s">
        <v>71</v>
      </c>
      <c r="C9" s="440"/>
      <c r="D9" s="426"/>
      <c r="E9" s="427"/>
      <c r="F9" s="427"/>
      <c r="G9" s="428"/>
      <c r="H9" s="52"/>
      <c r="I9" s="52" t="s">
        <v>94</v>
      </c>
      <c r="J9" s="52"/>
    </row>
    <row r="10" spans="2:10" ht="16.5" thickBot="1" x14ac:dyDescent="0.3">
      <c r="B10" s="62"/>
      <c r="C10" s="62"/>
      <c r="D10" s="53"/>
      <c r="E10" s="53"/>
      <c r="F10" s="53"/>
      <c r="G10" s="57"/>
      <c r="H10" s="52"/>
      <c r="I10" s="52" t="s">
        <v>95</v>
      </c>
      <c r="J10" s="52"/>
    </row>
    <row r="11" spans="2:10" ht="16.5" thickBot="1" x14ac:dyDescent="0.3">
      <c r="B11" s="429" t="s">
        <v>72</v>
      </c>
      <c r="C11" s="440"/>
      <c r="D11" s="426"/>
      <c r="E11" s="427"/>
      <c r="F11" s="427"/>
      <c r="G11" s="428"/>
      <c r="H11" s="52"/>
      <c r="I11" s="52" t="s">
        <v>96</v>
      </c>
      <c r="J11" s="52"/>
    </row>
    <row r="12" spans="2:10" ht="16.5" thickBot="1" x14ac:dyDescent="0.3">
      <c r="B12" s="62"/>
      <c r="C12" s="62"/>
      <c r="D12" s="53"/>
      <c r="E12" s="53"/>
      <c r="F12" s="53"/>
      <c r="G12" s="57"/>
      <c r="H12" s="52"/>
      <c r="I12" s="52" t="s">
        <v>97</v>
      </c>
      <c r="J12" s="52"/>
    </row>
    <row r="13" spans="2:10" ht="16.5" thickBot="1" x14ac:dyDescent="0.3">
      <c r="B13" s="429" t="s">
        <v>73</v>
      </c>
      <c r="C13" s="430"/>
      <c r="D13" s="50"/>
      <c r="E13" s="53"/>
      <c r="F13" s="53"/>
      <c r="G13" s="57"/>
      <c r="H13" s="52"/>
      <c r="I13" s="52" t="s">
        <v>98</v>
      </c>
      <c r="J13" s="52"/>
    </row>
    <row r="14" spans="2:10" ht="16.5" thickBot="1" x14ac:dyDescent="0.3">
      <c r="B14" s="62"/>
      <c r="C14" s="62"/>
      <c r="D14" s="53"/>
      <c r="E14" s="53"/>
      <c r="F14" s="53"/>
      <c r="G14" s="57"/>
      <c r="H14" s="52"/>
      <c r="I14" s="52"/>
      <c r="J14" s="52"/>
    </row>
    <row r="15" spans="2:10" ht="16.5" thickBot="1" x14ac:dyDescent="0.3">
      <c r="B15" s="429" t="s">
        <v>74</v>
      </c>
      <c r="C15" s="440"/>
      <c r="D15" s="50"/>
      <c r="E15" s="53"/>
      <c r="F15" s="53"/>
      <c r="G15" s="57"/>
      <c r="H15" s="52"/>
      <c r="I15" s="52"/>
      <c r="J15" s="52"/>
    </row>
    <row r="16" spans="2:10" ht="16.5" thickBot="1" x14ac:dyDescent="0.3">
      <c r="B16" s="62"/>
      <c r="C16" s="62"/>
      <c r="D16" s="53"/>
      <c r="E16" s="53"/>
      <c r="F16" s="53"/>
      <c r="G16" s="57"/>
      <c r="H16" s="52"/>
      <c r="I16" s="52"/>
      <c r="J16" s="52"/>
    </row>
    <row r="17" spans="2:10" ht="16.5" thickBot="1" x14ac:dyDescent="0.3">
      <c r="B17" s="433" t="s">
        <v>75</v>
      </c>
      <c r="C17" s="434"/>
      <c r="D17" s="435"/>
      <c r="E17" s="63"/>
      <c r="F17" s="63"/>
      <c r="G17" s="63"/>
      <c r="H17" s="52"/>
      <c r="I17" s="52" t="s">
        <v>99</v>
      </c>
      <c r="J17" s="52"/>
    </row>
    <row r="18" spans="2:10" ht="16.5" thickBot="1" x14ac:dyDescent="0.3">
      <c r="B18" s="436"/>
      <c r="C18" s="437"/>
      <c r="D18" s="437"/>
      <c r="E18" s="444"/>
      <c r="F18" s="445"/>
      <c r="G18" s="446"/>
      <c r="H18" s="52"/>
      <c r="I18" s="52" t="s">
        <v>100</v>
      </c>
      <c r="J18" s="52"/>
    </row>
    <row r="19" spans="2:10" ht="16.5" thickBot="1" x14ac:dyDescent="0.3">
      <c r="B19" s="34"/>
      <c r="C19" s="34"/>
      <c r="D19" s="34"/>
      <c r="E19" s="34"/>
      <c r="F19" s="34"/>
      <c r="G19" s="34"/>
      <c r="H19" s="34"/>
      <c r="I19" s="52"/>
      <c r="J19" s="34"/>
    </row>
    <row r="20" spans="2:10" ht="16.5" thickBot="1" x14ac:dyDescent="0.3">
      <c r="B20" s="438" t="s">
        <v>76</v>
      </c>
      <c r="C20" s="439"/>
      <c r="D20" s="444"/>
      <c r="E20" s="445"/>
      <c r="F20" s="445"/>
      <c r="G20" s="446"/>
      <c r="H20" s="52"/>
      <c r="I20" s="52"/>
      <c r="J20" s="52"/>
    </row>
    <row r="21" spans="2:10" ht="16.5" thickBot="1" x14ac:dyDescent="0.3">
      <c r="B21" s="438" t="s">
        <v>77</v>
      </c>
      <c r="C21" s="439"/>
      <c r="D21" s="444"/>
      <c r="E21" s="445"/>
      <c r="F21" s="445"/>
      <c r="G21" s="446"/>
      <c r="H21" s="52"/>
      <c r="I21" s="52"/>
      <c r="J21" s="52"/>
    </row>
    <row r="22" spans="2:10" ht="15.75" thickBot="1" x14ac:dyDescent="0.3">
      <c r="B22" s="43"/>
      <c r="C22" s="51"/>
      <c r="D22" s="54"/>
      <c r="E22" s="43"/>
      <c r="F22" s="43"/>
      <c r="G22" s="42"/>
      <c r="H22" s="37"/>
      <c r="I22" s="58"/>
      <c r="J22" s="34"/>
    </row>
    <row r="23" spans="2:10" ht="32.25" customHeight="1" thickBot="1" x14ac:dyDescent="0.3">
      <c r="B23" s="438" t="s">
        <v>78</v>
      </c>
      <c r="C23" s="441"/>
      <c r="D23" s="397"/>
      <c r="E23" s="398"/>
      <c r="F23" s="442"/>
      <c r="G23" s="443"/>
      <c r="H23" s="37"/>
      <c r="I23" s="65">
        <f>(F23-D23)+1</f>
        <v>1</v>
      </c>
      <c r="J23" s="66">
        <f>IF(OR(I23=366,I23=365),52,(ROUNDUP(I23/7,0)))</f>
        <v>1</v>
      </c>
    </row>
    <row r="24" spans="2:10" ht="15.75" thickBot="1" x14ac:dyDescent="0.3">
      <c r="B24" s="44"/>
      <c r="C24" s="34"/>
      <c r="D24" s="45"/>
      <c r="E24" s="45"/>
      <c r="F24" s="34"/>
      <c r="G24" s="34"/>
      <c r="H24" s="46"/>
      <c r="I24" s="58"/>
      <c r="J24" s="61"/>
    </row>
    <row r="25" spans="2:10" ht="16.5" thickBot="1" x14ac:dyDescent="0.3">
      <c r="B25" s="429" t="s">
        <v>79</v>
      </c>
      <c r="C25" s="430"/>
      <c r="D25" s="430"/>
      <c r="E25" s="430"/>
      <c r="F25" s="431" t="str">
        <f>IF(('Non-CFC Taxable Wage &amp; Comp'!J17="Yes"),"VALID","INVALID")</f>
        <v>VALID</v>
      </c>
      <c r="G25" s="432"/>
      <c r="H25" s="46"/>
      <c r="I25" s="385"/>
      <c r="J25" s="61"/>
    </row>
    <row r="26" spans="2:10" ht="72.75" customHeight="1" thickBot="1" x14ac:dyDescent="0.3">
      <c r="B26" s="423" t="s">
        <v>80</v>
      </c>
      <c r="C26" s="424"/>
      <c r="D26" s="424"/>
      <c r="E26" s="424"/>
      <c r="F26" s="424"/>
      <c r="G26" s="425"/>
      <c r="H26" s="46"/>
      <c r="I26" s="59"/>
      <c r="J26" s="60"/>
    </row>
    <row r="27" spans="2:10" x14ac:dyDescent="0.25">
      <c r="B27" s="47"/>
      <c r="C27" s="47"/>
      <c r="D27" s="47"/>
      <c r="E27" s="47"/>
      <c r="F27" s="47"/>
      <c r="G27" s="47"/>
      <c r="H27" s="46"/>
      <c r="I27" s="34"/>
      <c r="J27" s="34"/>
    </row>
    <row r="28" spans="2:10" x14ac:dyDescent="0.25">
      <c r="B28" s="47"/>
      <c r="C28" s="47"/>
      <c r="D28" s="47"/>
      <c r="E28" s="47"/>
      <c r="F28" s="47"/>
      <c r="G28" s="47"/>
      <c r="H28" s="46"/>
      <c r="I28" s="34"/>
      <c r="J28" s="34"/>
    </row>
    <row r="29" spans="2:10" ht="15.75" thickBot="1" x14ac:dyDescent="0.3">
      <c r="B29" s="41"/>
      <c r="C29" s="41"/>
      <c r="D29" s="37"/>
      <c r="E29" s="41"/>
      <c r="F29" s="41"/>
      <c r="G29" s="48"/>
      <c r="H29" s="37"/>
      <c r="I29" s="34"/>
      <c r="J29" s="34"/>
    </row>
    <row r="30" spans="2:10" x14ac:dyDescent="0.25">
      <c r="B30" s="35" t="s">
        <v>81</v>
      </c>
      <c r="C30" s="34"/>
      <c r="D30" s="34"/>
      <c r="E30" s="35" t="s">
        <v>82</v>
      </c>
      <c r="F30" s="34"/>
      <c r="G30" s="48"/>
      <c r="H30" s="34"/>
      <c r="I30" s="34"/>
      <c r="J30" s="34"/>
    </row>
    <row r="31" spans="2:10" x14ac:dyDescent="0.25">
      <c r="B31" s="34"/>
      <c r="C31" s="34"/>
      <c r="D31" s="34"/>
      <c r="E31" s="34"/>
      <c r="F31" s="34"/>
      <c r="G31" s="48"/>
      <c r="H31" s="34"/>
      <c r="I31" s="34"/>
      <c r="J31" s="34"/>
    </row>
    <row r="32" spans="2:10" x14ac:dyDescent="0.25">
      <c r="B32" s="34"/>
      <c r="C32" s="34"/>
      <c r="D32" s="34"/>
      <c r="E32" s="34"/>
      <c r="F32" s="34"/>
      <c r="G32" s="48"/>
      <c r="H32" s="49"/>
      <c r="I32" s="34"/>
      <c r="J32" s="34"/>
    </row>
    <row r="33" spans="2:8" ht="15.75" thickBot="1" x14ac:dyDescent="0.3">
      <c r="B33" s="41"/>
      <c r="C33" s="41"/>
      <c r="D33" s="37"/>
      <c r="E33" s="41"/>
      <c r="F33" s="41"/>
      <c r="G33" s="48"/>
      <c r="H33" s="49"/>
    </row>
    <row r="34" spans="2:8" x14ac:dyDescent="0.25">
      <c r="B34" s="35" t="s">
        <v>83</v>
      </c>
      <c r="C34" s="34"/>
      <c r="D34" s="34"/>
      <c r="E34" s="35" t="s">
        <v>82</v>
      </c>
      <c r="F34" s="34"/>
      <c r="G34" s="48"/>
      <c r="H34" s="49"/>
    </row>
    <row r="35" spans="2:8" x14ac:dyDescent="0.25">
      <c r="B35" s="34"/>
      <c r="C35" s="34"/>
      <c r="D35" s="34"/>
      <c r="E35" s="34"/>
      <c r="F35" s="34"/>
      <c r="G35" s="48"/>
      <c r="H35" s="49"/>
    </row>
    <row r="36" spans="2:8" x14ac:dyDescent="0.25">
      <c r="B36" s="34"/>
      <c r="C36" s="34"/>
      <c r="D36" s="34"/>
      <c r="E36" s="34"/>
      <c r="F36" s="34"/>
      <c r="G36" s="48"/>
      <c r="H36" s="49"/>
    </row>
    <row r="37" spans="2:8" ht="15.75" thickBot="1" x14ac:dyDescent="0.3">
      <c r="B37" s="41"/>
      <c r="C37" s="41"/>
      <c r="D37" s="37"/>
      <c r="E37" s="41"/>
      <c r="F37" s="41"/>
      <c r="G37" s="48"/>
      <c r="H37" s="49"/>
    </row>
    <row r="38" spans="2:8" x14ac:dyDescent="0.25">
      <c r="B38" s="35" t="s">
        <v>84</v>
      </c>
      <c r="C38" s="34"/>
      <c r="D38" s="34"/>
      <c r="E38" s="35" t="s">
        <v>82</v>
      </c>
      <c r="F38" s="34"/>
      <c r="G38" s="48"/>
      <c r="H38" s="34"/>
    </row>
    <row r="39" spans="2:8" x14ac:dyDescent="0.25">
      <c r="B39" s="34"/>
      <c r="C39" s="34"/>
      <c r="D39" s="34"/>
      <c r="E39" s="34"/>
      <c r="F39" s="34"/>
      <c r="G39" s="48"/>
      <c r="H39" s="34"/>
    </row>
    <row r="40" spans="2:8" x14ac:dyDescent="0.25">
      <c r="B40" s="55"/>
      <c r="C40" s="34"/>
      <c r="D40" s="55"/>
      <c r="E40" s="34"/>
      <c r="F40" s="34"/>
      <c r="G40" s="34"/>
      <c r="H40" s="34"/>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dataValidations count="11">
    <dataValidation type="list" allowBlank="1" showInputMessage="1" promptTitle="LAR/DR" prompt="Does the Consumer have a Designated Responsible Party or Legally Authorized Representative?" sqref="E18:G18">
      <formula1>$I$17:$I$18</formula1>
    </dataValidation>
    <dataValidation type="list" allowBlank="1" showInputMessage="1" showErrorMessage="1" promptTitle="Waiver Contract Area" prompt="Select the Waiver Contract Area the Consumer lives in from the list." sqref="D15">
      <formula1>$I$5:$I$13</formula1>
    </dataValidation>
    <dataValidation allowBlank="1" showInputMessage="1" showErrorMessage="1" promptTitle="Consumer's Name" prompt="Enter the Consumer's name as it appears in DADS' records." sqref="D5:G5"/>
    <dataValidation type="textLength" operator="equal" allowBlank="1"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custom" errorStyle="warning" allowBlank="1" showInputMessage="1" showErrorMessage="1" errorTitle="No DR/LAR" error="You have indicated there is not a LAR or DR. If there is not a LAR, leave this cell blank; otherwise, change the DR/LAR cell to &quot;Yes.&quot;" promptTitle="LAR's Name" prompt="Enter the name of the Consumer's Legally Authorized Representative, if applicable." sqref="D20:G20">
      <formula1>IF(E18="No",FALSE,TRUE)</formula1>
    </dataValidation>
    <dataValidation type="custom" errorStyle="warning" allowBlank="1" showInputMessage="1" showErrorMessage="1" errorTitle="No DR/LAR" error="You have indicated that the is not a LAR or DR.  If there is not a DR, leave this cell blank; otherwise, change the DR/LAR cell to &quot;Yes.&quot;" promptTitle="DR's Name" prompt="Enter the name of the Consumer's Designated Responsible Party, if applicable." sqref="D21:G21">
      <formula1>IF(E18="No",FALSE,TRUE)</formula1>
    </dataValidation>
    <dataValidation allowBlank="1" showInputMessage="1" showErrorMessage="1" promptTitle="Coverage Period - From Date" prompt="Enter the effective date for this Budget Workbook." sqref="D23"/>
    <dataValidation allowBlank="1" showInputMessage="1" showErrorMessage="1" promptTitle="Coverage Period - End Date" prompt="Enter the end date for this Budget Workbook." sqref="F23:G23"/>
  </dataValidations>
  <pageMargins left="0.7" right="0.7" top="0.75" bottom="0.75" header="0.3" footer="0.3"/>
  <pageSetup scale="74" fitToHeight="0" orientation="portrait" r:id="rId1"/>
  <headerFooter>
    <oddHeader>&amp;LTexas Department of 
Aging and Disability Services&amp;RHCS CDS Budget
February 2015</oddHeader>
    <oddFooter>&amp;RDate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zoomScaleNormal="100" workbookViewId="0">
      <selection activeCell="F8" sqref="F8"/>
    </sheetView>
  </sheetViews>
  <sheetFormatPr defaultRowHeight="15" x14ac:dyDescent="0.25"/>
  <cols>
    <col min="1" max="2" width="4.140625" customWidth="1"/>
    <col min="3" max="3" width="46.7109375" customWidth="1"/>
    <col min="4" max="4" width="16.42578125" customWidth="1"/>
    <col min="5" max="5" width="4.42578125" customWidth="1"/>
    <col min="6" max="6" width="16.42578125" customWidth="1"/>
  </cols>
  <sheetData>
    <row r="1" spans="2:7" x14ac:dyDescent="0.25">
      <c r="B1" s="26"/>
      <c r="C1" s="26"/>
      <c r="D1" s="26"/>
      <c r="E1" s="26"/>
      <c r="F1" s="26"/>
      <c r="G1" s="26"/>
    </row>
    <row r="2" spans="2:7" ht="39.75" customHeight="1" x14ac:dyDescent="0.25">
      <c r="B2" s="447" t="s">
        <v>0</v>
      </c>
      <c r="C2" s="447"/>
      <c r="D2" s="447"/>
      <c r="E2" s="447"/>
      <c r="F2" s="447"/>
      <c r="G2" s="33"/>
    </row>
    <row r="3" spans="2:7" ht="15.75" x14ac:dyDescent="0.25">
      <c r="B3" s="448" t="s">
        <v>85</v>
      </c>
      <c r="C3" s="448"/>
      <c r="D3" s="448"/>
      <c r="E3" s="448"/>
      <c r="F3" s="448"/>
      <c r="G3" s="26"/>
    </row>
    <row r="4" spans="2:7" x14ac:dyDescent="0.25">
      <c r="B4" s="26"/>
      <c r="C4" s="27"/>
      <c r="D4" s="27"/>
      <c r="E4" s="27"/>
      <c r="F4" s="27"/>
      <c r="G4" s="26"/>
    </row>
    <row r="5" spans="2:7" ht="15.75" thickBot="1" x14ac:dyDescent="0.3">
      <c r="B5" s="26"/>
      <c r="C5" s="28">
        <f>Consumer_Name</f>
        <v>0</v>
      </c>
      <c r="D5" s="27"/>
      <c r="E5" s="449">
        <f>Medicaid_Number</f>
        <v>0</v>
      </c>
      <c r="F5" s="449"/>
      <c r="G5" s="26"/>
    </row>
    <row r="6" spans="2:7" x14ac:dyDescent="0.25">
      <c r="B6" s="26"/>
      <c r="C6" s="29" t="s">
        <v>86</v>
      </c>
      <c r="D6" s="29"/>
      <c r="E6" s="450" t="s">
        <v>87</v>
      </c>
      <c r="F6" s="450"/>
      <c r="G6" s="26"/>
    </row>
    <row r="7" spans="2:7" x14ac:dyDescent="0.25">
      <c r="B7" s="26"/>
      <c r="C7" s="29"/>
      <c r="D7" s="29"/>
      <c r="E7" s="29"/>
      <c r="F7" s="29"/>
      <c r="G7" s="26"/>
    </row>
    <row r="8" spans="2:7" ht="15.75" thickBot="1" x14ac:dyDescent="0.3">
      <c r="B8" s="26"/>
      <c r="C8" s="30" t="s">
        <v>88</v>
      </c>
      <c r="D8" s="32">
        <f>From</f>
        <v>0</v>
      </c>
      <c r="E8" s="29" t="s">
        <v>89</v>
      </c>
      <c r="F8" s="32">
        <f>To</f>
        <v>0</v>
      </c>
      <c r="G8" s="26"/>
    </row>
    <row r="9" spans="2:7" ht="15.75" thickBot="1" x14ac:dyDescent="0.3">
      <c r="B9" s="26"/>
      <c r="C9" s="30"/>
      <c r="D9" s="31"/>
      <c r="E9" s="29"/>
      <c r="F9" s="31"/>
      <c r="G9" s="26"/>
    </row>
    <row r="10" spans="2:7" x14ac:dyDescent="0.25">
      <c r="B10" s="451"/>
      <c r="C10" s="452"/>
      <c r="D10" s="452"/>
      <c r="E10" s="452"/>
      <c r="F10" s="453"/>
      <c r="G10" s="26"/>
    </row>
    <row r="11" spans="2:7" x14ac:dyDescent="0.25">
      <c r="B11" s="454"/>
      <c r="C11" s="455"/>
      <c r="D11" s="455"/>
      <c r="E11" s="455"/>
      <c r="F11" s="456"/>
      <c r="G11" s="26"/>
    </row>
    <row r="12" spans="2:7" x14ac:dyDescent="0.25">
      <c r="B12" s="454"/>
      <c r="C12" s="455"/>
      <c r="D12" s="455"/>
      <c r="E12" s="455"/>
      <c r="F12" s="456"/>
      <c r="G12" s="26"/>
    </row>
    <row r="13" spans="2:7" x14ac:dyDescent="0.25">
      <c r="B13" s="454"/>
      <c r="C13" s="455"/>
      <c r="D13" s="455"/>
      <c r="E13" s="455"/>
      <c r="F13" s="456"/>
      <c r="G13" s="26"/>
    </row>
    <row r="14" spans="2:7" x14ac:dyDescent="0.25">
      <c r="B14" s="454"/>
      <c r="C14" s="455"/>
      <c r="D14" s="455"/>
      <c r="E14" s="455"/>
      <c r="F14" s="456"/>
      <c r="G14" s="26"/>
    </row>
    <row r="15" spans="2:7" x14ac:dyDescent="0.25">
      <c r="B15" s="454"/>
      <c r="C15" s="455"/>
      <c r="D15" s="455"/>
      <c r="E15" s="455"/>
      <c r="F15" s="456"/>
      <c r="G15" s="26"/>
    </row>
    <row r="16" spans="2:7" x14ac:dyDescent="0.25">
      <c r="B16" s="454"/>
      <c r="C16" s="455"/>
      <c r="D16" s="455"/>
      <c r="E16" s="455"/>
      <c r="F16" s="456"/>
      <c r="G16" s="26"/>
    </row>
    <row r="17" spans="2:6" x14ac:dyDescent="0.25">
      <c r="B17" s="454"/>
      <c r="C17" s="455"/>
      <c r="D17" s="455"/>
      <c r="E17" s="455"/>
      <c r="F17" s="456"/>
    </row>
    <row r="18" spans="2:6" x14ac:dyDescent="0.25">
      <c r="B18" s="454"/>
      <c r="C18" s="455"/>
      <c r="D18" s="455"/>
      <c r="E18" s="455"/>
      <c r="F18" s="456"/>
    </row>
    <row r="19" spans="2:6" x14ac:dyDescent="0.25">
      <c r="B19" s="454"/>
      <c r="C19" s="455"/>
      <c r="D19" s="455"/>
      <c r="E19" s="455"/>
      <c r="F19" s="456"/>
    </row>
    <row r="20" spans="2:6" x14ac:dyDescent="0.25">
      <c r="B20" s="454"/>
      <c r="C20" s="455"/>
      <c r="D20" s="455"/>
      <c r="E20" s="455"/>
      <c r="F20" s="456"/>
    </row>
    <row r="21" spans="2:6" x14ac:dyDescent="0.25">
      <c r="B21" s="454"/>
      <c r="C21" s="455"/>
      <c r="D21" s="455"/>
      <c r="E21" s="455"/>
      <c r="F21" s="456"/>
    </row>
    <row r="22" spans="2:6" x14ac:dyDescent="0.25">
      <c r="B22" s="454"/>
      <c r="C22" s="455"/>
      <c r="D22" s="455"/>
      <c r="E22" s="455"/>
      <c r="F22" s="456"/>
    </row>
    <row r="23" spans="2:6" x14ac:dyDescent="0.25">
      <c r="B23" s="454"/>
      <c r="C23" s="455"/>
      <c r="D23" s="455"/>
      <c r="E23" s="455"/>
      <c r="F23" s="456"/>
    </row>
    <row r="24" spans="2:6" x14ac:dyDescent="0.25">
      <c r="B24" s="454"/>
      <c r="C24" s="455"/>
      <c r="D24" s="455"/>
      <c r="E24" s="455"/>
      <c r="F24" s="456"/>
    </row>
    <row r="25" spans="2:6" x14ac:dyDescent="0.25">
      <c r="B25" s="454"/>
      <c r="C25" s="455"/>
      <c r="D25" s="455"/>
      <c r="E25" s="455"/>
      <c r="F25" s="456"/>
    </row>
    <row r="26" spans="2:6" x14ac:dyDescent="0.25">
      <c r="B26" s="454"/>
      <c r="C26" s="455"/>
      <c r="D26" s="455"/>
      <c r="E26" s="455"/>
      <c r="F26" s="456"/>
    </row>
    <row r="27" spans="2:6" x14ac:dyDescent="0.25">
      <c r="B27" s="454"/>
      <c r="C27" s="455"/>
      <c r="D27" s="455"/>
      <c r="E27" s="455"/>
      <c r="F27" s="456"/>
    </row>
    <row r="28" spans="2:6" x14ac:dyDescent="0.25">
      <c r="B28" s="454"/>
      <c r="C28" s="455"/>
      <c r="D28" s="455"/>
      <c r="E28" s="455"/>
      <c r="F28" s="456"/>
    </row>
    <row r="29" spans="2:6" x14ac:dyDescent="0.25">
      <c r="B29" s="454"/>
      <c r="C29" s="455"/>
      <c r="D29" s="455"/>
      <c r="E29" s="455"/>
      <c r="F29" s="456"/>
    </row>
    <row r="30" spans="2:6" x14ac:dyDescent="0.25">
      <c r="B30" s="454"/>
      <c r="C30" s="455"/>
      <c r="D30" s="455"/>
      <c r="E30" s="455"/>
      <c r="F30" s="456"/>
    </row>
    <row r="31" spans="2:6" x14ac:dyDescent="0.25">
      <c r="B31" s="454"/>
      <c r="C31" s="455"/>
      <c r="D31" s="455"/>
      <c r="E31" s="455"/>
      <c r="F31" s="456"/>
    </row>
    <row r="32" spans="2:6" x14ac:dyDescent="0.25">
      <c r="B32" s="454"/>
      <c r="C32" s="455"/>
      <c r="D32" s="455"/>
      <c r="E32" s="455"/>
      <c r="F32" s="456"/>
    </row>
    <row r="33" spans="2:6" x14ac:dyDescent="0.25">
      <c r="B33" s="454"/>
      <c r="C33" s="455"/>
      <c r="D33" s="455"/>
      <c r="E33" s="455"/>
      <c r="F33" s="456"/>
    </row>
    <row r="34" spans="2:6" x14ac:dyDescent="0.25">
      <c r="B34" s="454"/>
      <c r="C34" s="455"/>
      <c r="D34" s="455"/>
      <c r="E34" s="455"/>
      <c r="F34" s="456"/>
    </row>
    <row r="35" spans="2:6" x14ac:dyDescent="0.25">
      <c r="B35" s="454"/>
      <c r="C35" s="455"/>
      <c r="D35" s="455"/>
      <c r="E35" s="455"/>
      <c r="F35" s="456"/>
    </row>
    <row r="36" spans="2:6" x14ac:dyDescent="0.25">
      <c r="B36" s="454"/>
      <c r="C36" s="455"/>
      <c r="D36" s="455"/>
      <c r="E36" s="455"/>
      <c r="F36" s="456"/>
    </row>
    <row r="37" spans="2:6" x14ac:dyDescent="0.25">
      <c r="B37" s="454"/>
      <c r="C37" s="455"/>
      <c r="D37" s="455"/>
      <c r="E37" s="455"/>
      <c r="F37" s="456"/>
    </row>
    <row r="38" spans="2:6" x14ac:dyDescent="0.25">
      <c r="B38" s="454"/>
      <c r="C38" s="455"/>
      <c r="D38" s="455"/>
      <c r="E38" s="455"/>
      <c r="F38" s="456"/>
    </row>
    <row r="39" spans="2:6" x14ac:dyDescent="0.25">
      <c r="B39" s="454"/>
      <c r="C39" s="455"/>
      <c r="D39" s="455"/>
      <c r="E39" s="455"/>
      <c r="F39" s="456"/>
    </row>
    <row r="40" spans="2:6" x14ac:dyDescent="0.25">
      <c r="B40" s="454"/>
      <c r="C40" s="455"/>
      <c r="D40" s="455"/>
      <c r="E40" s="455"/>
      <c r="F40" s="456"/>
    </row>
    <row r="41" spans="2:6" x14ac:dyDescent="0.25">
      <c r="B41" s="454"/>
      <c r="C41" s="455"/>
      <c r="D41" s="455"/>
      <c r="E41" s="455"/>
      <c r="F41" s="456"/>
    </row>
    <row r="42" spans="2:6" x14ac:dyDescent="0.25">
      <c r="B42" s="454"/>
      <c r="C42" s="455"/>
      <c r="D42" s="455"/>
      <c r="E42" s="455"/>
      <c r="F42" s="456"/>
    </row>
    <row r="43" spans="2:6" x14ac:dyDescent="0.25">
      <c r="B43" s="454"/>
      <c r="C43" s="455"/>
      <c r="D43" s="455"/>
      <c r="E43" s="455"/>
      <c r="F43" s="456"/>
    </row>
    <row r="44" spans="2:6" x14ac:dyDescent="0.25">
      <c r="B44" s="454"/>
      <c r="C44" s="455"/>
      <c r="D44" s="455"/>
      <c r="E44" s="455"/>
      <c r="F44" s="456"/>
    </row>
    <row r="45" spans="2:6" ht="15.75" thickBot="1" x14ac:dyDescent="0.3">
      <c r="B45" s="457"/>
      <c r="C45" s="458"/>
      <c r="D45" s="458"/>
      <c r="E45" s="458"/>
      <c r="F45" s="459"/>
    </row>
  </sheetData>
  <sheetProtection password="E7F0" sheet="1" objects="1" scenarios="1"/>
  <mergeCells count="5">
    <mergeCell ref="B2:F2"/>
    <mergeCell ref="E5:F5"/>
    <mergeCell ref="E6:F6"/>
    <mergeCell ref="B10:F45"/>
    <mergeCell ref="B3:F3"/>
  </mergeCells>
  <dataValidations count="1">
    <dataValidation allowBlank="1" showInputMessage="1" showErrorMessage="1" promptTitle="Notes" prompt="This space is provided for any notes regarding the budget." sqref="B10"/>
  </dataValidations>
  <pageMargins left="0.7" right="0.7" top="0.75" bottom="0.75" header="0.3" footer="0.3"/>
  <pageSetup scale="98" fitToHeight="0" orientation="portrait" r:id="rId1"/>
  <headerFooter>
    <oddHeader>&amp;LTexas Department of 
Aging and Disability Services&amp;RHCS CDS Budget
February 2015</oddHeader>
    <oddFooter>&amp;RDate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8"/>
  <sheetViews>
    <sheetView topLeftCell="A37" zoomScale="82" zoomScaleNormal="82" workbookViewId="0">
      <selection activeCell="B68" sqref="B68:D68"/>
    </sheetView>
  </sheetViews>
  <sheetFormatPr defaultRowHeight="15" x14ac:dyDescent="0.25"/>
  <cols>
    <col min="1" max="1" width="48.42578125" customWidth="1"/>
    <col min="2" max="2" width="16.42578125" customWidth="1"/>
    <col min="3" max="3" width="4.28515625" customWidth="1"/>
    <col min="4" max="4" width="16.42578125" customWidth="1"/>
  </cols>
  <sheetData>
    <row r="2" spans="1:4" ht="42.75" customHeight="1" x14ac:dyDescent="0.25">
      <c r="A2" s="485" t="s">
        <v>0</v>
      </c>
      <c r="B2" s="485"/>
      <c r="C2" s="485"/>
      <c r="D2" s="485"/>
    </row>
    <row r="3" spans="1:4" ht="15.75" x14ac:dyDescent="0.25">
      <c r="A3" s="490"/>
      <c r="B3" s="490"/>
      <c r="C3" s="490"/>
      <c r="D3" s="490"/>
    </row>
    <row r="4" spans="1:4" x14ac:dyDescent="0.25">
      <c r="A4" s="71"/>
      <c r="B4" s="71"/>
      <c r="C4" s="71"/>
      <c r="D4" s="71"/>
    </row>
    <row r="5" spans="1:4" ht="15.75" thickBot="1" x14ac:dyDescent="0.3">
      <c r="A5" s="72">
        <f>Consumer_Name</f>
        <v>0</v>
      </c>
      <c r="B5" s="71"/>
      <c r="C5" s="491">
        <f>Medicaid_Number</f>
        <v>0</v>
      </c>
      <c r="D5" s="491"/>
    </row>
    <row r="6" spans="1:4" x14ac:dyDescent="0.25">
      <c r="A6" s="73" t="s">
        <v>86</v>
      </c>
      <c r="B6" s="73"/>
      <c r="C6" s="489" t="s">
        <v>87</v>
      </c>
      <c r="D6" s="489"/>
    </row>
    <row r="7" spans="1:4" x14ac:dyDescent="0.25">
      <c r="A7" s="73"/>
      <c r="B7" s="73"/>
      <c r="C7" s="73"/>
      <c r="D7" s="73"/>
    </row>
    <row r="8" spans="1:4" ht="15.75" thickBot="1" x14ac:dyDescent="0.3">
      <c r="A8" s="74" t="s">
        <v>88</v>
      </c>
      <c r="B8" s="81">
        <f>From</f>
        <v>0</v>
      </c>
      <c r="C8" s="73" t="s">
        <v>89</v>
      </c>
      <c r="D8" s="81">
        <f>To</f>
        <v>0</v>
      </c>
    </row>
    <row r="9" spans="1:4" x14ac:dyDescent="0.25">
      <c r="A9" s="74"/>
      <c r="B9" s="75"/>
      <c r="C9" s="73"/>
      <c r="D9" s="75"/>
    </row>
    <row r="10" spans="1:4" ht="15.75" thickBot="1" x14ac:dyDescent="0.3">
      <c r="A10" s="74"/>
      <c r="B10" s="75"/>
      <c r="C10" s="73"/>
      <c r="D10" s="75"/>
    </row>
    <row r="11" spans="1:4" ht="15.75" thickBot="1" x14ac:dyDescent="0.3">
      <c r="A11" s="74" t="s">
        <v>238</v>
      </c>
      <c r="B11" s="292">
        <f>B22</f>
        <v>0</v>
      </c>
      <c r="C11" s="73"/>
      <c r="D11" s="75"/>
    </row>
    <row r="12" spans="1:4" ht="15.75" thickBot="1" x14ac:dyDescent="0.3">
      <c r="A12" s="74" t="s">
        <v>239</v>
      </c>
      <c r="B12" s="293">
        <f>SUM(B28,B33,B38,B43,B48,B53,B58,B63,B68)</f>
        <v>0</v>
      </c>
      <c r="C12" s="73"/>
      <c r="D12" s="75"/>
    </row>
    <row r="13" spans="1:4" ht="15.75" thickBot="1" x14ac:dyDescent="0.3">
      <c r="A13" s="74"/>
      <c r="B13" s="75"/>
      <c r="C13" s="73"/>
      <c r="D13" s="75"/>
    </row>
    <row r="14" spans="1:4" ht="16.5" thickBot="1" x14ac:dyDescent="0.3">
      <c r="A14" s="93" t="s">
        <v>101</v>
      </c>
      <c r="B14" s="94">
        <f>SUM(B11:B12)</f>
        <v>0</v>
      </c>
      <c r="C14" s="73"/>
      <c r="D14" s="75"/>
    </row>
    <row r="15" spans="1:4" x14ac:dyDescent="0.25">
      <c r="A15" s="74"/>
      <c r="B15" s="75"/>
      <c r="C15" s="73"/>
      <c r="D15" s="75"/>
    </row>
    <row r="16" spans="1:4" x14ac:dyDescent="0.25">
      <c r="A16" s="67"/>
      <c r="B16" s="67"/>
      <c r="C16" s="100"/>
      <c r="D16" s="75"/>
    </row>
    <row r="17" spans="1:4" ht="15.75" thickBot="1" x14ac:dyDescent="0.3">
      <c r="A17" s="74"/>
      <c r="B17" s="75"/>
      <c r="C17" s="73"/>
      <c r="D17" s="75"/>
    </row>
    <row r="18" spans="1:4" ht="15.75" thickBot="1" x14ac:dyDescent="0.3">
      <c r="A18" s="95" t="s">
        <v>102</v>
      </c>
      <c r="B18" s="486" t="s">
        <v>243</v>
      </c>
      <c r="C18" s="487"/>
      <c r="D18" s="488"/>
    </row>
    <row r="19" spans="1:4" ht="15.75" thickBot="1" x14ac:dyDescent="0.3">
      <c r="A19" s="95" t="s">
        <v>240</v>
      </c>
      <c r="B19" s="463"/>
      <c r="C19" s="464"/>
      <c r="D19" s="465"/>
    </row>
    <row r="20" spans="1:4" x14ac:dyDescent="0.25">
      <c r="A20" s="95" t="s">
        <v>236</v>
      </c>
      <c r="B20" s="482">
        <f>AuthSHL/Weeks</f>
        <v>0</v>
      </c>
      <c r="C20" s="483"/>
      <c r="D20" s="484"/>
    </row>
    <row r="21" spans="1:4" ht="15.75" thickBot="1" x14ac:dyDescent="0.3">
      <c r="A21" s="96" t="s">
        <v>103</v>
      </c>
      <c r="B21" s="469">
        <v>22.01</v>
      </c>
      <c r="C21" s="470"/>
      <c r="D21" s="471"/>
    </row>
    <row r="22" spans="1:4" ht="15.75" thickBot="1" x14ac:dyDescent="0.3">
      <c r="A22" s="97" t="s">
        <v>237</v>
      </c>
      <c r="B22" s="478">
        <f>B19*B21</f>
        <v>0</v>
      </c>
      <c r="C22" s="479"/>
      <c r="D22" s="480"/>
    </row>
    <row r="23" spans="1:4" ht="15.75" thickBot="1" x14ac:dyDescent="0.3">
      <c r="A23" s="67"/>
      <c r="B23" s="67"/>
      <c r="C23" s="67"/>
      <c r="D23" s="67"/>
    </row>
    <row r="24" spans="1:4" ht="15.75" thickBot="1" x14ac:dyDescent="0.3">
      <c r="A24" s="95" t="s">
        <v>102</v>
      </c>
      <c r="B24" s="486" t="s">
        <v>104</v>
      </c>
      <c r="C24" s="487"/>
      <c r="D24" s="488"/>
    </row>
    <row r="25" spans="1:4" ht="15.75" thickBot="1" x14ac:dyDescent="0.3">
      <c r="A25" s="95" t="s">
        <v>105</v>
      </c>
      <c r="B25" s="463"/>
      <c r="C25" s="464"/>
      <c r="D25" s="481"/>
    </row>
    <row r="26" spans="1:4" x14ac:dyDescent="0.25">
      <c r="A26" s="95" t="s">
        <v>106</v>
      </c>
      <c r="B26" s="482">
        <f>AuthRespite/Weeks</f>
        <v>0</v>
      </c>
      <c r="C26" s="483"/>
      <c r="D26" s="484"/>
    </row>
    <row r="27" spans="1:4" ht="15.75" thickBot="1" x14ac:dyDescent="0.3">
      <c r="A27" s="96" t="s">
        <v>103</v>
      </c>
      <c r="B27" s="469">
        <v>17.86</v>
      </c>
      <c r="C27" s="470"/>
      <c r="D27" s="471"/>
    </row>
    <row r="28" spans="1:4" ht="15.75" thickBot="1" x14ac:dyDescent="0.3">
      <c r="A28" s="97" t="s">
        <v>107</v>
      </c>
      <c r="B28" s="478">
        <f>B25*B27</f>
        <v>0</v>
      </c>
      <c r="C28" s="479"/>
      <c r="D28" s="480"/>
    </row>
    <row r="29" spans="1:4" ht="15.75" thickBot="1" x14ac:dyDescent="0.3">
      <c r="A29" s="67"/>
      <c r="B29" s="67"/>
      <c r="C29" s="67"/>
      <c r="D29" s="67"/>
    </row>
    <row r="30" spans="1:4" ht="15.75" thickBot="1" x14ac:dyDescent="0.3">
      <c r="A30" s="150" t="s">
        <v>102</v>
      </c>
      <c r="B30" s="472" t="s">
        <v>108</v>
      </c>
      <c r="C30" s="473"/>
      <c r="D30" s="474"/>
    </row>
    <row r="31" spans="1:4" ht="15.75" thickBot="1" x14ac:dyDescent="0.3">
      <c r="A31" s="150" t="s">
        <v>109</v>
      </c>
      <c r="B31" s="475"/>
      <c r="C31" s="476"/>
      <c r="D31" s="477"/>
    </row>
    <row r="32" spans="1:4" x14ac:dyDescent="0.25">
      <c r="A32" s="151" t="s">
        <v>103</v>
      </c>
      <c r="B32" s="466">
        <v>42.39</v>
      </c>
      <c r="C32" s="467"/>
      <c r="D32" s="468"/>
    </row>
    <row r="33" spans="1:4" ht="15.75" thickBot="1" x14ac:dyDescent="0.3">
      <c r="A33" s="152" t="s">
        <v>110</v>
      </c>
      <c r="B33" s="469">
        <f>B32*AuthRN</f>
        <v>0</v>
      </c>
      <c r="C33" s="470"/>
      <c r="D33" s="471"/>
    </row>
    <row r="34" spans="1:4" ht="15.75" thickBot="1" x14ac:dyDescent="0.3">
      <c r="A34" s="67"/>
      <c r="B34" s="67"/>
      <c r="C34" s="67"/>
      <c r="D34" s="67"/>
    </row>
    <row r="35" spans="1:4" ht="15.75" thickBot="1" x14ac:dyDescent="0.3">
      <c r="A35" s="150" t="s">
        <v>102</v>
      </c>
      <c r="B35" s="472" t="s">
        <v>111</v>
      </c>
      <c r="C35" s="473"/>
      <c r="D35" s="474"/>
    </row>
    <row r="36" spans="1:4" ht="15.75" thickBot="1" x14ac:dyDescent="0.3">
      <c r="A36" s="150" t="s">
        <v>109</v>
      </c>
      <c r="B36" s="475"/>
      <c r="C36" s="476"/>
      <c r="D36" s="477"/>
    </row>
    <row r="37" spans="1:4" x14ac:dyDescent="0.25">
      <c r="A37" s="151" t="s">
        <v>103</v>
      </c>
      <c r="B37" s="466">
        <v>28.69</v>
      </c>
      <c r="C37" s="467"/>
      <c r="D37" s="468"/>
    </row>
    <row r="38" spans="1:4" ht="15.75" thickBot="1" x14ac:dyDescent="0.3">
      <c r="A38" s="152" t="s">
        <v>112</v>
      </c>
      <c r="B38" s="469">
        <f>AuthLVN*B37</f>
        <v>0</v>
      </c>
      <c r="C38" s="470"/>
      <c r="D38" s="471"/>
    </row>
    <row r="39" spans="1:4" ht="15.75" thickBot="1" x14ac:dyDescent="0.3">
      <c r="A39" s="67"/>
      <c r="B39" s="67"/>
      <c r="C39" s="67"/>
      <c r="D39" s="67"/>
    </row>
    <row r="40" spans="1:4" ht="15.75" thickBot="1" x14ac:dyDescent="0.3">
      <c r="A40" s="150" t="s">
        <v>102</v>
      </c>
      <c r="B40" s="472" t="s">
        <v>113</v>
      </c>
      <c r="C40" s="473"/>
      <c r="D40" s="474"/>
    </row>
    <row r="41" spans="1:4" ht="15.75" thickBot="1" x14ac:dyDescent="0.3">
      <c r="A41" s="150" t="s">
        <v>109</v>
      </c>
      <c r="B41" s="475"/>
      <c r="C41" s="476"/>
      <c r="D41" s="477"/>
    </row>
    <row r="42" spans="1:4" x14ac:dyDescent="0.25">
      <c r="A42" s="151" t="s">
        <v>103</v>
      </c>
      <c r="B42" s="466">
        <v>48.9</v>
      </c>
      <c r="C42" s="467"/>
      <c r="D42" s="468"/>
    </row>
    <row r="43" spans="1:4" ht="15.75" thickBot="1" x14ac:dyDescent="0.3">
      <c r="A43" s="152" t="s">
        <v>114</v>
      </c>
      <c r="B43" s="469">
        <f>AuthSpRN*B42</f>
        <v>0</v>
      </c>
      <c r="C43" s="470"/>
      <c r="D43" s="471"/>
    </row>
    <row r="44" spans="1:4" ht="15.75" thickBot="1" x14ac:dyDescent="0.3">
      <c r="A44" s="67"/>
      <c r="B44" s="67"/>
      <c r="C44" s="67"/>
      <c r="D44" s="67"/>
    </row>
    <row r="45" spans="1:4" ht="15.75" thickBot="1" x14ac:dyDescent="0.3">
      <c r="A45" s="150" t="s">
        <v>102</v>
      </c>
      <c r="B45" s="472" t="s">
        <v>115</v>
      </c>
      <c r="C45" s="473"/>
      <c r="D45" s="474"/>
    </row>
    <row r="46" spans="1:4" ht="15.75" thickBot="1" x14ac:dyDescent="0.3">
      <c r="A46" s="150" t="s">
        <v>109</v>
      </c>
      <c r="B46" s="475"/>
      <c r="C46" s="476"/>
      <c r="D46" s="477"/>
    </row>
    <row r="47" spans="1:4" x14ac:dyDescent="0.25">
      <c r="A47" s="151" t="s">
        <v>103</v>
      </c>
      <c r="B47" s="466">
        <v>33.14</v>
      </c>
      <c r="C47" s="467"/>
      <c r="D47" s="468"/>
    </row>
    <row r="48" spans="1:4" ht="15.75" thickBot="1" x14ac:dyDescent="0.3">
      <c r="A48" s="152" t="s">
        <v>116</v>
      </c>
      <c r="B48" s="469">
        <f>B47*AuthSpLVN</f>
        <v>0</v>
      </c>
      <c r="C48" s="470"/>
      <c r="D48" s="471"/>
    </row>
    <row r="49" spans="1:4" ht="15.75" thickBot="1" x14ac:dyDescent="0.3">
      <c r="A49" s="67"/>
      <c r="B49" s="67"/>
      <c r="C49" s="67"/>
      <c r="D49" s="67"/>
    </row>
    <row r="50" spans="1:4" ht="15.75" thickBot="1" x14ac:dyDescent="0.3">
      <c r="A50" s="95" t="s">
        <v>102</v>
      </c>
      <c r="B50" s="460" t="s">
        <v>117</v>
      </c>
      <c r="C50" s="461"/>
      <c r="D50" s="462"/>
    </row>
    <row r="51" spans="1:4" ht="15.75" thickBot="1" x14ac:dyDescent="0.3">
      <c r="A51" s="96" t="s">
        <v>118</v>
      </c>
      <c r="B51" s="463"/>
      <c r="C51" s="464"/>
      <c r="D51" s="465"/>
    </row>
    <row r="52" spans="1:4" x14ac:dyDescent="0.25">
      <c r="A52" s="96" t="s">
        <v>103</v>
      </c>
      <c r="B52" s="466">
        <v>32.1</v>
      </c>
      <c r="C52" s="467"/>
      <c r="D52" s="468"/>
    </row>
    <row r="53" spans="1:4" ht="15.75" thickBot="1" x14ac:dyDescent="0.3">
      <c r="A53" s="97" t="s">
        <v>119</v>
      </c>
      <c r="B53" s="469">
        <f>B52*AuthSE</f>
        <v>0</v>
      </c>
      <c r="C53" s="470"/>
      <c r="D53" s="471"/>
    </row>
    <row r="54" spans="1:4" ht="15.75" thickBot="1" x14ac:dyDescent="0.3">
      <c r="A54" s="67"/>
      <c r="B54" s="67"/>
      <c r="C54" s="67"/>
      <c r="D54" s="67"/>
    </row>
    <row r="55" spans="1:4" ht="15.75" thickBot="1" x14ac:dyDescent="0.3">
      <c r="A55" s="95" t="s">
        <v>102</v>
      </c>
      <c r="B55" s="460" t="s">
        <v>120</v>
      </c>
      <c r="C55" s="461"/>
      <c r="D55" s="462"/>
    </row>
    <row r="56" spans="1:4" ht="15.75" thickBot="1" x14ac:dyDescent="0.3">
      <c r="A56" s="96" t="s">
        <v>121</v>
      </c>
      <c r="B56" s="463"/>
      <c r="C56" s="464"/>
      <c r="D56" s="465"/>
    </row>
    <row r="57" spans="1:4" x14ac:dyDescent="0.25">
      <c r="A57" s="96" t="s">
        <v>103</v>
      </c>
      <c r="B57" s="466">
        <v>32.1</v>
      </c>
      <c r="C57" s="467"/>
      <c r="D57" s="468"/>
    </row>
    <row r="58" spans="1:4" ht="15.75" thickBot="1" x14ac:dyDescent="0.3">
      <c r="A58" s="97" t="s">
        <v>122</v>
      </c>
      <c r="B58" s="469">
        <f>B57*AuthEA</f>
        <v>0</v>
      </c>
      <c r="C58" s="470"/>
      <c r="D58" s="471"/>
    </row>
    <row r="59" spans="1:4" ht="15.75" thickBot="1" x14ac:dyDescent="0.3">
      <c r="A59" s="67"/>
      <c r="B59" s="67"/>
      <c r="C59" s="67"/>
      <c r="D59" s="67"/>
    </row>
    <row r="60" spans="1:4" ht="15.75" thickBot="1" x14ac:dyDescent="0.3">
      <c r="A60" s="95" t="s">
        <v>102</v>
      </c>
      <c r="B60" s="460" t="s">
        <v>123</v>
      </c>
      <c r="C60" s="461"/>
      <c r="D60" s="462"/>
    </row>
    <row r="61" spans="1:4" ht="15.75" thickBot="1" x14ac:dyDescent="0.3">
      <c r="A61" s="96" t="s">
        <v>124</v>
      </c>
      <c r="B61" s="463"/>
      <c r="C61" s="464"/>
      <c r="D61" s="465"/>
    </row>
    <row r="62" spans="1:4" x14ac:dyDescent="0.25">
      <c r="A62" s="96" t="s">
        <v>103</v>
      </c>
      <c r="B62" s="466">
        <v>78.53</v>
      </c>
      <c r="C62" s="467"/>
      <c r="D62" s="468"/>
    </row>
    <row r="63" spans="1:4" ht="15.75" thickBot="1" x14ac:dyDescent="0.3">
      <c r="A63" s="97" t="s">
        <v>125</v>
      </c>
      <c r="B63" s="469">
        <f>B62*AuthCRT</f>
        <v>0</v>
      </c>
      <c r="C63" s="470"/>
      <c r="D63" s="471"/>
    </row>
    <row r="64" spans="1:4" ht="15.75" thickBot="1" x14ac:dyDescent="0.3"/>
    <row r="65" spans="1:4" ht="15.75" thickBot="1" x14ac:dyDescent="0.3">
      <c r="A65" s="95" t="s">
        <v>102</v>
      </c>
      <c r="B65" s="460" t="s">
        <v>275</v>
      </c>
      <c r="C65" s="461"/>
      <c r="D65" s="462"/>
    </row>
    <row r="66" spans="1:4" ht="15.75" thickBot="1" x14ac:dyDescent="0.3">
      <c r="A66" s="96" t="s">
        <v>276</v>
      </c>
      <c r="B66" s="463"/>
      <c r="C66" s="464"/>
      <c r="D66" s="465"/>
    </row>
    <row r="67" spans="1:4" x14ac:dyDescent="0.25">
      <c r="A67" s="96" t="s">
        <v>103</v>
      </c>
      <c r="B67" s="466">
        <v>22.01</v>
      </c>
      <c r="C67" s="467"/>
      <c r="D67" s="468"/>
    </row>
    <row r="68" spans="1:4" ht="15.75" thickBot="1" x14ac:dyDescent="0.3">
      <c r="A68" s="97" t="s">
        <v>277</v>
      </c>
      <c r="B68" s="469">
        <f>B66*B67</f>
        <v>0</v>
      </c>
      <c r="C68" s="470"/>
      <c r="D68" s="471"/>
    </row>
  </sheetData>
  <sheetProtection password="E7F0" sheet="1" objects="1" scenarios="1"/>
  <mergeCells count="46">
    <mergeCell ref="B27:D27"/>
    <mergeCell ref="B25:D25"/>
    <mergeCell ref="B26:D26"/>
    <mergeCell ref="A2:D2"/>
    <mergeCell ref="B18:D18"/>
    <mergeCell ref="B21:D21"/>
    <mergeCell ref="B22:D22"/>
    <mergeCell ref="B20:D20"/>
    <mergeCell ref="B19:D19"/>
    <mergeCell ref="C6:D6"/>
    <mergeCell ref="A3:D3"/>
    <mergeCell ref="C5:D5"/>
    <mergeCell ref="B24:D24"/>
    <mergeCell ref="B30:D30"/>
    <mergeCell ref="B31:D31"/>
    <mergeCell ref="B32:D32"/>
    <mergeCell ref="B33:D33"/>
    <mergeCell ref="B28:D28"/>
    <mergeCell ref="B61:D61"/>
    <mergeCell ref="B62:D62"/>
    <mergeCell ref="B63:D63"/>
    <mergeCell ref="B55:D55"/>
    <mergeCell ref="B56:D56"/>
    <mergeCell ref="B57:D57"/>
    <mergeCell ref="B58:D58"/>
    <mergeCell ref="B38:D38"/>
    <mergeCell ref="B40:D40"/>
    <mergeCell ref="B52:D52"/>
    <mergeCell ref="B53:D53"/>
    <mergeCell ref="B60:D60"/>
    <mergeCell ref="B65:D65"/>
    <mergeCell ref="B66:D66"/>
    <mergeCell ref="B67:D67"/>
    <mergeCell ref="B68:D68"/>
    <mergeCell ref="B35:D35"/>
    <mergeCell ref="B41:D41"/>
    <mergeCell ref="B47:D47"/>
    <mergeCell ref="B50:D50"/>
    <mergeCell ref="B51:D51"/>
    <mergeCell ref="B48:D48"/>
    <mergeCell ref="B42:D42"/>
    <mergeCell ref="B43:D43"/>
    <mergeCell ref="B45:D45"/>
    <mergeCell ref="B46:D46"/>
    <mergeCell ref="B36:D36"/>
    <mergeCell ref="B37:D37"/>
  </mergeCells>
  <pageMargins left="0.7" right="0.7" top="0.75" bottom="0.75" header="0.3" footer="0.3"/>
  <pageSetup fitToHeight="0" orientation="portrait" r:id="rId1"/>
  <headerFooter>
    <oddHeader>&amp;LTexas Department of 
Aging and Disability Services&amp;RHCS CDS Budget
February 2015</oddHeader>
    <oddFooter>&amp;RDate and Time Created
&amp;D &amp;T</oddFoot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Normal="100" zoomScalePageLayoutView="90" workbookViewId="0">
      <selection activeCell="B5" sqref="B5:C5"/>
    </sheetView>
  </sheetViews>
  <sheetFormatPr defaultRowHeight="15" x14ac:dyDescent="0.25"/>
  <cols>
    <col min="1" max="1" width="4.42578125" customWidth="1"/>
    <col min="2" max="2" width="4.140625" customWidth="1"/>
    <col min="3" max="3" width="46.7109375" customWidth="1"/>
    <col min="4" max="4" width="21.5703125" bestFit="1" customWidth="1"/>
    <col min="5" max="5" width="16.42578125" customWidth="1"/>
    <col min="6" max="7" width="4.42578125" customWidth="1"/>
    <col min="8" max="8" width="20.7109375" customWidth="1"/>
    <col min="9" max="9" width="4.42578125" customWidth="1"/>
    <col min="10" max="10" width="25" hidden="1" customWidth="1"/>
    <col min="11" max="11" width="15.28515625" hidden="1" customWidth="1"/>
  </cols>
  <sheetData>
    <row r="1" spans="1:11" x14ac:dyDescent="0.25">
      <c r="A1" s="261"/>
      <c r="B1" s="261"/>
      <c r="C1" s="261"/>
      <c r="D1" s="261"/>
      <c r="E1" s="261"/>
      <c r="F1" s="261"/>
      <c r="G1" s="261"/>
      <c r="H1" s="261"/>
      <c r="I1" s="261"/>
      <c r="J1" s="264"/>
      <c r="K1" s="261"/>
    </row>
    <row r="2" spans="1:11" ht="20.25" x14ac:dyDescent="0.3">
      <c r="A2" s="261"/>
      <c r="B2" s="447" t="s">
        <v>0</v>
      </c>
      <c r="C2" s="447"/>
      <c r="D2" s="447"/>
      <c r="E2" s="447"/>
      <c r="F2" s="447"/>
      <c r="G2" s="447"/>
      <c r="H2" s="447"/>
      <c r="I2" s="263"/>
      <c r="J2" s="263"/>
      <c r="K2" s="261"/>
    </row>
    <row r="3" spans="1:11" ht="15.75" x14ac:dyDescent="0.25">
      <c r="A3" s="261"/>
      <c r="B3" s="448" t="s">
        <v>210</v>
      </c>
      <c r="C3" s="448"/>
      <c r="D3" s="448"/>
      <c r="E3" s="448"/>
      <c r="F3" s="448"/>
      <c r="G3" s="448"/>
      <c r="H3" s="448"/>
      <c r="I3" s="265"/>
      <c r="J3" s="265"/>
      <c r="K3" s="261"/>
    </row>
    <row r="4" spans="1:11" x14ac:dyDescent="0.25">
      <c r="A4" s="261"/>
      <c r="B4" s="261"/>
      <c r="C4" s="265"/>
      <c r="D4" s="265"/>
      <c r="E4" s="265"/>
      <c r="F4" s="265"/>
      <c r="G4" s="265"/>
      <c r="H4" s="265"/>
      <c r="I4" s="265"/>
      <c r="J4" s="265"/>
      <c r="K4" s="261"/>
    </row>
    <row r="5" spans="1:11" ht="15.75" thickBot="1" x14ac:dyDescent="0.3">
      <c r="A5" s="261"/>
      <c r="B5" s="449">
        <f>Consumer_Name</f>
        <v>0</v>
      </c>
      <c r="C5" s="449"/>
      <c r="D5" s="265"/>
      <c r="E5" s="265"/>
      <c r="F5" s="449">
        <f>Medicaid_Number</f>
        <v>0</v>
      </c>
      <c r="G5" s="449"/>
      <c r="H5" s="449"/>
      <c r="I5" s="269"/>
      <c r="J5" s="261"/>
      <c r="K5" s="261"/>
    </row>
    <row r="6" spans="1:11" x14ac:dyDescent="0.25">
      <c r="A6" s="261"/>
      <c r="B6" s="261"/>
      <c r="C6" s="297" t="s">
        <v>86</v>
      </c>
      <c r="D6" s="297"/>
      <c r="E6" s="297"/>
      <c r="F6" s="527" t="s">
        <v>87</v>
      </c>
      <c r="G6" s="527"/>
      <c r="H6" s="527"/>
      <c r="I6" s="270"/>
      <c r="J6" s="297"/>
      <c r="K6" s="261"/>
    </row>
    <row r="7" spans="1:11" x14ac:dyDescent="0.25">
      <c r="A7" s="297"/>
      <c r="B7" s="297"/>
      <c r="C7" s="297"/>
      <c r="D7" s="297"/>
      <c r="E7" s="297"/>
      <c r="F7" s="270"/>
      <c r="G7" s="270"/>
      <c r="H7" s="270"/>
      <c r="I7" s="270"/>
      <c r="J7" s="297"/>
      <c r="K7" s="261"/>
    </row>
    <row r="8" spans="1:11" ht="15.75" thickBot="1" x14ac:dyDescent="0.3">
      <c r="A8" s="261"/>
      <c r="B8" s="261"/>
      <c r="C8" s="267" t="s">
        <v>88</v>
      </c>
      <c r="D8" s="298">
        <f>From</f>
        <v>0</v>
      </c>
      <c r="E8" s="268"/>
      <c r="F8" s="297" t="s">
        <v>89</v>
      </c>
      <c r="G8" s="506">
        <f>To</f>
        <v>0</v>
      </c>
      <c r="H8" s="506"/>
      <c r="I8" s="270"/>
      <c r="J8" s="297"/>
      <c r="K8" s="261"/>
    </row>
    <row r="9" spans="1:11" ht="15.75" thickBot="1" x14ac:dyDescent="0.3">
      <c r="A9" s="267"/>
      <c r="B9" s="268"/>
      <c r="C9" s="297"/>
      <c r="D9" s="268"/>
      <c r="E9" s="268"/>
      <c r="F9" s="265"/>
      <c r="G9" s="265"/>
      <c r="H9" s="265"/>
      <c r="I9" s="265"/>
      <c r="J9" s="265"/>
      <c r="K9" s="261"/>
    </row>
    <row r="10" spans="1:11" ht="18.75" thickBot="1" x14ac:dyDescent="0.3">
      <c r="A10" s="261"/>
      <c r="B10" s="507" t="s">
        <v>211</v>
      </c>
      <c r="C10" s="508"/>
      <c r="D10" s="508"/>
      <c r="E10" s="508"/>
      <c r="F10" s="508"/>
      <c r="G10" s="509"/>
      <c r="H10" s="283">
        <f>Total_Budget</f>
        <v>0</v>
      </c>
      <c r="I10" s="271"/>
      <c r="J10" s="261"/>
      <c r="K10" s="261"/>
    </row>
    <row r="11" spans="1:11" ht="18.75" customHeight="1" thickBot="1" x14ac:dyDescent="0.3">
      <c r="A11" s="261"/>
      <c r="B11" s="507" t="s">
        <v>251</v>
      </c>
      <c r="C11" s="510"/>
      <c r="D11" s="510"/>
      <c r="E11" s="510"/>
      <c r="F11" s="510"/>
      <c r="G11" s="511"/>
      <c r="H11" s="283">
        <f>CFCBudget</f>
        <v>0</v>
      </c>
      <c r="I11" s="271"/>
      <c r="J11" s="261"/>
      <c r="K11" s="261"/>
    </row>
    <row r="12" spans="1:11" ht="18.75" thickBot="1" x14ac:dyDescent="0.3">
      <c r="A12" s="261"/>
      <c r="B12" s="507" t="s">
        <v>246</v>
      </c>
      <c r="C12" s="510"/>
      <c r="D12" s="510"/>
      <c r="E12" s="510"/>
      <c r="F12" s="510"/>
      <c r="G12" s="511"/>
      <c r="H12" s="283">
        <f>NONCFCBudget</f>
        <v>0</v>
      </c>
      <c r="I12" s="271"/>
      <c r="J12" s="261"/>
      <c r="K12" s="261"/>
    </row>
    <row r="13" spans="1:11" ht="16.5" thickBot="1" x14ac:dyDescent="0.3">
      <c r="A13" s="261"/>
      <c r="B13" s="277"/>
      <c r="C13" s="277"/>
      <c r="D13" s="277"/>
      <c r="E13" s="277"/>
      <c r="F13" s="277"/>
      <c r="G13" s="277"/>
      <c r="H13" s="278"/>
      <c r="I13" s="271"/>
      <c r="J13" s="261"/>
      <c r="K13" s="261"/>
    </row>
    <row r="14" spans="1:11" ht="24" customHeight="1" x14ac:dyDescent="0.25">
      <c r="A14" s="261"/>
      <c r="B14" s="512" t="s">
        <v>234</v>
      </c>
      <c r="C14" s="513"/>
      <c r="D14" s="513"/>
      <c r="E14" s="513"/>
      <c r="F14" s="513"/>
      <c r="G14" s="514"/>
      <c r="H14" s="518">
        <f>K14*0.1</f>
        <v>0</v>
      </c>
      <c r="I14" s="271"/>
      <c r="J14" s="264" t="s">
        <v>212</v>
      </c>
      <c r="K14" s="276">
        <f>H10</f>
        <v>0</v>
      </c>
    </row>
    <row r="15" spans="1:11" ht="27.75" customHeight="1" thickBot="1" x14ac:dyDescent="0.3">
      <c r="A15" s="261"/>
      <c r="B15" s="515"/>
      <c r="C15" s="516"/>
      <c r="D15" s="516"/>
      <c r="E15" s="516"/>
      <c r="F15" s="516"/>
      <c r="G15" s="517"/>
      <c r="H15" s="519"/>
      <c r="I15" s="271"/>
      <c r="J15" s="264"/>
      <c r="K15" s="276"/>
    </row>
    <row r="16" spans="1:11" ht="41.25" customHeight="1" thickBot="1" x14ac:dyDescent="0.3">
      <c r="A16" s="261"/>
      <c r="B16" s="512" t="s">
        <v>252</v>
      </c>
      <c r="C16" s="513"/>
      <c r="D16" s="513"/>
      <c r="E16" s="513"/>
      <c r="F16" s="513"/>
      <c r="G16" s="514"/>
      <c r="H16" s="306">
        <f>CFCBudget*0.1</f>
        <v>0</v>
      </c>
      <c r="I16" s="271"/>
      <c r="J16" s="264"/>
      <c r="K16" s="276"/>
    </row>
    <row r="17" spans="1:13" ht="40.5" customHeight="1" thickBot="1" x14ac:dyDescent="0.3">
      <c r="A17" s="261"/>
      <c r="B17" s="565" t="s">
        <v>249</v>
      </c>
      <c r="C17" s="566"/>
      <c r="D17" s="566"/>
      <c r="E17" s="566"/>
      <c r="F17" s="566"/>
      <c r="G17" s="567"/>
      <c r="H17" s="307">
        <f>NONCFCBudget*0.1</f>
        <v>0</v>
      </c>
      <c r="I17" s="271"/>
      <c r="J17" s="264"/>
      <c r="K17" s="276"/>
    </row>
    <row r="18" spans="1:13" ht="15.75" thickBot="1" x14ac:dyDescent="0.3">
      <c r="A18" s="261"/>
      <c r="B18" s="299"/>
      <c r="C18" s="302"/>
      <c r="D18" s="302"/>
      <c r="E18" s="302"/>
      <c r="F18" s="302"/>
      <c r="G18" s="302"/>
      <c r="H18" s="279"/>
      <c r="I18" s="271"/>
      <c r="J18" s="261" t="s">
        <v>257</v>
      </c>
      <c r="K18" s="261">
        <f>CFCBudget</f>
        <v>0</v>
      </c>
    </row>
    <row r="19" spans="1:13" ht="16.5" thickBot="1" x14ac:dyDescent="0.3">
      <c r="A19" s="261"/>
      <c r="B19" s="520" t="s">
        <v>213</v>
      </c>
      <c r="C19" s="521"/>
      <c r="D19" s="521"/>
      <c r="E19" s="521"/>
      <c r="F19" s="521"/>
      <c r="G19" s="521"/>
      <c r="H19" s="522"/>
      <c r="I19" s="272"/>
      <c r="J19" s="261" t="s">
        <v>258</v>
      </c>
      <c r="K19" s="261">
        <f>NONCFCBudget</f>
        <v>0</v>
      </c>
    </row>
    <row r="20" spans="1:13" x14ac:dyDescent="0.25">
      <c r="A20" s="18"/>
      <c r="B20" s="523" t="s">
        <v>235</v>
      </c>
      <c r="C20" s="524"/>
      <c r="D20" s="524"/>
      <c r="E20" s="524"/>
      <c r="F20" s="524"/>
      <c r="G20" s="524"/>
      <c r="H20" s="381"/>
      <c r="I20" s="302"/>
      <c r="J20" s="261"/>
      <c r="K20" s="261"/>
    </row>
    <row r="21" spans="1:13" x14ac:dyDescent="0.25">
      <c r="A21" s="18"/>
      <c r="B21" s="344"/>
      <c r="C21" s="345"/>
      <c r="D21" s="345"/>
      <c r="E21" s="504" t="s">
        <v>272</v>
      </c>
      <c r="F21" s="504"/>
      <c r="G21" s="504"/>
      <c r="H21" s="381">
        <f>IF(H16&lt;600,H16,600)</f>
        <v>0</v>
      </c>
      <c r="I21" s="342"/>
      <c r="J21" s="261"/>
      <c r="K21" s="261"/>
    </row>
    <row r="22" spans="1:13" x14ac:dyDescent="0.25">
      <c r="A22" s="18"/>
      <c r="B22" s="344"/>
      <c r="C22" s="345"/>
      <c r="D22" s="345"/>
      <c r="E22" s="505" t="s">
        <v>273</v>
      </c>
      <c r="F22" s="505"/>
      <c r="G22" s="505"/>
      <c r="H22" s="381">
        <f>IF(H17&lt;600,H17,600)</f>
        <v>0</v>
      </c>
      <c r="I22" s="342"/>
    </row>
    <row r="23" spans="1:13" ht="15.75" thickBot="1" x14ac:dyDescent="0.3">
      <c r="A23" s="261"/>
      <c r="B23" s="525"/>
      <c r="C23" s="526"/>
      <c r="D23" s="300" t="s">
        <v>253</v>
      </c>
      <c r="E23" s="301" t="s">
        <v>248</v>
      </c>
      <c r="F23" s="528" t="s">
        <v>214</v>
      </c>
      <c r="G23" s="529"/>
      <c r="H23" s="530"/>
      <c r="I23" s="302"/>
    </row>
    <row r="24" spans="1:13" x14ac:dyDescent="0.25">
      <c r="B24" s="499" t="s">
        <v>215</v>
      </c>
      <c r="C24" s="500"/>
      <c r="D24" s="308"/>
      <c r="E24" s="309"/>
      <c r="F24" s="501"/>
      <c r="G24" s="502"/>
      <c r="H24" s="503"/>
      <c r="I24" s="302"/>
      <c r="L24" s="261"/>
      <c r="M24" s="261"/>
    </row>
    <row r="25" spans="1:13" x14ac:dyDescent="0.25">
      <c r="B25" s="499" t="s">
        <v>216</v>
      </c>
      <c r="C25" s="500"/>
      <c r="D25" s="310"/>
      <c r="E25" s="311"/>
      <c r="F25" s="494"/>
      <c r="G25" s="495"/>
      <c r="H25" s="496"/>
      <c r="I25" s="302"/>
      <c r="J25" s="275"/>
      <c r="K25" s="261"/>
      <c r="L25" s="261"/>
      <c r="M25" s="261"/>
    </row>
    <row r="26" spans="1:13" x14ac:dyDescent="0.25">
      <c r="B26" s="499" t="s">
        <v>217</v>
      </c>
      <c r="C26" s="500"/>
      <c r="D26" s="310"/>
      <c r="E26" s="311"/>
      <c r="F26" s="494"/>
      <c r="G26" s="495"/>
      <c r="H26" s="496"/>
      <c r="I26" s="302"/>
      <c r="J26" s="280"/>
      <c r="K26" s="261"/>
      <c r="L26" s="261"/>
      <c r="M26" s="261"/>
    </row>
    <row r="27" spans="1:13" ht="15.75" thickBot="1" x14ac:dyDescent="0.3">
      <c r="B27" s="492" t="s">
        <v>244</v>
      </c>
      <c r="C27" s="493"/>
      <c r="D27" s="317" t="s">
        <v>247</v>
      </c>
      <c r="E27" s="311"/>
      <c r="F27" s="494"/>
      <c r="G27" s="495"/>
      <c r="H27" s="496"/>
      <c r="I27" s="302"/>
      <c r="J27" s="261"/>
      <c r="K27" s="261"/>
      <c r="L27" s="261"/>
      <c r="M27" s="261"/>
    </row>
    <row r="28" spans="1:13" x14ac:dyDescent="0.25">
      <c r="B28" s="497" t="s">
        <v>218</v>
      </c>
      <c r="C28" s="498"/>
      <c r="D28" s="312"/>
      <c r="E28" s="313"/>
      <c r="F28" s="494"/>
      <c r="G28" s="495"/>
      <c r="H28" s="496"/>
      <c r="I28" s="302"/>
      <c r="J28" s="261"/>
      <c r="K28" s="261"/>
      <c r="L28" s="261"/>
      <c r="M28" s="261"/>
    </row>
    <row r="29" spans="1:13" ht="15.75" thickBot="1" x14ac:dyDescent="0.3">
      <c r="B29" s="543" t="s">
        <v>218</v>
      </c>
      <c r="C29" s="544"/>
      <c r="D29" s="314"/>
      <c r="E29" s="315"/>
      <c r="F29" s="545"/>
      <c r="G29" s="546"/>
      <c r="H29" s="547"/>
      <c r="I29" s="302"/>
      <c r="J29" s="261"/>
      <c r="K29" s="261"/>
      <c r="L29" s="261"/>
      <c r="M29" s="261"/>
    </row>
    <row r="30" spans="1:13" s="337" customFormat="1" ht="15.75" thickBot="1" x14ac:dyDescent="0.3">
      <c r="B30" s="559" t="s">
        <v>255</v>
      </c>
      <c r="C30" s="559"/>
      <c r="D30" s="559"/>
      <c r="E30" s="559"/>
      <c r="F30" s="559"/>
      <c r="G30" s="559"/>
      <c r="H30" s="559"/>
      <c r="I30" s="180"/>
      <c r="J30" s="18"/>
      <c r="K30" s="18"/>
      <c r="L30" s="18"/>
      <c r="M30" s="18"/>
    </row>
    <row r="31" spans="1:13" ht="31.5" customHeight="1" thickBot="1" x14ac:dyDescent="0.3">
      <c r="B31" s="548" t="s">
        <v>254</v>
      </c>
      <c r="C31" s="549"/>
      <c r="D31" s="549"/>
      <c r="E31" s="549"/>
      <c r="F31" s="549"/>
      <c r="G31" s="549"/>
      <c r="H31" s="338">
        <f>SUM(D24:D29)</f>
        <v>0</v>
      </c>
      <c r="I31" s="302"/>
      <c r="J31" s="355" t="s">
        <v>260</v>
      </c>
      <c r="K31" s="356">
        <f>H16-H31</f>
        <v>0</v>
      </c>
      <c r="L31" s="261"/>
      <c r="M31" s="261"/>
    </row>
    <row r="32" spans="1:13" ht="33.75" customHeight="1" thickBot="1" x14ac:dyDescent="0.3">
      <c r="B32" s="548" t="s">
        <v>245</v>
      </c>
      <c r="C32" s="549"/>
      <c r="D32" s="549"/>
      <c r="E32" s="549"/>
      <c r="F32" s="549"/>
      <c r="G32" s="549"/>
      <c r="H32" s="339">
        <f>SUM(E24:E29)</f>
        <v>0</v>
      </c>
      <c r="I32" s="302"/>
      <c r="J32" s="357" t="s">
        <v>261</v>
      </c>
      <c r="K32" s="358">
        <f>H17-H32</f>
        <v>0</v>
      </c>
      <c r="L32" s="261"/>
      <c r="M32" s="261"/>
    </row>
    <row r="33" spans="1:13" ht="33" customHeight="1" thickBot="1" x14ac:dyDescent="0.3">
      <c r="B33" s="548" t="s">
        <v>219</v>
      </c>
      <c r="C33" s="549"/>
      <c r="D33" s="549"/>
      <c r="E33" s="549"/>
      <c r="F33" s="549"/>
      <c r="G33" s="549"/>
      <c r="H33" s="316">
        <f>SUM(H31:H32)</f>
        <v>0</v>
      </c>
      <c r="I33" s="271"/>
      <c r="J33" s="359" t="s">
        <v>256</v>
      </c>
      <c r="K33" s="360">
        <f>IF(NONCFCBudget=0, K31,K32)</f>
        <v>0</v>
      </c>
      <c r="L33" s="261"/>
      <c r="M33" s="261"/>
    </row>
    <row r="34" spans="1:13" ht="16.5" thickBot="1" x14ac:dyDescent="0.3">
      <c r="B34" s="284"/>
      <c r="C34" s="277"/>
      <c r="D34" s="277"/>
      <c r="E34" s="277"/>
      <c r="F34" s="277"/>
      <c r="G34" s="277"/>
      <c r="H34" s="285"/>
      <c r="I34" s="271"/>
      <c r="J34" s="261"/>
      <c r="K34" s="261"/>
      <c r="L34" s="261"/>
      <c r="M34" s="261"/>
    </row>
    <row r="35" spans="1:13" ht="16.5" thickBot="1" x14ac:dyDescent="0.3">
      <c r="B35" s="550" t="s">
        <v>220</v>
      </c>
      <c r="C35" s="551"/>
      <c r="D35" s="551"/>
      <c r="E35" s="551"/>
      <c r="F35" s="551"/>
      <c r="G35" s="551"/>
      <c r="H35" s="552"/>
      <c r="I35" s="271"/>
      <c r="J35" s="261"/>
      <c r="K35" s="261"/>
      <c r="L35" s="261"/>
      <c r="M35" s="261"/>
    </row>
    <row r="36" spans="1:13" ht="16.5" thickBot="1" x14ac:dyDescent="0.3">
      <c r="A36" s="337"/>
      <c r="B36" s="328"/>
      <c r="C36" s="327"/>
      <c r="D36" s="327"/>
      <c r="E36" s="521"/>
      <c r="F36" s="521"/>
      <c r="G36" s="521"/>
      <c r="H36" s="329"/>
      <c r="I36" s="271"/>
      <c r="J36" s="261"/>
      <c r="K36" s="261"/>
      <c r="L36" s="261"/>
      <c r="M36" s="261"/>
    </row>
    <row r="37" spans="1:13" ht="15.75" x14ac:dyDescent="0.25">
      <c r="A37" s="337"/>
      <c r="B37" s="318" t="s">
        <v>221</v>
      </c>
      <c r="C37" s="340"/>
      <c r="D37" s="340"/>
      <c r="E37" s="553"/>
      <c r="F37" s="554"/>
      <c r="G37" s="555"/>
      <c r="H37" s="330">
        <f>K33</f>
        <v>0</v>
      </c>
      <c r="I37" s="281"/>
      <c r="J37" s="262" t="s">
        <v>222</v>
      </c>
      <c r="K37" s="286">
        <v>15.37</v>
      </c>
      <c r="L37" s="261"/>
      <c r="M37" s="261"/>
    </row>
    <row r="38" spans="1:13" ht="16.5" thickBot="1" x14ac:dyDescent="0.3">
      <c r="A38" s="337"/>
      <c r="B38" s="319" t="s">
        <v>223</v>
      </c>
      <c r="C38" s="320"/>
      <c r="D38" s="320"/>
      <c r="E38" s="540"/>
      <c r="F38" s="541"/>
      <c r="G38" s="542"/>
      <c r="H38" s="331">
        <f>H37/K37</f>
        <v>0</v>
      </c>
      <c r="I38" s="281"/>
      <c r="J38" s="261"/>
      <c r="K38" s="334"/>
      <c r="L38" s="335"/>
      <c r="M38" s="261"/>
    </row>
    <row r="39" spans="1:13" ht="16.5" thickBot="1" x14ac:dyDescent="0.3">
      <c r="A39" s="337"/>
      <c r="B39" s="321" t="s">
        <v>224</v>
      </c>
      <c r="C39" s="322"/>
      <c r="D39" s="322"/>
      <c r="E39" s="537"/>
      <c r="F39" s="538"/>
      <c r="G39" s="539"/>
      <c r="H39" s="341"/>
      <c r="I39" s="281"/>
      <c r="J39" s="264"/>
      <c r="K39" s="276"/>
      <c r="L39" s="261"/>
      <c r="M39" s="261"/>
    </row>
    <row r="40" spans="1:13" ht="15.75" thickBot="1" x14ac:dyDescent="0.3">
      <c r="A40" s="337"/>
      <c r="B40" s="323" t="s">
        <v>225</v>
      </c>
      <c r="C40" s="324"/>
      <c r="D40" s="324"/>
      <c r="E40" s="534"/>
      <c r="F40" s="535"/>
      <c r="G40" s="536"/>
      <c r="H40" s="332">
        <f>IF(K40&gt;H37,H37,K40)</f>
        <v>0</v>
      </c>
      <c r="I40" s="281"/>
      <c r="J40" s="334" t="s">
        <v>262</v>
      </c>
      <c r="K40" s="336">
        <f>H39*K37</f>
        <v>0</v>
      </c>
      <c r="L40" s="261"/>
      <c r="M40" s="261"/>
    </row>
    <row r="41" spans="1:13" ht="15.75" thickBot="1" x14ac:dyDescent="0.3">
      <c r="A41" s="337"/>
      <c r="B41" s="325" t="s">
        <v>226</v>
      </c>
      <c r="C41" s="326"/>
      <c r="D41" s="326"/>
      <c r="E41" s="568"/>
      <c r="F41" s="568"/>
      <c r="G41" s="568"/>
      <c r="H41" s="333">
        <f>IF((K40-H37)&gt;0,(K40-H37),0)</f>
        <v>0</v>
      </c>
      <c r="I41" s="281"/>
      <c r="J41" s="303"/>
      <c r="K41" s="303"/>
      <c r="L41" s="303"/>
      <c r="M41" s="303"/>
    </row>
    <row r="42" spans="1:13" ht="15.75" thickBot="1" x14ac:dyDescent="0.3">
      <c r="A42" s="337"/>
      <c r="B42" s="325" t="s">
        <v>227</v>
      </c>
      <c r="C42" s="326"/>
      <c r="D42" s="326"/>
      <c r="E42" s="568"/>
      <c r="F42" s="568"/>
      <c r="G42" s="568"/>
      <c r="H42" s="333">
        <f>SUM(H40:H41)</f>
        <v>0</v>
      </c>
      <c r="I42" s="281"/>
      <c r="J42" s="303"/>
      <c r="K42" s="303"/>
      <c r="L42" s="303"/>
      <c r="M42" s="303"/>
    </row>
    <row r="43" spans="1:13" ht="15.75" thickBot="1" x14ac:dyDescent="0.3">
      <c r="A43" s="337"/>
      <c r="B43" s="556" t="s">
        <v>228</v>
      </c>
      <c r="C43" s="557"/>
      <c r="D43" s="557"/>
      <c r="E43" s="557"/>
      <c r="F43" s="557"/>
      <c r="G43" s="558"/>
      <c r="H43" s="348">
        <f>SUM(H42,H33)</f>
        <v>0</v>
      </c>
      <c r="I43" s="287"/>
      <c r="J43" s="346" t="s">
        <v>259</v>
      </c>
      <c r="K43" s="347">
        <f>SUM(H21:H22)</f>
        <v>0</v>
      </c>
      <c r="L43" s="303"/>
      <c r="M43" s="303"/>
    </row>
    <row r="44" spans="1:13" ht="16.5" thickBot="1" x14ac:dyDescent="0.3">
      <c r="A44" s="337"/>
      <c r="B44" s="277"/>
      <c r="C44" s="277"/>
      <c r="D44" s="277"/>
      <c r="E44" s="277"/>
      <c r="F44" s="277"/>
      <c r="G44" s="277"/>
      <c r="H44" s="278"/>
      <c r="I44" s="271"/>
    </row>
    <row r="45" spans="1:13" ht="19.5" thickBot="1" x14ac:dyDescent="0.35">
      <c r="A45" s="337"/>
      <c r="B45" s="531" t="s">
        <v>156</v>
      </c>
      <c r="C45" s="532"/>
      <c r="D45" s="532"/>
      <c r="E45" s="532"/>
      <c r="F45" s="532"/>
      <c r="G45" s="532"/>
      <c r="H45" s="533"/>
      <c r="I45" s="273"/>
    </row>
    <row r="46" spans="1:13" x14ac:dyDescent="0.25">
      <c r="A46" s="337"/>
      <c r="B46" s="571" t="s">
        <v>229</v>
      </c>
      <c r="C46" s="572"/>
      <c r="D46" s="572"/>
      <c r="E46" s="572"/>
      <c r="F46" s="572"/>
      <c r="G46" s="572"/>
      <c r="H46" s="349">
        <f>H10-H43</f>
        <v>0</v>
      </c>
      <c r="I46" s="273"/>
    </row>
    <row r="47" spans="1:13" ht="15.75" thickBot="1" x14ac:dyDescent="0.3">
      <c r="A47" s="337"/>
      <c r="B47" s="525"/>
      <c r="C47" s="573"/>
      <c r="D47" s="300" t="s">
        <v>253</v>
      </c>
      <c r="E47" s="301" t="s">
        <v>248</v>
      </c>
      <c r="F47" s="560" t="s">
        <v>214</v>
      </c>
      <c r="G47" s="561"/>
      <c r="H47" s="562"/>
      <c r="I47" s="302"/>
    </row>
    <row r="48" spans="1:13" x14ac:dyDescent="0.25">
      <c r="A48" s="337"/>
      <c r="B48" s="576" t="s">
        <v>230</v>
      </c>
      <c r="C48" s="577"/>
      <c r="D48" s="308"/>
      <c r="E48" s="309"/>
      <c r="F48" s="501"/>
      <c r="G48" s="502"/>
      <c r="H48" s="503"/>
      <c r="I48" s="302"/>
    </row>
    <row r="49" spans="1:17" ht="15.75" thickBot="1" x14ac:dyDescent="0.3">
      <c r="A49" s="337"/>
      <c r="B49" s="574" t="s">
        <v>231</v>
      </c>
      <c r="C49" s="575"/>
      <c r="D49" s="310"/>
      <c r="E49" s="311"/>
      <c r="F49" s="494"/>
      <c r="G49" s="495"/>
      <c r="H49" s="496"/>
      <c r="I49" s="302"/>
    </row>
    <row r="50" spans="1:17" x14ac:dyDescent="0.25">
      <c r="A50" s="337"/>
      <c r="B50" s="586" t="s">
        <v>218</v>
      </c>
      <c r="C50" s="587"/>
      <c r="D50" s="312"/>
      <c r="E50" s="311"/>
      <c r="F50" s="494"/>
      <c r="G50" s="495"/>
      <c r="H50" s="496"/>
      <c r="I50" s="302"/>
    </row>
    <row r="51" spans="1:17" ht="15.75" thickBot="1" x14ac:dyDescent="0.3">
      <c r="A51" s="337"/>
      <c r="B51" s="584" t="s">
        <v>218</v>
      </c>
      <c r="C51" s="585"/>
      <c r="D51" s="399"/>
      <c r="E51" s="399"/>
      <c r="F51" s="545"/>
      <c r="G51" s="546"/>
      <c r="H51" s="569"/>
      <c r="I51" s="302"/>
    </row>
    <row r="52" spans="1:17" ht="33.75" customHeight="1" x14ac:dyDescent="0.25">
      <c r="A52" s="337"/>
      <c r="B52" s="588" t="s">
        <v>266</v>
      </c>
      <c r="C52" s="589"/>
      <c r="D52" s="589"/>
      <c r="E52" s="589"/>
      <c r="F52" s="589"/>
      <c r="G52" s="590"/>
      <c r="H52" s="362">
        <f>SUM(D48:D51)</f>
        <v>0</v>
      </c>
      <c r="I52" s="271"/>
      <c r="J52" s="394"/>
      <c r="K52" s="394"/>
      <c r="L52" s="394"/>
      <c r="M52" s="394"/>
    </row>
    <row r="53" spans="1:17" ht="33.75" customHeight="1" x14ac:dyDescent="0.25">
      <c r="A53" s="337"/>
      <c r="B53" s="578" t="s">
        <v>267</v>
      </c>
      <c r="C53" s="579"/>
      <c r="D53" s="579"/>
      <c r="E53" s="579"/>
      <c r="F53" s="579"/>
      <c r="G53" s="580"/>
      <c r="H53" s="353">
        <f>SUM(E48:E51)</f>
        <v>0</v>
      </c>
      <c r="I53" s="271"/>
      <c r="J53" s="361"/>
      <c r="K53" s="361"/>
      <c r="L53" s="361"/>
      <c r="M53" s="361"/>
    </row>
    <row r="54" spans="1:17" ht="33.75" customHeight="1" thickBot="1" x14ac:dyDescent="0.3">
      <c r="A54" s="337"/>
      <c r="B54" s="581" t="s">
        <v>268</v>
      </c>
      <c r="C54" s="582"/>
      <c r="D54" s="582"/>
      <c r="E54" s="582"/>
      <c r="F54" s="582"/>
      <c r="G54" s="583"/>
      <c r="H54" s="354">
        <f>SUM(H52:H53)</f>
        <v>0</v>
      </c>
      <c r="I54" s="271"/>
      <c r="J54" s="361"/>
      <c r="K54" s="361"/>
      <c r="L54" s="361"/>
      <c r="M54" s="361"/>
    </row>
    <row r="55" spans="1:17" ht="16.5" thickBot="1" x14ac:dyDescent="0.3">
      <c r="A55" s="337"/>
      <c r="B55" s="277"/>
      <c r="C55" s="277"/>
      <c r="D55" s="277"/>
      <c r="E55" s="277"/>
      <c r="F55" s="277"/>
      <c r="G55" s="277"/>
      <c r="H55" s="304"/>
      <c r="I55" s="271"/>
    </row>
    <row r="56" spans="1:17" ht="18.75" thickBot="1" x14ac:dyDescent="0.3">
      <c r="A56" s="337"/>
      <c r="B56" s="570" t="s">
        <v>232</v>
      </c>
      <c r="C56" s="570"/>
      <c r="D56" s="570"/>
      <c r="E56" s="570"/>
      <c r="F56" s="570"/>
      <c r="G56" s="570"/>
      <c r="H56" s="305">
        <f>H54+H43</f>
        <v>0</v>
      </c>
      <c r="I56" s="271"/>
    </row>
    <row r="57" spans="1:17" ht="15.75" thickBot="1" x14ac:dyDescent="0.3">
      <c r="A57" s="337"/>
      <c r="B57" s="261"/>
      <c r="C57" s="261"/>
      <c r="D57" s="261"/>
      <c r="E57" s="261"/>
      <c r="F57" s="261"/>
      <c r="G57" s="261"/>
      <c r="H57" s="261"/>
      <c r="I57" s="274"/>
      <c r="J57" s="351" t="s">
        <v>264</v>
      </c>
      <c r="K57" s="382">
        <f>CFCBudget-H31-IF(NONCFCBudget=0,K40,0)-H52</f>
        <v>0</v>
      </c>
      <c r="L57" s="350"/>
      <c r="N57" s="350"/>
      <c r="O57" s="350"/>
      <c r="P57" s="350"/>
      <c r="Q57" s="350"/>
    </row>
    <row r="58" spans="1:17" ht="21" thickBot="1" x14ac:dyDescent="0.35">
      <c r="A58" s="337"/>
      <c r="B58" s="563" t="s">
        <v>233</v>
      </c>
      <c r="C58" s="564"/>
      <c r="D58" s="564"/>
      <c r="E58" s="564"/>
      <c r="F58" s="564"/>
      <c r="G58" s="564"/>
      <c r="H58" s="288">
        <f>H10-H56</f>
        <v>0</v>
      </c>
      <c r="I58" s="261"/>
      <c r="J58" s="352" t="s">
        <v>265</v>
      </c>
      <c r="K58" s="383">
        <f>NONCFCBudget-H32-IF(NONCFCBudget=0,0,K40)-H53</f>
        <v>0</v>
      </c>
      <c r="L58" s="350"/>
      <c r="M58" s="350"/>
      <c r="N58" s="350"/>
      <c r="O58" s="350"/>
      <c r="P58" s="350"/>
      <c r="Q58" s="350"/>
    </row>
    <row r="59" spans="1:17" x14ac:dyDescent="0.25">
      <c r="A59" s="337"/>
      <c r="K59" s="384">
        <f>SUM(K57:K58)</f>
        <v>0</v>
      </c>
    </row>
  </sheetData>
  <sheetProtection password="E7F0" sheet="1" objects="1" scenarios="1"/>
  <mergeCells count="61">
    <mergeCell ref="B49:C49"/>
    <mergeCell ref="B48:C48"/>
    <mergeCell ref="B53:G53"/>
    <mergeCell ref="B54:G54"/>
    <mergeCell ref="B51:C51"/>
    <mergeCell ref="B50:C50"/>
    <mergeCell ref="B52:G52"/>
    <mergeCell ref="F47:H47"/>
    <mergeCell ref="F48:H48"/>
    <mergeCell ref="F49:H49"/>
    <mergeCell ref="B58:G58"/>
    <mergeCell ref="B12:G12"/>
    <mergeCell ref="B16:G16"/>
    <mergeCell ref="B17:G17"/>
    <mergeCell ref="B31:G31"/>
    <mergeCell ref="B32:G32"/>
    <mergeCell ref="E42:G42"/>
    <mergeCell ref="E41:G41"/>
    <mergeCell ref="F50:H50"/>
    <mergeCell ref="F51:H51"/>
    <mergeCell ref="B56:G56"/>
    <mergeCell ref="B46:G46"/>
    <mergeCell ref="B47:C47"/>
    <mergeCell ref="B20:G20"/>
    <mergeCell ref="B23:C23"/>
    <mergeCell ref="F6:H6"/>
    <mergeCell ref="F23:H23"/>
    <mergeCell ref="B45:H45"/>
    <mergeCell ref="E40:G40"/>
    <mergeCell ref="E39:G39"/>
    <mergeCell ref="E38:G38"/>
    <mergeCell ref="B29:C29"/>
    <mergeCell ref="F29:H29"/>
    <mergeCell ref="B33:G33"/>
    <mergeCell ref="B35:H35"/>
    <mergeCell ref="E37:G37"/>
    <mergeCell ref="E36:G36"/>
    <mergeCell ref="B43:G43"/>
    <mergeCell ref="B30:H30"/>
    <mergeCell ref="E21:G21"/>
    <mergeCell ref="E22:G22"/>
    <mergeCell ref="B26:C26"/>
    <mergeCell ref="F26:H26"/>
    <mergeCell ref="B2:H2"/>
    <mergeCell ref="B3:H3"/>
    <mergeCell ref="B5:C5"/>
    <mergeCell ref="F5:H5"/>
    <mergeCell ref="B25:C25"/>
    <mergeCell ref="F25:H25"/>
    <mergeCell ref="G8:H8"/>
    <mergeCell ref="B10:G10"/>
    <mergeCell ref="B11:G11"/>
    <mergeCell ref="B14:G15"/>
    <mergeCell ref="H14:H15"/>
    <mergeCell ref="B19:H19"/>
    <mergeCell ref="B27:C27"/>
    <mergeCell ref="F27:H27"/>
    <mergeCell ref="B28:C28"/>
    <mergeCell ref="F28:H28"/>
    <mergeCell ref="B24:C24"/>
    <mergeCell ref="F24:H24"/>
  </mergeCells>
  <dataValidations count="1">
    <dataValidation type="custom" allowBlank="1" showInputMessage="1" errorTitle="Exceed ESS Costs" error="You have exceeded the maximum amount allowed for Employer Support Services. Please verify your entries." sqref="H43">
      <formula1>IF(H43&lt;=K43,H43,IF(H43&gt;K43,FALSE))</formula1>
    </dataValidation>
  </dataValidations>
  <printOptions horizontalCentered="1"/>
  <pageMargins left="0.7" right="0.7" top="0.75" bottom="0.75" header="0.3" footer="0.3"/>
  <pageSetup scale="64" orientation="portrait" r:id="rId1"/>
  <headerFooter>
    <oddHeader>&amp;LTexas Department of 
Aging and Disability Services&amp;RHCS CDS Budget
February 2015</oddHeader>
    <oddFooter>&amp;RDate and Time Created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zoomScaleNormal="100" zoomScalePageLayoutView="75" workbookViewId="0"/>
  </sheetViews>
  <sheetFormatPr defaultRowHeight="15" x14ac:dyDescent="0.25"/>
  <cols>
    <col min="2" max="2" width="2.85546875" customWidth="1"/>
    <col min="3" max="3" width="17.28515625" customWidth="1"/>
    <col min="4" max="4" width="10.5703125" customWidth="1"/>
    <col min="5" max="5" width="11" customWidth="1"/>
    <col min="6" max="6" width="11.7109375" customWidth="1"/>
    <col min="7" max="7" width="15" customWidth="1"/>
    <col min="10" max="10" width="12.42578125" customWidth="1"/>
    <col min="11" max="11" width="13.42578125" customWidth="1"/>
    <col min="12" max="12" width="12.5703125" bestFit="1" customWidth="1"/>
    <col min="13" max="13" width="4.85546875" customWidth="1"/>
    <col min="14" max="16" width="9.140625" hidden="1" customWidth="1"/>
    <col min="17" max="17" width="10.7109375" hidden="1" customWidth="1"/>
  </cols>
  <sheetData>
    <row r="1" spans="1:18" x14ac:dyDescent="0.25">
      <c r="A1" s="252"/>
      <c r="B1" s="261"/>
      <c r="C1" s="261"/>
      <c r="D1" s="261"/>
      <c r="E1" s="261"/>
      <c r="F1" s="261"/>
      <c r="G1" s="261"/>
      <c r="H1" s="261"/>
      <c r="I1" s="261"/>
      <c r="J1" s="261"/>
      <c r="K1" s="261"/>
      <c r="L1" s="261"/>
      <c r="M1" s="261"/>
      <c r="N1" s="261"/>
      <c r="O1" s="261"/>
      <c r="P1" s="262" t="s">
        <v>166</v>
      </c>
      <c r="Q1" s="261"/>
      <c r="R1" s="261"/>
    </row>
    <row r="2" spans="1:18" ht="44.25" customHeight="1" x14ac:dyDescent="0.25">
      <c r="A2" s="261"/>
      <c r="B2" s="447" t="s">
        <v>0</v>
      </c>
      <c r="C2" s="447"/>
      <c r="D2" s="447"/>
      <c r="E2" s="447"/>
      <c r="F2" s="447"/>
      <c r="G2" s="447"/>
      <c r="H2" s="447"/>
      <c r="I2" s="447"/>
      <c r="J2" s="447"/>
      <c r="K2" s="447"/>
      <c r="L2" s="447"/>
      <c r="M2" s="222"/>
      <c r="N2" s="275"/>
      <c r="O2" s="256"/>
      <c r="P2" s="262" t="s">
        <v>100</v>
      </c>
      <c r="Q2" s="256"/>
      <c r="R2" s="256"/>
    </row>
    <row r="3" spans="1:18" ht="15.75" x14ac:dyDescent="0.25">
      <c r="A3" s="261"/>
      <c r="B3" s="448" t="s">
        <v>241</v>
      </c>
      <c r="C3" s="448"/>
      <c r="D3" s="448"/>
      <c r="E3" s="448"/>
      <c r="F3" s="448"/>
      <c r="G3" s="448"/>
      <c r="H3" s="448"/>
      <c r="I3" s="448"/>
      <c r="J3" s="448"/>
      <c r="K3" s="448"/>
      <c r="L3" s="448"/>
      <c r="M3" s="265"/>
      <c r="N3" s="261"/>
      <c r="O3" s="261"/>
      <c r="P3" s="262" t="s">
        <v>167</v>
      </c>
      <c r="Q3" s="261"/>
      <c r="R3" s="261"/>
    </row>
    <row r="4" spans="1:18" x14ac:dyDescent="0.25">
      <c r="A4" s="261"/>
      <c r="B4" s="261"/>
      <c r="C4" s="265"/>
      <c r="D4" s="265"/>
      <c r="E4" s="265"/>
      <c r="F4" s="265"/>
      <c r="G4" s="265"/>
      <c r="H4" s="265"/>
      <c r="I4" s="265"/>
      <c r="J4" s="265"/>
      <c r="K4" s="265"/>
      <c r="L4" s="265"/>
      <c r="M4" s="265"/>
      <c r="N4" s="261"/>
      <c r="O4" s="261"/>
      <c r="P4" s="262" t="s">
        <v>168</v>
      </c>
      <c r="Q4" s="261"/>
      <c r="R4" s="261"/>
    </row>
    <row r="5" spans="1:18" ht="15.75" thickBot="1" x14ac:dyDescent="0.3">
      <c r="A5" s="261"/>
      <c r="B5" s="261"/>
      <c r="C5" s="449">
        <f>Consumer_Name</f>
        <v>0</v>
      </c>
      <c r="D5" s="449"/>
      <c r="E5" s="449"/>
      <c r="F5" s="449"/>
      <c r="G5" s="265"/>
      <c r="H5" s="265"/>
      <c r="I5" s="261"/>
      <c r="J5" s="261"/>
      <c r="K5" s="184">
        <f>Medicaid_Number</f>
        <v>0</v>
      </c>
      <c r="L5" s="269"/>
      <c r="M5" s="269"/>
      <c r="N5" s="261"/>
      <c r="O5" s="261"/>
      <c r="P5" s="261"/>
      <c r="Q5" s="261"/>
      <c r="R5" s="261"/>
    </row>
    <row r="6" spans="1:18" x14ac:dyDescent="0.25">
      <c r="A6" s="261"/>
      <c r="B6" s="261"/>
      <c r="C6" s="450" t="s">
        <v>86</v>
      </c>
      <c r="D6" s="450"/>
      <c r="E6" s="450"/>
      <c r="F6" s="450"/>
      <c r="G6" s="266"/>
      <c r="H6" s="266"/>
      <c r="I6" s="261"/>
      <c r="J6" s="261"/>
      <c r="K6" s="289" t="s">
        <v>87</v>
      </c>
      <c r="L6" s="270"/>
      <c r="M6" s="270"/>
      <c r="N6" s="261"/>
      <c r="O6" s="261"/>
      <c r="P6" s="261"/>
      <c r="Q6" s="261"/>
      <c r="R6" s="261"/>
    </row>
    <row r="7" spans="1:18" x14ac:dyDescent="0.25">
      <c r="A7" s="261"/>
      <c r="B7" s="261"/>
      <c r="C7" s="266"/>
      <c r="D7" s="266"/>
      <c r="E7" s="266"/>
      <c r="F7" s="266"/>
      <c r="G7" s="266"/>
      <c r="H7" s="266"/>
      <c r="I7" s="266"/>
      <c r="J7" s="266"/>
      <c r="K7" s="270"/>
      <c r="L7" s="270"/>
      <c r="M7" s="270"/>
      <c r="N7" s="261"/>
      <c r="O7" s="261"/>
      <c r="P7" s="261"/>
      <c r="Q7" s="261"/>
      <c r="R7" s="261"/>
    </row>
    <row r="8" spans="1:18" ht="15.75" thickBot="1" x14ac:dyDescent="0.3">
      <c r="A8" s="261"/>
      <c r="B8" s="261"/>
      <c r="C8" s="261"/>
      <c r="D8" s="261"/>
      <c r="E8" s="261"/>
      <c r="F8" s="267" t="s">
        <v>88</v>
      </c>
      <c r="G8" s="506">
        <f>From</f>
        <v>0</v>
      </c>
      <c r="H8" s="506"/>
      <c r="I8" s="224" t="s">
        <v>89</v>
      </c>
      <c r="J8" s="506">
        <f>To</f>
        <v>0</v>
      </c>
      <c r="K8" s="506"/>
      <c r="L8" s="261"/>
      <c r="M8" s="261"/>
      <c r="N8" s="261"/>
      <c r="O8" s="261"/>
      <c r="P8" s="261"/>
      <c r="Q8" s="261"/>
      <c r="R8" s="261"/>
    </row>
    <row r="9" spans="1:18" ht="15.75" thickBot="1" x14ac:dyDescent="0.3">
      <c r="A9" s="261"/>
      <c r="B9" s="261"/>
      <c r="C9" s="267"/>
      <c r="D9" s="267"/>
      <c r="E9" s="267"/>
      <c r="F9" s="266"/>
      <c r="G9" s="266"/>
      <c r="H9" s="266"/>
      <c r="I9" s="268"/>
      <c r="J9" s="268"/>
      <c r="K9" s="265"/>
      <c r="L9" s="265"/>
      <c r="M9" s="265"/>
      <c r="N9" s="261"/>
      <c r="O9" s="261"/>
      <c r="P9" s="181"/>
      <c r="Q9" s="181"/>
      <c r="R9" s="261"/>
    </row>
    <row r="10" spans="1:18" ht="19.5" thickBot="1" x14ac:dyDescent="0.35">
      <c r="A10" s="261"/>
      <c r="B10" s="622" t="s">
        <v>169</v>
      </c>
      <c r="C10" s="623"/>
      <c r="D10" s="623"/>
      <c r="E10" s="623"/>
      <c r="F10" s="623"/>
      <c r="G10" s="623"/>
      <c r="H10" s="623"/>
      <c r="I10" s="623"/>
      <c r="J10" s="623"/>
      <c r="K10" s="623"/>
      <c r="L10" s="624"/>
      <c r="M10" s="207"/>
      <c r="N10" s="261"/>
      <c r="O10" s="625" t="s">
        <v>170</v>
      </c>
      <c r="P10" s="625"/>
      <c r="Q10" s="195">
        <v>7000</v>
      </c>
      <c r="R10" s="261"/>
    </row>
    <row r="11" spans="1:18" x14ac:dyDescent="0.25">
      <c r="A11" s="261"/>
      <c r="B11" s="626" t="s">
        <v>263</v>
      </c>
      <c r="C11" s="627"/>
      <c r="D11" s="627"/>
      <c r="E11" s="627"/>
      <c r="F11" s="627"/>
      <c r="G11" s="206">
        <f>'ESS &amp; Non-Taxable'!K57</f>
        <v>0</v>
      </c>
      <c r="H11" s="628" t="s">
        <v>250</v>
      </c>
      <c r="I11" s="629"/>
      <c r="J11" s="629"/>
      <c r="K11" s="629"/>
      <c r="L11" s="632">
        <f>G11-G12</f>
        <v>0</v>
      </c>
      <c r="M11" s="271"/>
      <c r="N11" s="261"/>
      <c r="O11" s="625" t="s">
        <v>173</v>
      </c>
      <c r="P11" s="625"/>
      <c r="Q11" s="195">
        <v>9000</v>
      </c>
      <c r="R11" s="261"/>
    </row>
    <row r="12" spans="1:18" ht="16.5" thickBot="1" x14ac:dyDescent="0.3">
      <c r="A12" s="261"/>
      <c r="B12" s="634" t="s">
        <v>174</v>
      </c>
      <c r="C12" s="635"/>
      <c r="D12" s="635"/>
      <c r="E12" s="635"/>
      <c r="F12" s="635"/>
      <c r="G12" s="202">
        <f>SUM(N22,N39,N56,N73,N90,N107,N124,N141)</f>
        <v>0</v>
      </c>
      <c r="H12" s="630"/>
      <c r="I12" s="631"/>
      <c r="J12" s="631"/>
      <c r="K12" s="631"/>
      <c r="L12" s="633"/>
      <c r="M12" s="208"/>
      <c r="N12" s="261"/>
      <c r="O12" s="181"/>
      <c r="P12" s="261"/>
      <c r="Q12" s="261"/>
      <c r="R12" s="261"/>
    </row>
    <row r="13" spans="1:18" ht="15.75" thickBot="1" x14ac:dyDescent="0.3">
      <c r="A13" s="261"/>
      <c r="B13" s="261"/>
      <c r="C13" s="261"/>
      <c r="D13" s="261"/>
      <c r="E13" s="261"/>
      <c r="F13" s="261"/>
      <c r="G13" s="261"/>
      <c r="H13" s="261"/>
      <c r="I13" s="261"/>
      <c r="J13" s="261"/>
      <c r="K13" s="261"/>
      <c r="L13" s="261"/>
      <c r="M13" s="261"/>
      <c r="N13" s="261"/>
      <c r="O13" s="181"/>
      <c r="P13" s="182" t="s">
        <v>175</v>
      </c>
      <c r="Q13" s="196">
        <v>6.0000000000000001E-3</v>
      </c>
      <c r="R13" s="261"/>
    </row>
    <row r="14" spans="1:18" ht="19.5" thickBot="1" x14ac:dyDescent="0.35">
      <c r="A14" s="261"/>
      <c r="B14" s="622" t="s">
        <v>176</v>
      </c>
      <c r="C14" s="623"/>
      <c r="D14" s="623"/>
      <c r="E14" s="623"/>
      <c r="F14" s="623"/>
      <c r="G14" s="623"/>
      <c r="H14" s="623"/>
      <c r="I14" s="623"/>
      <c r="J14" s="623"/>
      <c r="K14" s="623"/>
      <c r="L14" s="624"/>
      <c r="M14" s="207"/>
      <c r="N14" s="261"/>
      <c r="O14" s="181"/>
      <c r="P14" s="182" t="s">
        <v>177</v>
      </c>
      <c r="Q14" s="197">
        <v>6.2E-2</v>
      </c>
      <c r="R14" s="261"/>
    </row>
    <row r="15" spans="1:18" ht="19.5" thickBot="1" x14ac:dyDescent="0.35">
      <c r="A15" s="261"/>
      <c r="B15" s="294"/>
      <c r="C15" s="295"/>
      <c r="D15" s="295"/>
      <c r="E15" s="295"/>
      <c r="F15" s="295"/>
      <c r="G15" s="295"/>
      <c r="H15" s="295"/>
      <c r="I15" s="295"/>
      <c r="J15" s="295"/>
      <c r="K15" s="295"/>
      <c r="L15" s="296"/>
      <c r="M15" s="207"/>
      <c r="N15" s="261"/>
      <c r="O15" s="181"/>
      <c r="P15" s="182" t="s">
        <v>179</v>
      </c>
      <c r="Q15" s="197">
        <v>1.4500000000000001E-2</v>
      </c>
      <c r="R15" s="261"/>
    </row>
    <row r="16" spans="1:18" ht="19.5" thickBot="1" x14ac:dyDescent="0.35">
      <c r="A16" s="261"/>
      <c r="B16" s="622" t="s">
        <v>242</v>
      </c>
      <c r="C16" s="623"/>
      <c r="D16" s="623"/>
      <c r="E16" s="623"/>
      <c r="F16" s="623"/>
      <c r="G16" s="623"/>
      <c r="H16" s="623"/>
      <c r="I16" s="623"/>
      <c r="J16" s="623" t="str">
        <f>IF(L11&gt;=0,"Yes","No")</f>
        <v>Yes</v>
      </c>
      <c r="K16" s="623"/>
      <c r="L16" s="624"/>
      <c r="M16" s="207"/>
      <c r="N16" s="261"/>
      <c r="O16" s="181"/>
      <c r="P16" s="260" t="s">
        <v>180</v>
      </c>
      <c r="Q16" s="219">
        <f>SUM(Q13:Q15)</f>
        <v>8.2500000000000004E-2</v>
      </c>
      <c r="R16" s="261"/>
    </row>
    <row r="17" spans="1:18" x14ac:dyDescent="0.25">
      <c r="A17" s="261"/>
      <c r="B17" s="636" t="s">
        <v>178</v>
      </c>
      <c r="C17" s="637"/>
      <c r="D17" s="637"/>
      <c r="E17" s="637"/>
      <c r="F17" s="637"/>
      <c r="G17" s="637"/>
      <c r="H17" s="637"/>
      <c r="I17" s="637"/>
      <c r="J17" s="640" t="str">
        <f>IF((AND(L11&gt;=0,'Non-CFC Taxable Wage &amp; Comp'!L11&gt;=0)),"Yes","No")</f>
        <v>Yes</v>
      </c>
      <c r="K17" s="640"/>
      <c r="L17" s="641"/>
      <c r="M17" s="209"/>
      <c r="N17" s="209"/>
      <c r="O17" s="209"/>
      <c r="R17" s="261"/>
    </row>
    <row r="18" spans="1:18" ht="15.75" thickBot="1" x14ac:dyDescent="0.3">
      <c r="A18" s="261"/>
      <c r="B18" s="638"/>
      <c r="C18" s="639"/>
      <c r="D18" s="639"/>
      <c r="E18" s="639"/>
      <c r="F18" s="639"/>
      <c r="G18" s="639"/>
      <c r="H18" s="639"/>
      <c r="I18" s="639"/>
      <c r="J18" s="642"/>
      <c r="K18" s="642"/>
      <c r="L18" s="643"/>
      <c r="M18" s="209"/>
      <c r="N18" s="261"/>
      <c r="O18" s="181"/>
      <c r="R18" s="261"/>
    </row>
    <row r="19" spans="1:18" ht="15.75" thickBot="1" x14ac:dyDescent="0.3">
      <c r="B19" s="261"/>
      <c r="C19" s="267"/>
      <c r="D19" s="267"/>
      <c r="E19" s="267"/>
      <c r="F19" s="266"/>
      <c r="G19" s="266"/>
      <c r="H19" s="266"/>
      <c r="I19" s="268"/>
      <c r="J19" s="268"/>
      <c r="K19" s="265"/>
      <c r="L19" s="265"/>
      <c r="M19" s="265"/>
      <c r="N19" s="621" t="s">
        <v>181</v>
      </c>
      <c r="O19" s="621"/>
      <c r="P19" s="621"/>
      <c r="Q19" s="218">
        <v>0.66359999999999997</v>
      </c>
      <c r="R19" s="261"/>
    </row>
    <row r="20" spans="1:18" ht="19.5" thickBot="1" x14ac:dyDescent="0.35">
      <c r="B20" s="622" t="s">
        <v>182</v>
      </c>
      <c r="C20" s="623"/>
      <c r="D20" s="623"/>
      <c r="E20" s="623"/>
      <c r="F20" s="623"/>
      <c r="G20" s="623"/>
      <c r="H20" s="623"/>
      <c r="I20" s="623"/>
      <c r="J20" s="623"/>
      <c r="K20" s="623"/>
      <c r="L20" s="624"/>
      <c r="M20" s="205"/>
      <c r="N20" s="290"/>
      <c r="O20" s="290"/>
      <c r="P20" s="290"/>
      <c r="Q20" s="275"/>
      <c r="R20" s="275"/>
    </row>
    <row r="21" spans="1:18" ht="39.75" thickBot="1" x14ac:dyDescent="0.3">
      <c r="B21" s="591">
        <v>1</v>
      </c>
      <c r="C21" s="225" t="s">
        <v>183</v>
      </c>
      <c r="D21" s="221"/>
      <c r="E21" s="226"/>
      <c r="F21" s="226" t="s">
        <v>184</v>
      </c>
      <c r="G21" s="226" t="s">
        <v>185</v>
      </c>
      <c r="H21" s="220" t="s">
        <v>186</v>
      </c>
      <c r="I21" s="226" t="s">
        <v>187</v>
      </c>
      <c r="J21" s="227" t="s">
        <v>188</v>
      </c>
      <c r="K21" s="228" t="s">
        <v>189</v>
      </c>
      <c r="L21" s="229" t="s">
        <v>190</v>
      </c>
      <c r="M21" s="210"/>
      <c r="N21" s="180"/>
      <c r="O21" s="197"/>
      <c r="P21" s="275" t="s">
        <v>191</v>
      </c>
      <c r="Q21" s="275">
        <f>IF(F23="Exempt all taxes",0,(J22*FICA)+(J22*Medicare))</f>
        <v>0</v>
      </c>
      <c r="R21" s="275"/>
    </row>
    <row r="22" spans="1:18" ht="15.75" thickBot="1" x14ac:dyDescent="0.3">
      <c r="B22" s="592"/>
      <c r="C22" s="594"/>
      <c r="D22" s="595"/>
      <c r="E22" s="596"/>
      <c r="F22" s="211"/>
      <c r="G22" s="212"/>
      <c r="H22" s="282">
        <f>P31</f>
        <v>1</v>
      </c>
      <c r="I22" s="213"/>
      <c r="J22" s="230">
        <f>SUM(K26:K27)+SUM(I32:I36)</f>
        <v>0</v>
      </c>
      <c r="K22" s="231">
        <f>IF(F23="No",Q22,Q21)</f>
        <v>0</v>
      </c>
      <c r="L22" s="232">
        <f>SUM(J22:K22)</f>
        <v>0</v>
      </c>
      <c r="M22" s="180"/>
      <c r="N22" s="195">
        <f>IF(ISNUMBER(L22),L22,0)</f>
        <v>0</v>
      </c>
      <c r="O22" s="275"/>
      <c r="P22" s="275" t="s">
        <v>192</v>
      </c>
      <c r="Q22" s="257">
        <f>IF(J22&gt;=SUTA_Max,((FUTA_Max*FUTA)+(SUTA_Max*I22)+(J22*FICA)+(J22*Medicare)),IF(J22&gt;=FUTA_Max,((FUTA_Max*FUTA)+(J22*I22)+(J22*FICA)+(J22*Medicare)),IF(J22&lt;FUTA_Max,(J22*(Total_Tax+I22)))))</f>
        <v>0</v>
      </c>
      <c r="R22" s="275"/>
    </row>
    <row r="23" spans="1:18" ht="15.75" thickBot="1" x14ac:dyDescent="0.3">
      <c r="B23" s="592"/>
      <c r="C23" s="597" t="s">
        <v>193</v>
      </c>
      <c r="D23" s="598"/>
      <c r="E23" s="598"/>
      <c r="F23" s="599" t="s">
        <v>100</v>
      </c>
      <c r="G23" s="600"/>
      <c r="H23" s="233"/>
      <c r="I23" s="281"/>
      <c r="J23" s="271"/>
      <c r="K23" s="234"/>
      <c r="L23" s="235"/>
      <c r="M23" s="203"/>
      <c r="N23" s="275"/>
      <c r="O23" s="275"/>
      <c r="P23" s="275"/>
      <c r="Q23" s="275"/>
      <c r="R23" s="275"/>
    </row>
    <row r="24" spans="1:18" ht="15.75" thickBot="1" x14ac:dyDescent="0.3">
      <c r="B24" s="592"/>
      <c r="C24" s="601"/>
      <c r="D24" s="602"/>
      <c r="E24" s="602"/>
      <c r="F24" s="602"/>
      <c r="G24" s="602"/>
      <c r="H24" s="602"/>
      <c r="I24" s="602"/>
      <c r="J24" s="602"/>
      <c r="K24" s="602"/>
      <c r="L24" s="603"/>
      <c r="M24" s="203"/>
      <c r="N24" s="275"/>
      <c r="O24" s="275"/>
      <c r="P24" s="275"/>
      <c r="Q24" s="275"/>
      <c r="R24" s="275"/>
    </row>
    <row r="25" spans="1:18" ht="16.5" thickBot="1" x14ac:dyDescent="0.3">
      <c r="B25" s="592"/>
      <c r="C25" s="236" t="s">
        <v>194</v>
      </c>
      <c r="D25" s="193"/>
      <c r="E25" s="604"/>
      <c r="F25" s="605"/>
      <c r="G25" s="237" t="s">
        <v>195</v>
      </c>
      <c r="H25" s="238" t="s">
        <v>196</v>
      </c>
      <c r="I25" s="239" t="s">
        <v>197</v>
      </c>
      <c r="J25" s="239" t="s">
        <v>198</v>
      </c>
      <c r="K25" s="240" t="s">
        <v>199</v>
      </c>
      <c r="L25" s="235"/>
      <c r="M25" s="199"/>
      <c r="N25" s="275"/>
      <c r="O25" s="275"/>
      <c r="P25" s="275"/>
      <c r="Q25" s="275"/>
      <c r="R25" s="275"/>
    </row>
    <row r="26" spans="1:18" ht="15.75" thickBot="1" x14ac:dyDescent="0.3">
      <c r="B26" s="592"/>
      <c r="C26" s="389"/>
      <c r="D26" s="390"/>
      <c r="E26" s="606" t="s">
        <v>270</v>
      </c>
      <c r="F26" s="607"/>
      <c r="G26" s="200"/>
      <c r="H26" s="253"/>
      <c r="I26" s="241">
        <f>H22</f>
        <v>1</v>
      </c>
      <c r="J26" s="242"/>
      <c r="K26" s="243">
        <f>G26*H26*I26</f>
        <v>0</v>
      </c>
      <c r="L26" s="235"/>
      <c r="M26" s="210"/>
      <c r="N26" s="275"/>
      <c r="O26" s="275"/>
      <c r="P26" s="275"/>
      <c r="Q26" s="275"/>
      <c r="R26" s="275"/>
    </row>
    <row r="27" spans="1:18" ht="15.75" thickBot="1" x14ac:dyDescent="0.3">
      <c r="A27" s="261"/>
      <c r="B27" s="592"/>
      <c r="C27" s="389"/>
      <c r="D27" s="390"/>
      <c r="E27" s="608" t="s">
        <v>32</v>
      </c>
      <c r="F27" s="609"/>
      <c r="G27" s="200"/>
      <c r="H27" s="255"/>
      <c r="I27" s="200"/>
      <c r="J27" s="253"/>
      <c r="K27" s="254">
        <f>G27*I27*J27</f>
        <v>0</v>
      </c>
      <c r="L27" s="235"/>
      <c r="M27" s="210"/>
      <c r="N27" s="275"/>
      <c r="O27" s="275"/>
      <c r="P27" s="275"/>
      <c r="Q27" s="275"/>
      <c r="R27" s="275"/>
    </row>
    <row r="28" spans="1:18" x14ac:dyDescent="0.25">
      <c r="A28" s="261"/>
      <c r="B28" s="592"/>
      <c r="C28" s="389"/>
      <c r="D28" s="610" t="s">
        <v>201</v>
      </c>
      <c r="E28" s="610"/>
      <c r="F28" s="610"/>
      <c r="G28" s="610"/>
      <c r="H28" s="610"/>
      <c r="I28" s="610"/>
      <c r="J28" s="610"/>
      <c r="K28" s="610"/>
      <c r="L28" s="246"/>
      <c r="M28" s="210"/>
      <c r="N28" s="275"/>
      <c r="O28" s="275"/>
      <c r="P28" s="275"/>
      <c r="Q28" s="275"/>
      <c r="R28" s="275"/>
    </row>
    <row r="29" spans="1:18" x14ac:dyDescent="0.25">
      <c r="A29" s="261"/>
      <c r="B29" s="592"/>
      <c r="C29" s="247"/>
      <c r="D29" s="610"/>
      <c r="E29" s="610"/>
      <c r="F29" s="610"/>
      <c r="G29" s="610"/>
      <c r="H29" s="610"/>
      <c r="I29" s="610"/>
      <c r="J29" s="610"/>
      <c r="K29" s="610"/>
      <c r="L29" s="246"/>
      <c r="M29" s="210"/>
      <c r="N29" s="180"/>
      <c r="O29" s="275"/>
      <c r="P29" s="275"/>
      <c r="Q29" s="275"/>
      <c r="R29" s="275"/>
    </row>
    <row r="30" spans="1:18" ht="15.75" thickBot="1" x14ac:dyDescent="0.3">
      <c r="A30" s="261"/>
      <c r="B30" s="592"/>
      <c r="C30" s="387"/>
      <c r="D30" s="388"/>
      <c r="E30" s="388"/>
      <c r="F30" s="388"/>
      <c r="G30" s="388"/>
      <c r="H30" s="388"/>
      <c r="I30" s="388"/>
      <c r="J30" s="388"/>
      <c r="K30" s="388"/>
      <c r="L30" s="248"/>
      <c r="M30" s="210"/>
      <c r="N30" s="180"/>
      <c r="O30" s="275"/>
      <c r="P30" s="275"/>
      <c r="Q30" s="275"/>
      <c r="R30" s="275"/>
    </row>
    <row r="31" spans="1:18" ht="52.5" thickBot="1" x14ac:dyDescent="0.3">
      <c r="A31" s="261"/>
      <c r="B31" s="592"/>
      <c r="C31" s="236" t="s">
        <v>202</v>
      </c>
      <c r="D31" s="193"/>
      <c r="E31" s="611"/>
      <c r="F31" s="612"/>
      <c r="G31" s="249" t="s">
        <v>203</v>
      </c>
      <c r="H31" s="250" t="s">
        <v>204</v>
      </c>
      <c r="I31" s="251" t="s">
        <v>199</v>
      </c>
      <c r="J31" s="390"/>
      <c r="K31" s="390"/>
      <c r="L31" s="235"/>
      <c r="M31" s="205"/>
      <c r="N31" s="290"/>
      <c r="O31" s="290">
        <f>G22-F22+1</f>
        <v>1</v>
      </c>
      <c r="P31" s="290">
        <f>IF(OR(O31=366,O31=365),52,(ROUNDUP(O31/7,0)))</f>
        <v>1</v>
      </c>
      <c r="Q31" s="275"/>
      <c r="R31" s="275"/>
    </row>
    <row r="32" spans="1:18" ht="15.75" thickBot="1" x14ac:dyDescent="0.3">
      <c r="A32" s="261"/>
      <c r="B32" s="592"/>
      <c r="C32" s="387"/>
      <c r="D32" s="390"/>
      <c r="E32" s="613" t="s">
        <v>205</v>
      </c>
      <c r="F32" s="614"/>
      <c r="G32" s="214"/>
      <c r="H32" s="215"/>
      <c r="I32" s="201">
        <f>G32*H32</f>
        <v>0</v>
      </c>
      <c r="J32" s="390"/>
      <c r="K32" s="390"/>
      <c r="L32" s="235"/>
      <c r="M32" s="210"/>
      <c r="N32" s="180"/>
      <c r="O32" s="197"/>
      <c r="P32" s="275"/>
      <c r="Q32" s="275"/>
      <c r="R32" s="275"/>
    </row>
    <row r="33" spans="1:18" ht="15.75" thickBot="1" x14ac:dyDescent="0.3">
      <c r="A33" s="261"/>
      <c r="B33" s="592"/>
      <c r="C33" s="387"/>
      <c r="D33" s="390"/>
      <c r="E33" s="615" t="s">
        <v>206</v>
      </c>
      <c r="F33" s="616"/>
      <c r="G33" s="216"/>
      <c r="H33" s="217"/>
      <c r="I33" s="201">
        <f t="shared" ref="I33:I36" si="0">G33*H33</f>
        <v>0</v>
      </c>
      <c r="J33" s="390"/>
      <c r="K33" s="390"/>
      <c r="L33" s="235"/>
      <c r="M33" s="180"/>
      <c r="N33" s="180"/>
      <c r="O33" s="275"/>
      <c r="P33" s="275"/>
      <c r="Q33" s="275"/>
      <c r="R33" s="275"/>
    </row>
    <row r="34" spans="1:18" ht="15.75" thickBot="1" x14ac:dyDescent="0.3">
      <c r="A34" s="261"/>
      <c r="B34" s="592"/>
      <c r="C34" s="387"/>
      <c r="D34" s="390"/>
      <c r="E34" s="615" t="s">
        <v>207</v>
      </c>
      <c r="F34" s="616"/>
      <c r="G34" s="216"/>
      <c r="H34" s="217"/>
      <c r="I34" s="201">
        <f t="shared" si="0"/>
        <v>0</v>
      </c>
      <c r="J34" s="390"/>
      <c r="K34" s="390"/>
      <c r="L34" s="235"/>
      <c r="M34" s="210"/>
      <c r="N34" s="275"/>
      <c r="O34" s="275"/>
      <c r="P34" s="275"/>
      <c r="Q34" s="275"/>
      <c r="R34" s="275"/>
    </row>
    <row r="35" spans="1:18" ht="15.75" thickBot="1" x14ac:dyDescent="0.3">
      <c r="A35" s="261"/>
      <c r="B35" s="592"/>
      <c r="C35" s="387"/>
      <c r="D35" s="390"/>
      <c r="E35" s="617" t="s">
        <v>208</v>
      </c>
      <c r="F35" s="618"/>
      <c r="G35" s="216"/>
      <c r="H35" s="217"/>
      <c r="I35" s="201">
        <f t="shared" si="0"/>
        <v>0</v>
      </c>
      <c r="J35" s="390"/>
      <c r="K35" s="390"/>
      <c r="L35" s="235"/>
      <c r="M35" s="210"/>
      <c r="N35" s="180"/>
      <c r="O35" s="275"/>
      <c r="P35" s="275"/>
      <c r="Q35" s="275"/>
      <c r="R35" s="275"/>
    </row>
    <row r="36" spans="1:18" ht="15.75" thickBot="1" x14ac:dyDescent="0.3">
      <c r="A36" s="261"/>
      <c r="B36" s="593"/>
      <c r="C36" s="371"/>
      <c r="D36" s="391"/>
      <c r="E36" s="619" t="s">
        <v>209</v>
      </c>
      <c r="F36" s="620"/>
      <c r="G36" s="372"/>
      <c r="H36" s="373"/>
      <c r="I36" s="374">
        <f t="shared" si="0"/>
        <v>0</v>
      </c>
      <c r="J36" s="391"/>
      <c r="K36" s="375"/>
      <c r="L36" s="232"/>
      <c r="M36" s="210"/>
      <c r="N36" s="275"/>
      <c r="O36" s="275"/>
      <c r="P36" s="275"/>
      <c r="Q36" s="275"/>
      <c r="R36" s="275"/>
    </row>
    <row r="37" spans="1:18" ht="15.75" thickBot="1" x14ac:dyDescent="0.3">
      <c r="A37" s="261"/>
      <c r="B37" s="364"/>
      <c r="C37" s="365"/>
      <c r="D37" s="366"/>
      <c r="E37" s="377"/>
      <c r="F37" s="377"/>
      <c r="G37" s="378"/>
      <c r="H37" s="379"/>
      <c r="I37" s="367"/>
      <c r="J37" s="366"/>
      <c r="K37" s="368"/>
      <c r="L37" s="368"/>
      <c r="M37" s="210"/>
      <c r="N37" s="275"/>
      <c r="O37" s="275"/>
      <c r="P37" s="275"/>
      <c r="Q37" s="275"/>
      <c r="R37" s="275"/>
    </row>
    <row r="38" spans="1:18" ht="39.75" thickBot="1" x14ac:dyDescent="0.3">
      <c r="B38" s="591">
        <v>2</v>
      </c>
      <c r="C38" s="225" t="s">
        <v>183</v>
      </c>
      <c r="D38" s="221"/>
      <c r="E38" s="226"/>
      <c r="F38" s="226" t="s">
        <v>184</v>
      </c>
      <c r="G38" s="226" t="s">
        <v>185</v>
      </c>
      <c r="H38" s="220" t="s">
        <v>186</v>
      </c>
      <c r="I38" s="226" t="s">
        <v>187</v>
      </c>
      <c r="J38" s="227" t="s">
        <v>188</v>
      </c>
      <c r="K38" s="228" t="s">
        <v>189</v>
      </c>
      <c r="L38" s="229" t="s">
        <v>190</v>
      </c>
      <c r="M38" s="210"/>
      <c r="N38" s="180"/>
      <c r="O38" s="197"/>
      <c r="P38" s="275" t="s">
        <v>191</v>
      </c>
      <c r="Q38" s="275">
        <f>IF(F40="Exempt all taxes",0,(J39*FICA)+(J39*Medicare))</f>
        <v>0</v>
      </c>
    </row>
    <row r="39" spans="1:18" ht="15.75" thickBot="1" x14ac:dyDescent="0.3">
      <c r="B39" s="592"/>
      <c r="C39" s="594"/>
      <c r="D39" s="595"/>
      <c r="E39" s="596"/>
      <c r="F39" s="211"/>
      <c r="G39" s="212"/>
      <c r="H39" s="282">
        <f>P48</f>
        <v>1</v>
      </c>
      <c r="I39" s="213"/>
      <c r="J39" s="230">
        <f>SUM(K43:K44)+SUM(I49:I53)</f>
        <v>0</v>
      </c>
      <c r="K39" s="231">
        <f>IF(F40="No",Q39,Q38)</f>
        <v>0</v>
      </c>
      <c r="L39" s="232">
        <f>SUM(J39:K39)</f>
        <v>0</v>
      </c>
      <c r="M39" s="180"/>
      <c r="N39" s="195">
        <f>IF(ISNUMBER(L39),L39,0)</f>
        <v>0</v>
      </c>
      <c r="O39" s="275"/>
      <c r="P39" s="275" t="s">
        <v>192</v>
      </c>
      <c r="Q39" s="257">
        <f>IF(J39&gt;=SUTA_Max,((FUTA_Max*FUTA)+(SUTA_Max*I39)+(J39*FICA)+(J39*Medicare)),IF(J39&gt;=FUTA_Max,((FUTA_Max*FUTA)+(J39*I39)+(J39*FICA)+(J39*Medicare)),IF(J39&lt;FUTA_Max,(J39*(Total_Tax+I39)))))</f>
        <v>0</v>
      </c>
    </row>
    <row r="40" spans="1:18" ht="15.75" thickBot="1" x14ac:dyDescent="0.3">
      <c r="B40" s="592"/>
      <c r="C40" s="597" t="s">
        <v>193</v>
      </c>
      <c r="D40" s="598"/>
      <c r="E40" s="598"/>
      <c r="F40" s="599" t="s">
        <v>100</v>
      </c>
      <c r="G40" s="600"/>
      <c r="H40" s="233"/>
      <c r="I40" s="281"/>
      <c r="J40" s="271"/>
      <c r="K40" s="234"/>
      <c r="L40" s="235"/>
      <c r="M40" s="203"/>
      <c r="N40" s="275"/>
      <c r="O40" s="275"/>
      <c r="P40" s="275"/>
      <c r="Q40" s="275"/>
    </row>
    <row r="41" spans="1:18" ht="15.75" thickBot="1" x14ac:dyDescent="0.3">
      <c r="B41" s="592"/>
      <c r="C41" s="601"/>
      <c r="D41" s="602"/>
      <c r="E41" s="602"/>
      <c r="F41" s="602"/>
      <c r="G41" s="602"/>
      <c r="H41" s="602"/>
      <c r="I41" s="602"/>
      <c r="J41" s="602"/>
      <c r="K41" s="602"/>
      <c r="L41" s="603"/>
      <c r="M41" s="203"/>
      <c r="N41" s="275"/>
      <c r="O41" s="275"/>
      <c r="P41" s="275"/>
      <c r="Q41" s="275"/>
    </row>
    <row r="42" spans="1:18" ht="16.5" thickBot="1" x14ac:dyDescent="0.3">
      <c r="B42" s="592"/>
      <c r="C42" s="236" t="s">
        <v>194</v>
      </c>
      <c r="D42" s="193"/>
      <c r="E42" s="604"/>
      <c r="F42" s="605"/>
      <c r="G42" s="237" t="s">
        <v>195</v>
      </c>
      <c r="H42" s="238" t="s">
        <v>196</v>
      </c>
      <c r="I42" s="239" t="s">
        <v>197</v>
      </c>
      <c r="J42" s="239" t="s">
        <v>198</v>
      </c>
      <c r="K42" s="240" t="s">
        <v>199</v>
      </c>
      <c r="L42" s="235"/>
      <c r="M42" s="199"/>
      <c r="N42" s="275"/>
      <c r="O42" s="275"/>
      <c r="P42" s="275"/>
      <c r="Q42" s="275"/>
    </row>
    <row r="43" spans="1:18" ht="15.75" thickBot="1" x14ac:dyDescent="0.3">
      <c r="B43" s="592"/>
      <c r="C43" s="389"/>
      <c r="D43" s="390"/>
      <c r="E43" s="606" t="s">
        <v>270</v>
      </c>
      <c r="F43" s="607"/>
      <c r="G43" s="200"/>
      <c r="H43" s="253"/>
      <c r="I43" s="241">
        <f>H39</f>
        <v>1</v>
      </c>
      <c r="J43" s="242"/>
      <c r="K43" s="243">
        <f>G43*H43*I43</f>
        <v>0</v>
      </c>
      <c r="L43" s="235"/>
      <c r="M43" s="210"/>
      <c r="N43" s="275"/>
      <c r="O43" s="275"/>
      <c r="P43" s="275"/>
      <c r="Q43" s="275"/>
    </row>
    <row r="44" spans="1:18" ht="15.75" thickBot="1" x14ac:dyDescent="0.3">
      <c r="B44" s="592"/>
      <c r="C44" s="389"/>
      <c r="D44" s="390"/>
      <c r="E44" s="608" t="s">
        <v>32</v>
      </c>
      <c r="F44" s="609"/>
      <c r="G44" s="200"/>
      <c r="H44" s="255"/>
      <c r="I44" s="200"/>
      <c r="J44" s="253"/>
      <c r="K44" s="254">
        <f>G44*I44*J44</f>
        <v>0</v>
      </c>
      <c r="L44" s="235"/>
      <c r="M44" s="210"/>
      <c r="N44" s="275"/>
      <c r="O44" s="275"/>
      <c r="P44" s="275"/>
      <c r="Q44" s="275"/>
    </row>
    <row r="45" spans="1:18" x14ac:dyDescent="0.25">
      <c r="B45" s="592"/>
      <c r="C45" s="389"/>
      <c r="D45" s="610" t="s">
        <v>201</v>
      </c>
      <c r="E45" s="610"/>
      <c r="F45" s="610"/>
      <c r="G45" s="610"/>
      <c r="H45" s="610"/>
      <c r="I45" s="610"/>
      <c r="J45" s="610"/>
      <c r="K45" s="610"/>
      <c r="L45" s="246"/>
      <c r="M45" s="210"/>
      <c r="N45" s="275"/>
      <c r="O45" s="275"/>
      <c r="P45" s="275"/>
      <c r="Q45" s="275"/>
    </row>
    <row r="46" spans="1:18" x14ac:dyDescent="0.25">
      <c r="B46" s="592"/>
      <c r="C46" s="247"/>
      <c r="D46" s="610"/>
      <c r="E46" s="610"/>
      <c r="F46" s="610"/>
      <c r="G46" s="610"/>
      <c r="H46" s="610"/>
      <c r="I46" s="610"/>
      <c r="J46" s="610"/>
      <c r="K46" s="610"/>
      <c r="L46" s="246"/>
      <c r="M46" s="210"/>
      <c r="N46" s="180"/>
      <c r="O46" s="275"/>
      <c r="P46" s="275"/>
      <c r="Q46" s="275"/>
    </row>
    <row r="47" spans="1:18" ht="15" customHeight="1" thickBot="1" x14ac:dyDescent="0.3">
      <c r="B47" s="592"/>
      <c r="C47" s="387"/>
      <c r="D47" s="388"/>
      <c r="E47" s="388"/>
      <c r="F47" s="388"/>
      <c r="G47" s="388"/>
      <c r="H47" s="388"/>
      <c r="I47" s="388"/>
      <c r="J47" s="388"/>
      <c r="K47" s="388"/>
      <c r="L47" s="248"/>
      <c r="M47" s="210"/>
      <c r="N47" s="180"/>
      <c r="O47" s="275"/>
      <c r="P47" s="275"/>
      <c r="Q47" s="275"/>
    </row>
    <row r="48" spans="1:18" ht="52.5" thickBot="1" x14ac:dyDescent="0.3">
      <c r="B48" s="592"/>
      <c r="C48" s="236" t="s">
        <v>202</v>
      </c>
      <c r="D48" s="193"/>
      <c r="E48" s="611"/>
      <c r="F48" s="612"/>
      <c r="G48" s="249" t="s">
        <v>203</v>
      </c>
      <c r="H48" s="250" t="s">
        <v>204</v>
      </c>
      <c r="I48" s="251" t="s">
        <v>199</v>
      </c>
      <c r="J48" s="390"/>
      <c r="K48" s="390"/>
      <c r="L48" s="235"/>
      <c r="M48" s="205"/>
      <c r="N48" s="290"/>
      <c r="O48" s="290">
        <f>G39-F39+1</f>
        <v>1</v>
      </c>
      <c r="P48" s="290">
        <f>IF(OR(O48=366,O48=365),52,(ROUNDUP(O48/7,0)))</f>
        <v>1</v>
      </c>
      <c r="Q48" s="275"/>
    </row>
    <row r="49" spans="2:17" ht="15.75" thickBot="1" x14ac:dyDescent="0.3">
      <c r="B49" s="592"/>
      <c r="C49" s="387"/>
      <c r="D49" s="390"/>
      <c r="E49" s="613" t="s">
        <v>205</v>
      </c>
      <c r="F49" s="614"/>
      <c r="G49" s="214"/>
      <c r="H49" s="215"/>
      <c r="I49" s="201">
        <f>G49*H49</f>
        <v>0</v>
      </c>
      <c r="J49" s="390"/>
      <c r="K49" s="390"/>
      <c r="L49" s="235"/>
      <c r="M49" s="210"/>
      <c r="N49" s="180"/>
      <c r="O49" s="197"/>
      <c r="P49" s="275"/>
      <c r="Q49" s="275"/>
    </row>
    <row r="50" spans="2:17" ht="15.75" thickBot="1" x14ac:dyDescent="0.3">
      <c r="B50" s="592"/>
      <c r="C50" s="387"/>
      <c r="D50" s="390"/>
      <c r="E50" s="615" t="s">
        <v>206</v>
      </c>
      <c r="F50" s="616"/>
      <c r="G50" s="216"/>
      <c r="H50" s="217"/>
      <c r="I50" s="201">
        <f t="shared" ref="I50:I53" si="1">G50*H50</f>
        <v>0</v>
      </c>
      <c r="J50" s="390"/>
      <c r="K50" s="390"/>
      <c r="L50" s="235"/>
      <c r="M50" s="180"/>
      <c r="N50" s="180"/>
      <c r="O50" s="275"/>
      <c r="P50" s="275"/>
      <c r="Q50" s="275"/>
    </row>
    <row r="51" spans="2:17" ht="15.75" thickBot="1" x14ac:dyDescent="0.3">
      <c r="B51" s="592"/>
      <c r="C51" s="387"/>
      <c r="D51" s="390"/>
      <c r="E51" s="615" t="s">
        <v>207</v>
      </c>
      <c r="F51" s="616"/>
      <c r="G51" s="216"/>
      <c r="H51" s="217"/>
      <c r="I51" s="201">
        <f t="shared" si="1"/>
        <v>0</v>
      </c>
      <c r="J51" s="390"/>
      <c r="K51" s="390"/>
      <c r="L51" s="235"/>
      <c r="M51" s="210"/>
      <c r="N51" s="275"/>
      <c r="O51" s="275"/>
      <c r="P51" s="275"/>
      <c r="Q51" s="275"/>
    </row>
    <row r="52" spans="2:17" ht="15.75" thickBot="1" x14ac:dyDescent="0.3">
      <c r="B52" s="592"/>
      <c r="C52" s="387"/>
      <c r="D52" s="390"/>
      <c r="E52" s="617" t="s">
        <v>208</v>
      </c>
      <c r="F52" s="618"/>
      <c r="G52" s="216"/>
      <c r="H52" s="217"/>
      <c r="I52" s="201">
        <f t="shared" si="1"/>
        <v>0</v>
      </c>
      <c r="J52" s="390"/>
      <c r="K52" s="390"/>
      <c r="L52" s="235"/>
      <c r="M52" s="210"/>
      <c r="N52" s="180"/>
      <c r="O52" s="275"/>
      <c r="P52" s="275"/>
      <c r="Q52" s="275"/>
    </row>
    <row r="53" spans="2:17" ht="15.75" thickBot="1" x14ac:dyDescent="0.3">
      <c r="B53" s="593"/>
      <c r="C53" s="371"/>
      <c r="D53" s="391"/>
      <c r="E53" s="619" t="s">
        <v>209</v>
      </c>
      <c r="F53" s="620"/>
      <c r="G53" s="372"/>
      <c r="H53" s="373"/>
      <c r="I53" s="374">
        <f t="shared" si="1"/>
        <v>0</v>
      </c>
      <c r="J53" s="391"/>
      <c r="K53" s="375"/>
      <c r="L53" s="232"/>
      <c r="M53" s="210"/>
      <c r="N53" s="275"/>
      <c r="O53" s="275"/>
      <c r="P53" s="275"/>
      <c r="Q53" s="275"/>
    </row>
    <row r="54" spans="2:17" ht="15.75" thickBot="1" x14ac:dyDescent="0.3"/>
    <row r="55" spans="2:17" ht="39.75" thickBot="1" x14ac:dyDescent="0.3">
      <c r="B55" s="591">
        <v>3</v>
      </c>
      <c r="C55" s="225" t="s">
        <v>183</v>
      </c>
      <c r="D55" s="221"/>
      <c r="E55" s="226"/>
      <c r="F55" s="226" t="s">
        <v>184</v>
      </c>
      <c r="G55" s="226" t="s">
        <v>185</v>
      </c>
      <c r="H55" s="220" t="s">
        <v>186</v>
      </c>
      <c r="I55" s="226" t="s">
        <v>187</v>
      </c>
      <c r="J55" s="227" t="s">
        <v>188</v>
      </c>
      <c r="K55" s="228" t="s">
        <v>189</v>
      </c>
      <c r="L55" s="229" t="s">
        <v>190</v>
      </c>
      <c r="M55" s="210"/>
      <c r="N55" s="180"/>
      <c r="O55" s="197"/>
      <c r="P55" s="275" t="s">
        <v>191</v>
      </c>
      <c r="Q55" s="275">
        <f>IF(F57="Exempt all taxes",0,(J56*FICA)+(J56*Medicare))</f>
        <v>0</v>
      </c>
    </row>
    <row r="56" spans="2:17" ht="15.75" thickBot="1" x14ac:dyDescent="0.3">
      <c r="B56" s="592"/>
      <c r="C56" s="594"/>
      <c r="D56" s="595"/>
      <c r="E56" s="596"/>
      <c r="F56" s="211"/>
      <c r="G56" s="212"/>
      <c r="H56" s="282">
        <f>P65</f>
        <v>1</v>
      </c>
      <c r="I56" s="213"/>
      <c r="J56" s="230">
        <f t="shared" ref="J56" si="2">SUM(K60:K61)+SUM(I66:I70)</f>
        <v>0</v>
      </c>
      <c r="K56" s="231">
        <f t="shared" ref="K56" si="3">IF(F57="No",Q56,Q55)</f>
        <v>0</v>
      </c>
      <c r="L56" s="232">
        <f t="shared" ref="L56" si="4">SUM(J56:K56)</f>
        <v>0</v>
      </c>
      <c r="M56" s="180"/>
      <c r="N56" s="195">
        <f t="shared" ref="N56" si="5">IF(ISNUMBER(L56),L56,0)</f>
        <v>0</v>
      </c>
      <c r="O56" s="275"/>
      <c r="P56" s="275" t="s">
        <v>192</v>
      </c>
      <c r="Q56" s="257">
        <f>IF(J56&gt;=SUTA_Max,((FUTA_Max*FUTA)+(SUTA_Max*I56)+(J56*FICA)+(J56*Medicare)),IF(J56&gt;=FUTA_Max,((FUTA_Max*FUTA)+(J56*I56)+(J56*FICA)+(J56*Medicare)),IF(J56&lt;FUTA_Max,(J56*(Total_Tax+I56)))))</f>
        <v>0</v>
      </c>
    </row>
    <row r="57" spans="2:17" ht="15.75" thickBot="1" x14ac:dyDescent="0.3">
      <c r="B57" s="592"/>
      <c r="C57" s="597" t="s">
        <v>193</v>
      </c>
      <c r="D57" s="598"/>
      <c r="E57" s="598"/>
      <c r="F57" s="599" t="s">
        <v>100</v>
      </c>
      <c r="G57" s="600"/>
      <c r="H57" s="233"/>
      <c r="I57" s="281"/>
      <c r="J57" s="271"/>
      <c r="K57" s="234"/>
      <c r="L57" s="235"/>
      <c r="M57" s="203"/>
      <c r="N57" s="275"/>
      <c r="O57" s="275"/>
      <c r="P57" s="275"/>
      <c r="Q57" s="275"/>
    </row>
    <row r="58" spans="2:17" ht="15.75" thickBot="1" x14ac:dyDescent="0.3">
      <c r="B58" s="592"/>
      <c r="C58" s="601"/>
      <c r="D58" s="602"/>
      <c r="E58" s="602"/>
      <c r="F58" s="602"/>
      <c r="G58" s="602"/>
      <c r="H58" s="602"/>
      <c r="I58" s="602"/>
      <c r="J58" s="602"/>
      <c r="K58" s="602"/>
      <c r="L58" s="603"/>
      <c r="M58" s="203"/>
      <c r="N58" s="275"/>
      <c r="O58" s="275"/>
      <c r="P58" s="275"/>
      <c r="Q58" s="275"/>
    </row>
    <row r="59" spans="2:17" ht="16.5" thickBot="1" x14ac:dyDescent="0.3">
      <c r="B59" s="592"/>
      <c r="C59" s="236" t="s">
        <v>194</v>
      </c>
      <c r="D59" s="193"/>
      <c r="E59" s="604"/>
      <c r="F59" s="605"/>
      <c r="G59" s="237" t="s">
        <v>195</v>
      </c>
      <c r="H59" s="238" t="s">
        <v>196</v>
      </c>
      <c r="I59" s="239" t="s">
        <v>197</v>
      </c>
      <c r="J59" s="239" t="s">
        <v>198</v>
      </c>
      <c r="K59" s="240" t="s">
        <v>199</v>
      </c>
      <c r="L59" s="235"/>
      <c r="M59" s="199"/>
      <c r="N59" s="275"/>
      <c r="O59" s="275"/>
      <c r="P59" s="275"/>
      <c r="Q59" s="275"/>
    </row>
    <row r="60" spans="2:17" ht="15.75" thickBot="1" x14ac:dyDescent="0.3">
      <c r="B60" s="592"/>
      <c r="C60" s="389"/>
      <c r="D60" s="390"/>
      <c r="E60" s="606" t="s">
        <v>270</v>
      </c>
      <c r="F60" s="607"/>
      <c r="G60" s="200"/>
      <c r="H60" s="253"/>
      <c r="I60" s="241">
        <f t="shared" ref="I60" si="6">H56</f>
        <v>1</v>
      </c>
      <c r="J60" s="242"/>
      <c r="K60" s="243">
        <f t="shared" ref="K60" si="7">G60*H60*I60</f>
        <v>0</v>
      </c>
      <c r="L60" s="235"/>
      <c r="M60" s="210"/>
      <c r="N60" s="275"/>
      <c r="O60" s="275"/>
      <c r="P60" s="275"/>
      <c r="Q60" s="275"/>
    </row>
    <row r="61" spans="2:17" ht="15.75" thickBot="1" x14ac:dyDescent="0.3">
      <c r="B61" s="592"/>
      <c r="C61" s="389"/>
      <c r="D61" s="390"/>
      <c r="E61" s="608" t="s">
        <v>32</v>
      </c>
      <c r="F61" s="609"/>
      <c r="G61" s="200"/>
      <c r="H61" s="255"/>
      <c r="I61" s="200"/>
      <c r="J61" s="253"/>
      <c r="K61" s="254">
        <f t="shared" ref="K61" si="8">G61*I61*J61</f>
        <v>0</v>
      </c>
      <c r="L61" s="235"/>
      <c r="M61" s="210"/>
      <c r="N61" s="275"/>
      <c r="O61" s="275"/>
      <c r="P61" s="275"/>
      <c r="Q61" s="275"/>
    </row>
    <row r="62" spans="2:17" x14ac:dyDescent="0.25">
      <c r="B62" s="592"/>
      <c r="C62" s="389"/>
      <c r="D62" s="610" t="s">
        <v>201</v>
      </c>
      <c r="E62" s="610"/>
      <c r="F62" s="610"/>
      <c r="G62" s="610"/>
      <c r="H62" s="610"/>
      <c r="I62" s="610"/>
      <c r="J62" s="610"/>
      <c r="K62" s="610"/>
      <c r="L62" s="246"/>
      <c r="M62" s="210"/>
      <c r="N62" s="275"/>
      <c r="O62" s="275"/>
      <c r="P62" s="275"/>
      <c r="Q62" s="275"/>
    </row>
    <row r="63" spans="2:17" x14ac:dyDescent="0.25">
      <c r="B63" s="592"/>
      <c r="C63" s="247"/>
      <c r="D63" s="610"/>
      <c r="E63" s="610"/>
      <c r="F63" s="610"/>
      <c r="G63" s="610"/>
      <c r="H63" s="610"/>
      <c r="I63" s="610"/>
      <c r="J63" s="610"/>
      <c r="K63" s="610"/>
      <c r="L63" s="246"/>
      <c r="M63" s="210"/>
      <c r="N63" s="180"/>
      <c r="O63" s="275"/>
      <c r="P63" s="275"/>
      <c r="Q63" s="275"/>
    </row>
    <row r="64" spans="2:17" ht="15" customHeight="1" thickBot="1" x14ac:dyDescent="0.3">
      <c r="B64" s="592"/>
      <c r="C64" s="387"/>
      <c r="D64" s="388"/>
      <c r="E64" s="388"/>
      <c r="F64" s="388"/>
      <c r="G64" s="388"/>
      <c r="H64" s="388"/>
      <c r="I64" s="388"/>
      <c r="J64" s="388"/>
      <c r="K64" s="388"/>
      <c r="L64" s="248"/>
      <c r="M64" s="210"/>
      <c r="N64" s="180"/>
      <c r="O64" s="275"/>
      <c r="P64" s="275"/>
      <c r="Q64" s="275"/>
    </row>
    <row r="65" spans="2:17" ht="52.5" thickBot="1" x14ac:dyDescent="0.3">
      <c r="B65" s="592"/>
      <c r="C65" s="236" t="s">
        <v>202</v>
      </c>
      <c r="D65" s="193"/>
      <c r="E65" s="611"/>
      <c r="F65" s="612"/>
      <c r="G65" s="249" t="s">
        <v>203</v>
      </c>
      <c r="H65" s="250" t="s">
        <v>204</v>
      </c>
      <c r="I65" s="251" t="s">
        <v>199</v>
      </c>
      <c r="J65" s="390"/>
      <c r="K65" s="390"/>
      <c r="L65" s="235"/>
      <c r="M65" s="205"/>
      <c r="N65" s="290"/>
      <c r="O65" s="290">
        <f>G56-F56+1</f>
        <v>1</v>
      </c>
      <c r="P65" s="290">
        <f>IF(OR(O65=366,O65=365),52,(ROUNDUP(O65/7,0)))</f>
        <v>1</v>
      </c>
      <c r="Q65" s="275"/>
    </row>
    <row r="66" spans="2:17" ht="15.75" thickBot="1" x14ac:dyDescent="0.3">
      <c r="B66" s="592"/>
      <c r="C66" s="387"/>
      <c r="D66" s="390"/>
      <c r="E66" s="613" t="s">
        <v>205</v>
      </c>
      <c r="F66" s="614"/>
      <c r="G66" s="214"/>
      <c r="H66" s="215"/>
      <c r="I66" s="201">
        <f t="shared" ref="I66:I70" si="9">G66*H66</f>
        <v>0</v>
      </c>
      <c r="J66" s="390"/>
      <c r="K66" s="390"/>
      <c r="L66" s="235"/>
      <c r="M66" s="210"/>
      <c r="N66" s="180"/>
      <c r="O66" s="197"/>
      <c r="P66" s="275"/>
      <c r="Q66" s="275"/>
    </row>
    <row r="67" spans="2:17" ht="15.75" thickBot="1" x14ac:dyDescent="0.3">
      <c r="B67" s="592"/>
      <c r="C67" s="387"/>
      <c r="D67" s="390"/>
      <c r="E67" s="615" t="s">
        <v>206</v>
      </c>
      <c r="F67" s="616"/>
      <c r="G67" s="216"/>
      <c r="H67" s="217"/>
      <c r="I67" s="201">
        <f t="shared" si="9"/>
        <v>0</v>
      </c>
      <c r="J67" s="390"/>
      <c r="K67" s="390"/>
      <c r="L67" s="235"/>
      <c r="M67" s="180"/>
      <c r="N67" s="180"/>
      <c r="O67" s="275"/>
      <c r="P67" s="275"/>
      <c r="Q67" s="275"/>
    </row>
    <row r="68" spans="2:17" ht="15.75" thickBot="1" x14ac:dyDescent="0.3">
      <c r="B68" s="592"/>
      <c r="C68" s="387"/>
      <c r="D68" s="390"/>
      <c r="E68" s="615" t="s">
        <v>207</v>
      </c>
      <c r="F68" s="616"/>
      <c r="G68" s="216"/>
      <c r="H68" s="217"/>
      <c r="I68" s="201">
        <f t="shared" si="9"/>
        <v>0</v>
      </c>
      <c r="J68" s="390"/>
      <c r="K68" s="390"/>
      <c r="L68" s="235"/>
      <c r="M68" s="210"/>
      <c r="N68" s="275"/>
      <c r="O68" s="275"/>
      <c r="P68" s="275"/>
      <c r="Q68" s="275"/>
    </row>
    <row r="69" spans="2:17" ht="15.75" thickBot="1" x14ac:dyDescent="0.3">
      <c r="B69" s="592"/>
      <c r="C69" s="387"/>
      <c r="D69" s="390"/>
      <c r="E69" s="617" t="s">
        <v>208</v>
      </c>
      <c r="F69" s="618"/>
      <c r="G69" s="216"/>
      <c r="H69" s="217"/>
      <c r="I69" s="201">
        <f t="shared" si="9"/>
        <v>0</v>
      </c>
      <c r="J69" s="390"/>
      <c r="K69" s="390"/>
      <c r="L69" s="235"/>
      <c r="M69" s="210"/>
      <c r="N69" s="180"/>
      <c r="O69" s="275"/>
      <c r="P69" s="275"/>
      <c r="Q69" s="275"/>
    </row>
    <row r="70" spans="2:17" ht="15.75" thickBot="1" x14ac:dyDescent="0.3">
      <c r="B70" s="593"/>
      <c r="C70" s="371"/>
      <c r="D70" s="391"/>
      <c r="E70" s="619" t="s">
        <v>209</v>
      </c>
      <c r="F70" s="620"/>
      <c r="G70" s="372"/>
      <c r="H70" s="373"/>
      <c r="I70" s="374">
        <f t="shared" si="9"/>
        <v>0</v>
      </c>
      <c r="J70" s="391"/>
      <c r="K70" s="375"/>
      <c r="L70" s="232"/>
      <c r="M70" s="210"/>
      <c r="N70" s="275"/>
      <c r="O70" s="275"/>
      <c r="P70" s="275"/>
      <c r="Q70" s="275"/>
    </row>
    <row r="71" spans="2:17" ht="15.75" thickBot="1" x14ac:dyDescent="0.3"/>
    <row r="72" spans="2:17" ht="39.75" thickBot="1" x14ac:dyDescent="0.3">
      <c r="B72" s="591">
        <v>4</v>
      </c>
      <c r="C72" s="225" t="s">
        <v>183</v>
      </c>
      <c r="D72" s="221"/>
      <c r="E72" s="226"/>
      <c r="F72" s="226" t="s">
        <v>184</v>
      </c>
      <c r="G72" s="226" t="s">
        <v>185</v>
      </c>
      <c r="H72" s="220" t="s">
        <v>186</v>
      </c>
      <c r="I72" s="226" t="s">
        <v>187</v>
      </c>
      <c r="J72" s="227" t="s">
        <v>188</v>
      </c>
      <c r="K72" s="228" t="s">
        <v>189</v>
      </c>
      <c r="L72" s="229" t="s">
        <v>190</v>
      </c>
      <c r="M72" s="210"/>
      <c r="N72" s="180"/>
      <c r="O72" s="197"/>
      <c r="P72" s="275" t="s">
        <v>191</v>
      </c>
      <c r="Q72" s="275">
        <f>IF(F74="Exempt all taxes",0,(J73*FICA)+(J73*Medicare))</f>
        <v>0</v>
      </c>
    </row>
    <row r="73" spans="2:17" ht="15.75" thickBot="1" x14ac:dyDescent="0.3">
      <c r="B73" s="592"/>
      <c r="C73" s="594"/>
      <c r="D73" s="595"/>
      <c r="E73" s="596"/>
      <c r="F73" s="211"/>
      <c r="G73" s="212"/>
      <c r="H73" s="282">
        <f>P82</f>
        <v>1</v>
      </c>
      <c r="I73" s="213"/>
      <c r="J73" s="230">
        <f t="shared" ref="J73" si="10">SUM(K77:K78)+SUM(I83:I87)</f>
        <v>0</v>
      </c>
      <c r="K73" s="231">
        <f t="shared" ref="K73" si="11">IF(F74="No",Q73,Q72)</f>
        <v>0</v>
      </c>
      <c r="L73" s="232">
        <f t="shared" ref="L73" si="12">SUM(J73:K73)</f>
        <v>0</v>
      </c>
      <c r="M73" s="180"/>
      <c r="N73" s="195">
        <f t="shared" ref="N73" si="13">IF(ISNUMBER(L73),L73,0)</f>
        <v>0</v>
      </c>
      <c r="O73" s="275"/>
      <c r="P73" s="275" t="s">
        <v>192</v>
      </c>
      <c r="Q73" s="257">
        <f>IF(J73&gt;=SUTA_Max,((FUTA_Max*FUTA)+(SUTA_Max*I73)+(J73*FICA)+(J73*Medicare)),IF(J73&gt;=FUTA_Max,((FUTA_Max*FUTA)+(J73*I73)+(J73*FICA)+(J73*Medicare)),IF(J73&lt;FUTA_Max,(J73*(Total_Tax+I73)))))</f>
        <v>0</v>
      </c>
    </row>
    <row r="74" spans="2:17" ht="15.75" thickBot="1" x14ac:dyDescent="0.3">
      <c r="B74" s="592"/>
      <c r="C74" s="597" t="s">
        <v>193</v>
      </c>
      <c r="D74" s="598"/>
      <c r="E74" s="598"/>
      <c r="F74" s="599" t="s">
        <v>100</v>
      </c>
      <c r="G74" s="600"/>
      <c r="H74" s="233"/>
      <c r="I74" s="281"/>
      <c r="J74" s="271"/>
      <c r="K74" s="234"/>
      <c r="L74" s="235"/>
      <c r="M74" s="203"/>
      <c r="N74" s="275"/>
      <c r="O74" s="275"/>
      <c r="P74" s="275"/>
      <c r="Q74" s="275"/>
    </row>
    <row r="75" spans="2:17" ht="15.75" thickBot="1" x14ac:dyDescent="0.3">
      <c r="B75" s="592"/>
      <c r="C75" s="601"/>
      <c r="D75" s="602"/>
      <c r="E75" s="602"/>
      <c r="F75" s="602"/>
      <c r="G75" s="602"/>
      <c r="H75" s="602"/>
      <c r="I75" s="602"/>
      <c r="J75" s="602"/>
      <c r="K75" s="602"/>
      <c r="L75" s="603"/>
      <c r="M75" s="203"/>
      <c r="N75" s="275"/>
      <c r="O75" s="275"/>
      <c r="P75" s="275"/>
      <c r="Q75" s="275"/>
    </row>
    <row r="76" spans="2:17" ht="16.5" thickBot="1" x14ac:dyDescent="0.3">
      <c r="B76" s="592"/>
      <c r="C76" s="236" t="s">
        <v>194</v>
      </c>
      <c r="D76" s="193"/>
      <c r="E76" s="604"/>
      <c r="F76" s="605"/>
      <c r="G76" s="237" t="s">
        <v>195</v>
      </c>
      <c r="H76" s="238" t="s">
        <v>196</v>
      </c>
      <c r="I76" s="239" t="s">
        <v>197</v>
      </c>
      <c r="J76" s="239" t="s">
        <v>198</v>
      </c>
      <c r="K76" s="240" t="s">
        <v>199</v>
      </c>
      <c r="L76" s="235"/>
      <c r="M76" s="199"/>
      <c r="N76" s="275"/>
      <c r="O76" s="275"/>
      <c r="P76" s="275"/>
      <c r="Q76" s="275"/>
    </row>
    <row r="77" spans="2:17" ht="15.75" thickBot="1" x14ac:dyDescent="0.3">
      <c r="B77" s="592"/>
      <c r="C77" s="389"/>
      <c r="D77" s="390"/>
      <c r="E77" s="606" t="s">
        <v>270</v>
      </c>
      <c r="F77" s="607"/>
      <c r="G77" s="200"/>
      <c r="H77" s="253"/>
      <c r="I77" s="241">
        <f t="shared" ref="I77" si="14">H73</f>
        <v>1</v>
      </c>
      <c r="J77" s="242"/>
      <c r="K77" s="243">
        <f t="shared" ref="K77" si="15">G77*H77*I77</f>
        <v>0</v>
      </c>
      <c r="L77" s="235"/>
      <c r="M77" s="210"/>
      <c r="N77" s="275"/>
      <c r="O77" s="275"/>
      <c r="P77" s="275"/>
      <c r="Q77" s="275"/>
    </row>
    <row r="78" spans="2:17" ht="15.75" thickBot="1" x14ac:dyDescent="0.3">
      <c r="B78" s="592"/>
      <c r="C78" s="389"/>
      <c r="D78" s="390"/>
      <c r="E78" s="608" t="s">
        <v>32</v>
      </c>
      <c r="F78" s="609"/>
      <c r="G78" s="200"/>
      <c r="H78" s="255"/>
      <c r="I78" s="200"/>
      <c r="J78" s="253"/>
      <c r="K78" s="254">
        <f t="shared" ref="K78" si="16">G78*I78*J78</f>
        <v>0</v>
      </c>
      <c r="L78" s="235"/>
      <c r="M78" s="210"/>
      <c r="N78" s="275"/>
      <c r="O78" s="275"/>
      <c r="P78" s="275"/>
      <c r="Q78" s="275"/>
    </row>
    <row r="79" spans="2:17" x14ac:dyDescent="0.25">
      <c r="B79" s="592"/>
      <c r="C79" s="389"/>
      <c r="D79" s="610" t="s">
        <v>201</v>
      </c>
      <c r="E79" s="610"/>
      <c r="F79" s="610"/>
      <c r="G79" s="610"/>
      <c r="H79" s="610"/>
      <c r="I79" s="610"/>
      <c r="J79" s="610"/>
      <c r="K79" s="610"/>
      <c r="L79" s="246"/>
      <c r="M79" s="210"/>
      <c r="N79" s="275"/>
      <c r="O79" s="275"/>
      <c r="P79" s="275"/>
      <c r="Q79" s="275"/>
    </row>
    <row r="80" spans="2:17" x14ac:dyDescent="0.25">
      <c r="B80" s="592"/>
      <c r="C80" s="247"/>
      <c r="D80" s="610"/>
      <c r="E80" s="610"/>
      <c r="F80" s="610"/>
      <c r="G80" s="610"/>
      <c r="H80" s="610"/>
      <c r="I80" s="610"/>
      <c r="J80" s="610"/>
      <c r="K80" s="610"/>
      <c r="L80" s="246"/>
      <c r="M80" s="210"/>
      <c r="N80" s="180"/>
      <c r="O80" s="275"/>
      <c r="P80" s="275"/>
      <c r="Q80" s="275"/>
    </row>
    <row r="81" spans="2:17" ht="15.75" thickBot="1" x14ac:dyDescent="0.3">
      <c r="B81" s="592"/>
      <c r="C81" s="387"/>
      <c r="D81" s="388"/>
      <c r="E81" s="388"/>
      <c r="F81" s="388"/>
      <c r="G81" s="388"/>
      <c r="H81" s="388"/>
      <c r="I81" s="388"/>
      <c r="J81" s="388"/>
      <c r="K81" s="388"/>
      <c r="L81" s="248"/>
      <c r="M81" s="210"/>
      <c r="N81" s="180"/>
      <c r="O81" s="275"/>
      <c r="P81" s="275"/>
      <c r="Q81" s="275"/>
    </row>
    <row r="82" spans="2:17" ht="52.5" thickBot="1" x14ac:dyDescent="0.3">
      <c r="B82" s="592"/>
      <c r="C82" s="236" t="s">
        <v>202</v>
      </c>
      <c r="D82" s="193"/>
      <c r="E82" s="611"/>
      <c r="F82" s="612"/>
      <c r="G82" s="249" t="s">
        <v>203</v>
      </c>
      <c r="H82" s="250" t="s">
        <v>204</v>
      </c>
      <c r="I82" s="251" t="s">
        <v>199</v>
      </c>
      <c r="J82" s="390"/>
      <c r="K82" s="390"/>
      <c r="L82" s="235"/>
      <c r="M82" s="205"/>
      <c r="N82" s="290"/>
      <c r="O82" s="290">
        <f>G73-F73+1</f>
        <v>1</v>
      </c>
      <c r="P82" s="290">
        <f>IF(OR(O82=366,O82=365),52,(ROUNDUP(O82/7,0)))</f>
        <v>1</v>
      </c>
      <c r="Q82" s="275"/>
    </row>
    <row r="83" spans="2:17" ht="15.75" thickBot="1" x14ac:dyDescent="0.3">
      <c r="B83" s="592"/>
      <c r="C83" s="387"/>
      <c r="D83" s="390"/>
      <c r="E83" s="613" t="s">
        <v>205</v>
      </c>
      <c r="F83" s="614"/>
      <c r="G83" s="214"/>
      <c r="H83" s="215"/>
      <c r="I83" s="201">
        <f t="shared" ref="I83:I87" si="17">G83*H83</f>
        <v>0</v>
      </c>
      <c r="J83" s="390"/>
      <c r="K83" s="390"/>
      <c r="L83" s="235"/>
      <c r="M83" s="210"/>
      <c r="N83" s="180"/>
      <c r="O83" s="197"/>
      <c r="P83" s="275"/>
      <c r="Q83" s="275"/>
    </row>
    <row r="84" spans="2:17" ht="15.75" thickBot="1" x14ac:dyDescent="0.3">
      <c r="B84" s="592"/>
      <c r="C84" s="387"/>
      <c r="D84" s="390"/>
      <c r="E84" s="615" t="s">
        <v>206</v>
      </c>
      <c r="F84" s="616"/>
      <c r="G84" s="216"/>
      <c r="H84" s="217"/>
      <c r="I84" s="201">
        <f t="shared" si="17"/>
        <v>0</v>
      </c>
      <c r="J84" s="390"/>
      <c r="K84" s="390"/>
      <c r="L84" s="235"/>
      <c r="M84" s="180"/>
      <c r="N84" s="180"/>
      <c r="O84" s="275"/>
      <c r="P84" s="275"/>
      <c r="Q84" s="275"/>
    </row>
    <row r="85" spans="2:17" ht="15.75" thickBot="1" x14ac:dyDescent="0.3">
      <c r="B85" s="592"/>
      <c r="C85" s="387"/>
      <c r="D85" s="390"/>
      <c r="E85" s="615" t="s">
        <v>207</v>
      </c>
      <c r="F85" s="616"/>
      <c r="G85" s="216"/>
      <c r="H85" s="217"/>
      <c r="I85" s="201">
        <f t="shared" si="17"/>
        <v>0</v>
      </c>
      <c r="J85" s="390"/>
      <c r="K85" s="390"/>
      <c r="L85" s="235"/>
      <c r="M85" s="210"/>
      <c r="N85" s="275"/>
      <c r="O85" s="275"/>
      <c r="P85" s="275"/>
      <c r="Q85" s="275"/>
    </row>
    <row r="86" spans="2:17" ht="15.75" thickBot="1" x14ac:dyDescent="0.3">
      <c r="B86" s="592"/>
      <c r="C86" s="387"/>
      <c r="D86" s="390"/>
      <c r="E86" s="617" t="s">
        <v>208</v>
      </c>
      <c r="F86" s="618"/>
      <c r="G86" s="216"/>
      <c r="H86" s="217"/>
      <c r="I86" s="201">
        <f t="shared" si="17"/>
        <v>0</v>
      </c>
      <c r="J86" s="390"/>
      <c r="K86" s="390"/>
      <c r="L86" s="235"/>
      <c r="M86" s="210"/>
      <c r="N86" s="180"/>
      <c r="O86" s="275"/>
      <c r="P86" s="275"/>
      <c r="Q86" s="275"/>
    </row>
    <row r="87" spans="2:17" ht="15.75" thickBot="1" x14ac:dyDescent="0.3">
      <c r="B87" s="593"/>
      <c r="C87" s="371"/>
      <c r="D87" s="391"/>
      <c r="E87" s="619" t="s">
        <v>209</v>
      </c>
      <c r="F87" s="620"/>
      <c r="G87" s="372"/>
      <c r="H87" s="373"/>
      <c r="I87" s="374">
        <f t="shared" si="17"/>
        <v>0</v>
      </c>
      <c r="J87" s="391"/>
      <c r="K87" s="375"/>
      <c r="L87" s="232"/>
      <c r="M87" s="210"/>
      <c r="N87" s="275"/>
      <c r="O87" s="275"/>
      <c r="P87" s="275"/>
      <c r="Q87" s="275"/>
    </row>
    <row r="88" spans="2:17" ht="15.75" thickBot="1" x14ac:dyDescent="0.3"/>
    <row r="89" spans="2:17" ht="39.75" thickBot="1" x14ac:dyDescent="0.3">
      <c r="B89" s="591">
        <v>5</v>
      </c>
      <c r="C89" s="225" t="s">
        <v>183</v>
      </c>
      <c r="D89" s="221"/>
      <c r="E89" s="226"/>
      <c r="F89" s="226" t="s">
        <v>184</v>
      </c>
      <c r="G89" s="226" t="s">
        <v>185</v>
      </c>
      <c r="H89" s="220" t="s">
        <v>186</v>
      </c>
      <c r="I89" s="226" t="s">
        <v>187</v>
      </c>
      <c r="J89" s="227" t="s">
        <v>188</v>
      </c>
      <c r="K89" s="228" t="s">
        <v>189</v>
      </c>
      <c r="L89" s="229" t="s">
        <v>190</v>
      </c>
      <c r="M89" s="210"/>
      <c r="N89" s="180"/>
      <c r="O89" s="197"/>
      <c r="P89" s="275" t="s">
        <v>191</v>
      </c>
      <c r="Q89" s="275">
        <f>IF(F91="Exempt all taxes",0,(J90*FICA)+(J90*Medicare))</f>
        <v>0</v>
      </c>
    </row>
    <row r="90" spans="2:17" ht="15.75" thickBot="1" x14ac:dyDescent="0.3">
      <c r="B90" s="592"/>
      <c r="C90" s="594"/>
      <c r="D90" s="595"/>
      <c r="E90" s="596"/>
      <c r="F90" s="211"/>
      <c r="G90" s="212"/>
      <c r="H90" s="282">
        <f t="shared" ref="H90" si="18">P99</f>
        <v>1</v>
      </c>
      <c r="I90" s="213"/>
      <c r="J90" s="230">
        <f t="shared" ref="J90" si="19">SUM(K94:K95)+SUM(I100:I104)</f>
        <v>0</v>
      </c>
      <c r="K90" s="231">
        <f t="shared" ref="K90" si="20">IF(F91="No",Q90,Q89)</f>
        <v>0</v>
      </c>
      <c r="L90" s="232">
        <f t="shared" ref="L90" si="21">SUM(J90:K90)</f>
        <v>0</v>
      </c>
      <c r="M90" s="180"/>
      <c r="N90" s="195">
        <f t="shared" ref="N90" si="22">IF(ISNUMBER(L90),L90,0)</f>
        <v>0</v>
      </c>
      <c r="O90" s="275"/>
      <c r="P90" s="275" t="s">
        <v>192</v>
      </c>
      <c r="Q90" s="257">
        <f>IF(J90&gt;=SUTA_Max,((FUTA_Max*FUTA)+(SUTA_Max*I90)+(J90*FICA)+(J90*Medicare)),IF(J90&gt;=FUTA_Max,((FUTA_Max*FUTA)+(J90*I90)+(J90*FICA)+(J90*Medicare)),IF(J90&lt;FUTA_Max,(J90*(Total_Tax+I90)))))</f>
        <v>0</v>
      </c>
    </row>
    <row r="91" spans="2:17" ht="15.75" thickBot="1" x14ac:dyDescent="0.3">
      <c r="B91" s="592"/>
      <c r="C91" s="597" t="s">
        <v>193</v>
      </c>
      <c r="D91" s="598"/>
      <c r="E91" s="598"/>
      <c r="F91" s="599" t="s">
        <v>100</v>
      </c>
      <c r="G91" s="600"/>
      <c r="H91" s="233"/>
      <c r="I91" s="281"/>
      <c r="J91" s="271"/>
      <c r="K91" s="234"/>
      <c r="L91" s="235"/>
      <c r="M91" s="203"/>
      <c r="N91" s="275"/>
      <c r="O91" s="275"/>
      <c r="P91" s="275"/>
      <c r="Q91" s="275"/>
    </row>
    <row r="92" spans="2:17" ht="15.75" thickBot="1" x14ac:dyDescent="0.3">
      <c r="B92" s="592"/>
      <c r="C92" s="601"/>
      <c r="D92" s="602"/>
      <c r="E92" s="602"/>
      <c r="F92" s="602"/>
      <c r="G92" s="602"/>
      <c r="H92" s="602"/>
      <c r="I92" s="602"/>
      <c r="J92" s="602"/>
      <c r="K92" s="602"/>
      <c r="L92" s="603"/>
      <c r="M92" s="203"/>
      <c r="N92" s="275"/>
      <c r="O92" s="275"/>
      <c r="P92" s="275"/>
      <c r="Q92" s="275"/>
    </row>
    <row r="93" spans="2:17" ht="16.5" thickBot="1" x14ac:dyDescent="0.3">
      <c r="B93" s="592"/>
      <c r="C93" s="236" t="s">
        <v>194</v>
      </c>
      <c r="D93" s="193"/>
      <c r="E93" s="604"/>
      <c r="F93" s="605"/>
      <c r="G93" s="237" t="s">
        <v>195</v>
      </c>
      <c r="H93" s="238" t="s">
        <v>196</v>
      </c>
      <c r="I93" s="239" t="s">
        <v>197</v>
      </c>
      <c r="J93" s="239" t="s">
        <v>198</v>
      </c>
      <c r="K93" s="240" t="s">
        <v>199</v>
      </c>
      <c r="L93" s="235"/>
      <c r="M93" s="199"/>
      <c r="N93" s="275"/>
      <c r="O93" s="275"/>
      <c r="P93" s="275"/>
      <c r="Q93" s="275"/>
    </row>
    <row r="94" spans="2:17" ht="15.75" thickBot="1" x14ac:dyDescent="0.3">
      <c r="B94" s="592"/>
      <c r="C94" s="404"/>
      <c r="D94" s="405"/>
      <c r="E94" s="606" t="s">
        <v>270</v>
      </c>
      <c r="F94" s="607"/>
      <c r="G94" s="200"/>
      <c r="H94" s="253"/>
      <c r="I94" s="241">
        <f t="shared" ref="I94" si="23">H90</f>
        <v>1</v>
      </c>
      <c r="J94" s="242"/>
      <c r="K94" s="243">
        <f t="shared" ref="K94" si="24">G94*H94*I94</f>
        <v>0</v>
      </c>
      <c r="L94" s="235"/>
      <c r="M94" s="210"/>
      <c r="N94" s="275"/>
      <c r="O94" s="275"/>
      <c r="P94" s="275"/>
      <c r="Q94" s="275"/>
    </row>
    <row r="95" spans="2:17" ht="15.75" thickBot="1" x14ac:dyDescent="0.3">
      <c r="B95" s="592"/>
      <c r="C95" s="404"/>
      <c r="D95" s="405"/>
      <c r="E95" s="608" t="s">
        <v>32</v>
      </c>
      <c r="F95" s="609"/>
      <c r="G95" s="200"/>
      <c r="H95" s="255"/>
      <c r="I95" s="200"/>
      <c r="J95" s="253"/>
      <c r="K95" s="254">
        <f t="shared" ref="K95" si="25">G95*I95*J95</f>
        <v>0</v>
      </c>
      <c r="L95" s="235"/>
      <c r="M95" s="210"/>
      <c r="N95" s="275"/>
      <c r="O95" s="275"/>
      <c r="P95" s="275"/>
      <c r="Q95" s="275"/>
    </row>
    <row r="96" spans="2:17" x14ac:dyDescent="0.25">
      <c r="B96" s="592"/>
      <c r="C96" s="404"/>
      <c r="D96" s="610" t="s">
        <v>201</v>
      </c>
      <c r="E96" s="610"/>
      <c r="F96" s="610"/>
      <c r="G96" s="610"/>
      <c r="H96" s="610"/>
      <c r="I96" s="610"/>
      <c r="J96" s="610"/>
      <c r="K96" s="610"/>
      <c r="L96" s="246"/>
      <c r="M96" s="210"/>
      <c r="N96" s="275"/>
      <c r="O96" s="275"/>
      <c r="P96" s="275"/>
      <c r="Q96" s="275"/>
    </row>
    <row r="97" spans="2:17" x14ac:dyDescent="0.25">
      <c r="B97" s="592"/>
      <c r="C97" s="247"/>
      <c r="D97" s="610"/>
      <c r="E97" s="610"/>
      <c r="F97" s="610"/>
      <c r="G97" s="610"/>
      <c r="H97" s="610"/>
      <c r="I97" s="610"/>
      <c r="J97" s="610"/>
      <c r="K97" s="610"/>
      <c r="L97" s="246"/>
      <c r="M97" s="210"/>
      <c r="N97" s="180"/>
      <c r="O97" s="275"/>
      <c r="P97" s="275"/>
      <c r="Q97" s="275"/>
    </row>
    <row r="98" spans="2:17" ht="15.75" thickBot="1" x14ac:dyDescent="0.3">
      <c r="B98" s="592"/>
      <c r="C98" s="401"/>
      <c r="D98" s="402"/>
      <c r="E98" s="402"/>
      <c r="F98" s="402"/>
      <c r="G98" s="402"/>
      <c r="H98" s="402"/>
      <c r="I98" s="402"/>
      <c r="J98" s="402"/>
      <c r="K98" s="402"/>
      <c r="L98" s="248"/>
      <c r="M98" s="210"/>
      <c r="N98" s="180"/>
      <c r="O98" s="275"/>
      <c r="P98" s="275"/>
      <c r="Q98" s="275"/>
    </row>
    <row r="99" spans="2:17" ht="52.5" thickBot="1" x14ac:dyDescent="0.3">
      <c r="B99" s="592"/>
      <c r="C99" s="236" t="s">
        <v>202</v>
      </c>
      <c r="D99" s="193"/>
      <c r="E99" s="611"/>
      <c r="F99" s="612"/>
      <c r="G99" s="249" t="s">
        <v>203</v>
      </c>
      <c r="H99" s="250" t="s">
        <v>204</v>
      </c>
      <c r="I99" s="251" t="s">
        <v>199</v>
      </c>
      <c r="J99" s="405"/>
      <c r="K99" s="405"/>
      <c r="L99" s="235"/>
      <c r="M99" s="205"/>
      <c r="N99" s="290"/>
      <c r="O99" s="290">
        <f t="shared" ref="O99" si="26">G90-F90+1</f>
        <v>1</v>
      </c>
      <c r="P99" s="290">
        <f t="shared" ref="P99" si="27">IF(OR(O99=366,O99=365),52,(ROUNDUP(O99/7,0)))</f>
        <v>1</v>
      </c>
      <c r="Q99" s="275"/>
    </row>
    <row r="100" spans="2:17" ht="15.75" thickBot="1" x14ac:dyDescent="0.3">
      <c r="B100" s="592"/>
      <c r="C100" s="401"/>
      <c r="D100" s="405"/>
      <c r="E100" s="613" t="s">
        <v>205</v>
      </c>
      <c r="F100" s="614"/>
      <c r="G100" s="214"/>
      <c r="H100" s="215"/>
      <c r="I100" s="201">
        <f t="shared" ref="I100:I104" si="28">G100*H100</f>
        <v>0</v>
      </c>
      <c r="J100" s="405"/>
      <c r="K100" s="405"/>
      <c r="L100" s="235"/>
      <c r="M100" s="210"/>
      <c r="N100" s="180"/>
      <c r="O100" s="197"/>
      <c r="P100" s="275"/>
      <c r="Q100" s="275"/>
    </row>
    <row r="101" spans="2:17" ht="15.75" thickBot="1" x14ac:dyDescent="0.3">
      <c r="B101" s="592"/>
      <c r="C101" s="401"/>
      <c r="D101" s="405"/>
      <c r="E101" s="615" t="s">
        <v>206</v>
      </c>
      <c r="F101" s="616"/>
      <c r="G101" s="216"/>
      <c r="H101" s="217"/>
      <c r="I101" s="201">
        <f t="shared" si="28"/>
        <v>0</v>
      </c>
      <c r="J101" s="405"/>
      <c r="K101" s="405"/>
      <c r="L101" s="235"/>
      <c r="M101" s="180"/>
      <c r="N101" s="180"/>
      <c r="O101" s="275"/>
      <c r="P101" s="275"/>
      <c r="Q101" s="275"/>
    </row>
    <row r="102" spans="2:17" ht="15.75" thickBot="1" x14ac:dyDescent="0.3">
      <c r="B102" s="592"/>
      <c r="C102" s="401"/>
      <c r="D102" s="405"/>
      <c r="E102" s="615" t="s">
        <v>207</v>
      </c>
      <c r="F102" s="616"/>
      <c r="G102" s="216"/>
      <c r="H102" s="217"/>
      <c r="I102" s="201">
        <f t="shared" si="28"/>
        <v>0</v>
      </c>
      <c r="J102" s="405"/>
      <c r="K102" s="405"/>
      <c r="L102" s="235"/>
      <c r="M102" s="210"/>
      <c r="N102" s="275"/>
      <c r="O102" s="275"/>
      <c r="P102" s="275"/>
      <c r="Q102" s="275"/>
    </row>
    <row r="103" spans="2:17" ht="15.75" thickBot="1" x14ac:dyDescent="0.3">
      <c r="B103" s="592"/>
      <c r="C103" s="401"/>
      <c r="D103" s="405"/>
      <c r="E103" s="617" t="s">
        <v>208</v>
      </c>
      <c r="F103" s="618"/>
      <c r="G103" s="216"/>
      <c r="H103" s="217"/>
      <c r="I103" s="201">
        <f t="shared" si="28"/>
        <v>0</v>
      </c>
      <c r="J103" s="405"/>
      <c r="K103" s="405"/>
      <c r="L103" s="235"/>
      <c r="M103" s="210"/>
      <c r="N103" s="180"/>
      <c r="O103" s="275"/>
      <c r="P103" s="275"/>
      <c r="Q103" s="275"/>
    </row>
    <row r="104" spans="2:17" ht="15.75" thickBot="1" x14ac:dyDescent="0.3">
      <c r="B104" s="593"/>
      <c r="C104" s="371"/>
      <c r="D104" s="403"/>
      <c r="E104" s="619" t="s">
        <v>209</v>
      </c>
      <c r="F104" s="620"/>
      <c r="G104" s="372"/>
      <c r="H104" s="373"/>
      <c r="I104" s="374">
        <f t="shared" si="28"/>
        <v>0</v>
      </c>
      <c r="J104" s="403"/>
      <c r="K104" s="375"/>
      <c r="L104" s="232"/>
      <c r="M104" s="210"/>
      <c r="N104" s="275"/>
      <c r="O104" s="275"/>
      <c r="P104" s="275"/>
      <c r="Q104" s="275"/>
    </row>
    <row r="105" spans="2:17" ht="15.75" thickBot="1" x14ac:dyDescent="0.3"/>
    <row r="106" spans="2:17" ht="39.75" thickBot="1" x14ac:dyDescent="0.3">
      <c r="B106" s="591">
        <v>6</v>
      </c>
      <c r="C106" s="225" t="s">
        <v>183</v>
      </c>
      <c r="D106" s="221"/>
      <c r="E106" s="226"/>
      <c r="F106" s="226" t="s">
        <v>184</v>
      </c>
      <c r="G106" s="226" t="s">
        <v>185</v>
      </c>
      <c r="H106" s="220" t="s">
        <v>186</v>
      </c>
      <c r="I106" s="226" t="s">
        <v>187</v>
      </c>
      <c r="J106" s="227" t="s">
        <v>188</v>
      </c>
      <c r="K106" s="228" t="s">
        <v>189</v>
      </c>
      <c r="L106" s="229" t="s">
        <v>190</v>
      </c>
      <c r="M106" s="210"/>
      <c r="N106" s="180"/>
      <c r="O106" s="197"/>
      <c r="P106" s="275" t="s">
        <v>191</v>
      </c>
      <c r="Q106" s="275">
        <f>IF(F108="Exempt all taxes",0,(J107*FICA)+(J107*Medicare))</f>
        <v>0</v>
      </c>
    </row>
    <row r="107" spans="2:17" ht="15.75" thickBot="1" x14ac:dyDescent="0.3">
      <c r="B107" s="592"/>
      <c r="C107" s="594"/>
      <c r="D107" s="595"/>
      <c r="E107" s="596"/>
      <c r="F107" s="211"/>
      <c r="G107" s="212"/>
      <c r="H107" s="282">
        <f t="shared" ref="H107" si="29">P116</f>
        <v>1</v>
      </c>
      <c r="I107" s="213"/>
      <c r="J107" s="230">
        <f t="shared" ref="J107" si="30">SUM(K111:K112)+SUM(I117:I121)</f>
        <v>0</v>
      </c>
      <c r="K107" s="231">
        <f t="shared" ref="K107" si="31">IF(F108="No",Q107,Q106)</f>
        <v>0</v>
      </c>
      <c r="L107" s="232">
        <f t="shared" ref="L107" si="32">SUM(J107:K107)</f>
        <v>0</v>
      </c>
      <c r="M107" s="180"/>
      <c r="N107" s="195">
        <f t="shared" ref="N107" si="33">IF(ISNUMBER(L107),L107,0)</f>
        <v>0</v>
      </c>
      <c r="O107" s="275"/>
      <c r="P107" s="275" t="s">
        <v>192</v>
      </c>
      <c r="Q107" s="257">
        <f>IF(J107&gt;=SUTA_Max,((FUTA_Max*FUTA)+(SUTA_Max*I107)+(J107*FICA)+(J107*Medicare)),IF(J107&gt;=FUTA_Max,((FUTA_Max*FUTA)+(J107*I107)+(J107*FICA)+(J107*Medicare)),IF(J107&lt;FUTA_Max,(J107*(Total_Tax+I107)))))</f>
        <v>0</v>
      </c>
    </row>
    <row r="108" spans="2:17" ht="15.75" thickBot="1" x14ac:dyDescent="0.3">
      <c r="B108" s="592"/>
      <c r="C108" s="597" t="s">
        <v>193</v>
      </c>
      <c r="D108" s="598"/>
      <c r="E108" s="598"/>
      <c r="F108" s="599" t="s">
        <v>100</v>
      </c>
      <c r="G108" s="600"/>
      <c r="H108" s="233"/>
      <c r="I108" s="281"/>
      <c r="J108" s="271"/>
      <c r="K108" s="234"/>
      <c r="L108" s="235"/>
      <c r="M108" s="203"/>
      <c r="N108" s="275"/>
      <c r="O108" s="275"/>
      <c r="P108" s="275"/>
      <c r="Q108" s="275"/>
    </row>
    <row r="109" spans="2:17" ht="15.75" thickBot="1" x14ac:dyDescent="0.3">
      <c r="B109" s="592"/>
      <c r="C109" s="601"/>
      <c r="D109" s="602"/>
      <c r="E109" s="602"/>
      <c r="F109" s="602"/>
      <c r="G109" s="602"/>
      <c r="H109" s="602"/>
      <c r="I109" s="602"/>
      <c r="J109" s="602"/>
      <c r="K109" s="602"/>
      <c r="L109" s="603"/>
      <c r="M109" s="203"/>
      <c r="N109" s="275"/>
      <c r="O109" s="275"/>
      <c r="P109" s="275"/>
      <c r="Q109" s="275"/>
    </row>
    <row r="110" spans="2:17" ht="16.5" thickBot="1" x14ac:dyDescent="0.3">
      <c r="B110" s="592"/>
      <c r="C110" s="236" t="s">
        <v>194</v>
      </c>
      <c r="D110" s="193"/>
      <c r="E110" s="604"/>
      <c r="F110" s="605"/>
      <c r="G110" s="237" t="s">
        <v>195</v>
      </c>
      <c r="H110" s="238" t="s">
        <v>196</v>
      </c>
      <c r="I110" s="239" t="s">
        <v>197</v>
      </c>
      <c r="J110" s="239" t="s">
        <v>198</v>
      </c>
      <c r="K110" s="240" t="s">
        <v>199</v>
      </c>
      <c r="L110" s="235"/>
      <c r="M110" s="199"/>
      <c r="N110" s="275"/>
      <c r="O110" s="275"/>
      <c r="P110" s="275"/>
      <c r="Q110" s="275"/>
    </row>
    <row r="111" spans="2:17" ht="15.75" thickBot="1" x14ac:dyDescent="0.3">
      <c r="B111" s="592"/>
      <c r="C111" s="404"/>
      <c r="D111" s="405"/>
      <c r="E111" s="606" t="s">
        <v>270</v>
      </c>
      <c r="F111" s="607"/>
      <c r="G111" s="200"/>
      <c r="H111" s="253"/>
      <c r="I111" s="241">
        <f t="shared" ref="I111" si="34">H107</f>
        <v>1</v>
      </c>
      <c r="J111" s="242"/>
      <c r="K111" s="243">
        <f t="shared" ref="K111" si="35">G111*H111*I111</f>
        <v>0</v>
      </c>
      <c r="L111" s="235"/>
      <c r="M111" s="210"/>
      <c r="N111" s="275"/>
      <c r="O111" s="275"/>
      <c r="P111" s="275"/>
      <c r="Q111" s="275"/>
    </row>
    <row r="112" spans="2:17" ht="15.75" thickBot="1" x14ac:dyDescent="0.3">
      <c r="B112" s="592"/>
      <c r="C112" s="404"/>
      <c r="D112" s="405"/>
      <c r="E112" s="608" t="s">
        <v>32</v>
      </c>
      <c r="F112" s="609"/>
      <c r="G112" s="200"/>
      <c r="H112" s="255"/>
      <c r="I112" s="200"/>
      <c r="J112" s="253"/>
      <c r="K112" s="254">
        <f t="shared" ref="K112" si="36">G112*I112*J112</f>
        <v>0</v>
      </c>
      <c r="L112" s="235"/>
      <c r="M112" s="210"/>
      <c r="N112" s="275"/>
      <c r="O112" s="275"/>
      <c r="P112" s="275"/>
      <c r="Q112" s="275"/>
    </row>
    <row r="113" spans="2:17" x14ac:dyDescent="0.25">
      <c r="B113" s="592"/>
      <c r="C113" s="404"/>
      <c r="D113" s="610" t="s">
        <v>201</v>
      </c>
      <c r="E113" s="610"/>
      <c r="F113" s="610"/>
      <c r="G113" s="610"/>
      <c r="H113" s="610"/>
      <c r="I113" s="610"/>
      <c r="J113" s="610"/>
      <c r="K113" s="610"/>
      <c r="L113" s="246"/>
      <c r="M113" s="210"/>
      <c r="N113" s="275"/>
      <c r="O113" s="275"/>
      <c r="P113" s="275"/>
      <c r="Q113" s="275"/>
    </row>
    <row r="114" spans="2:17" x14ac:dyDescent="0.25">
      <c r="B114" s="592"/>
      <c r="C114" s="247"/>
      <c r="D114" s="610"/>
      <c r="E114" s="610"/>
      <c r="F114" s="610"/>
      <c r="G114" s="610"/>
      <c r="H114" s="610"/>
      <c r="I114" s="610"/>
      <c r="J114" s="610"/>
      <c r="K114" s="610"/>
      <c r="L114" s="246"/>
      <c r="M114" s="210"/>
      <c r="N114" s="180"/>
      <c r="O114" s="275"/>
      <c r="P114" s="275"/>
      <c r="Q114" s="275"/>
    </row>
    <row r="115" spans="2:17" ht="15.75" thickBot="1" x14ac:dyDescent="0.3">
      <c r="B115" s="592"/>
      <c r="C115" s="401"/>
      <c r="D115" s="402"/>
      <c r="E115" s="402"/>
      <c r="F115" s="402"/>
      <c r="G115" s="402"/>
      <c r="H115" s="402"/>
      <c r="I115" s="402"/>
      <c r="J115" s="402"/>
      <c r="K115" s="402"/>
      <c r="L115" s="248"/>
      <c r="M115" s="210"/>
      <c r="N115" s="180"/>
      <c r="O115" s="275"/>
      <c r="P115" s="275"/>
      <c r="Q115" s="275"/>
    </row>
    <row r="116" spans="2:17" ht="52.5" thickBot="1" x14ac:dyDescent="0.3">
      <c r="B116" s="592"/>
      <c r="C116" s="236" t="s">
        <v>202</v>
      </c>
      <c r="D116" s="193"/>
      <c r="E116" s="611"/>
      <c r="F116" s="612"/>
      <c r="G116" s="249" t="s">
        <v>203</v>
      </c>
      <c r="H116" s="250" t="s">
        <v>204</v>
      </c>
      <c r="I116" s="251" t="s">
        <v>199</v>
      </c>
      <c r="J116" s="405"/>
      <c r="K116" s="405"/>
      <c r="L116" s="235"/>
      <c r="M116" s="205"/>
      <c r="N116" s="290"/>
      <c r="O116" s="290">
        <f t="shared" ref="O116" si="37">G107-F107+1</f>
        <v>1</v>
      </c>
      <c r="P116" s="290">
        <f t="shared" ref="P116" si="38">IF(OR(O116=366,O116=365),52,(ROUNDUP(O116/7,0)))</f>
        <v>1</v>
      </c>
      <c r="Q116" s="275"/>
    </row>
    <row r="117" spans="2:17" ht="15.75" thickBot="1" x14ac:dyDescent="0.3">
      <c r="B117" s="592"/>
      <c r="C117" s="401"/>
      <c r="D117" s="405"/>
      <c r="E117" s="613" t="s">
        <v>205</v>
      </c>
      <c r="F117" s="614"/>
      <c r="G117" s="214"/>
      <c r="H117" s="215"/>
      <c r="I117" s="201">
        <f t="shared" ref="I117:I121" si="39">G117*H117</f>
        <v>0</v>
      </c>
      <c r="J117" s="405"/>
      <c r="K117" s="405"/>
      <c r="L117" s="235"/>
      <c r="M117" s="210"/>
      <c r="N117" s="180"/>
      <c r="O117" s="197"/>
      <c r="P117" s="275"/>
      <c r="Q117" s="275"/>
    </row>
    <row r="118" spans="2:17" ht="15.75" thickBot="1" x14ac:dyDescent="0.3">
      <c r="B118" s="592"/>
      <c r="C118" s="401"/>
      <c r="D118" s="405"/>
      <c r="E118" s="615" t="s">
        <v>206</v>
      </c>
      <c r="F118" s="616"/>
      <c r="G118" s="216"/>
      <c r="H118" s="217"/>
      <c r="I118" s="201">
        <f t="shared" si="39"/>
        <v>0</v>
      </c>
      <c r="J118" s="405"/>
      <c r="K118" s="405"/>
      <c r="L118" s="235"/>
      <c r="M118" s="180"/>
      <c r="N118" s="180"/>
      <c r="O118" s="275"/>
      <c r="P118" s="275"/>
      <c r="Q118" s="275"/>
    </row>
    <row r="119" spans="2:17" ht="15.75" thickBot="1" x14ac:dyDescent="0.3">
      <c r="B119" s="592"/>
      <c r="C119" s="401"/>
      <c r="D119" s="405"/>
      <c r="E119" s="615" t="s">
        <v>207</v>
      </c>
      <c r="F119" s="616"/>
      <c r="G119" s="216"/>
      <c r="H119" s="217"/>
      <c r="I119" s="201">
        <f t="shared" si="39"/>
        <v>0</v>
      </c>
      <c r="J119" s="405"/>
      <c r="K119" s="405"/>
      <c r="L119" s="235"/>
      <c r="M119" s="210"/>
      <c r="N119" s="275"/>
      <c r="O119" s="275"/>
      <c r="P119" s="275"/>
      <c r="Q119" s="275"/>
    </row>
    <row r="120" spans="2:17" ht="15.75" thickBot="1" x14ac:dyDescent="0.3">
      <c r="B120" s="592"/>
      <c r="C120" s="401"/>
      <c r="D120" s="405"/>
      <c r="E120" s="617" t="s">
        <v>208</v>
      </c>
      <c r="F120" s="618"/>
      <c r="G120" s="216"/>
      <c r="H120" s="217"/>
      <c r="I120" s="201">
        <f t="shared" si="39"/>
        <v>0</v>
      </c>
      <c r="J120" s="405"/>
      <c r="K120" s="405"/>
      <c r="L120" s="235"/>
      <c r="M120" s="210"/>
      <c r="N120" s="180"/>
      <c r="O120" s="275"/>
      <c r="P120" s="275"/>
      <c r="Q120" s="275"/>
    </row>
    <row r="121" spans="2:17" ht="15.75" thickBot="1" x14ac:dyDescent="0.3">
      <c r="B121" s="593"/>
      <c r="C121" s="371"/>
      <c r="D121" s="403"/>
      <c r="E121" s="619" t="s">
        <v>209</v>
      </c>
      <c r="F121" s="620"/>
      <c r="G121" s="372"/>
      <c r="H121" s="373"/>
      <c r="I121" s="374">
        <f t="shared" si="39"/>
        <v>0</v>
      </c>
      <c r="J121" s="403"/>
      <c r="K121" s="375"/>
      <c r="L121" s="232"/>
      <c r="M121" s="210"/>
      <c r="N121" s="275"/>
      <c r="O121" s="275"/>
      <c r="P121" s="275"/>
      <c r="Q121" s="275"/>
    </row>
    <row r="122" spans="2:17" ht="15.75" thickBot="1" x14ac:dyDescent="0.3"/>
    <row r="123" spans="2:17" ht="39.75" thickBot="1" x14ac:dyDescent="0.3">
      <c r="B123" s="591">
        <v>7</v>
      </c>
      <c r="C123" s="225" t="s">
        <v>183</v>
      </c>
      <c r="D123" s="221"/>
      <c r="E123" s="226"/>
      <c r="F123" s="226" t="s">
        <v>184</v>
      </c>
      <c r="G123" s="226" t="s">
        <v>185</v>
      </c>
      <c r="H123" s="220" t="s">
        <v>186</v>
      </c>
      <c r="I123" s="226" t="s">
        <v>187</v>
      </c>
      <c r="J123" s="227" t="s">
        <v>188</v>
      </c>
      <c r="K123" s="228" t="s">
        <v>189</v>
      </c>
      <c r="L123" s="229" t="s">
        <v>190</v>
      </c>
      <c r="M123" s="210"/>
      <c r="N123" s="180"/>
      <c r="O123" s="197"/>
      <c r="P123" s="275" t="s">
        <v>191</v>
      </c>
      <c r="Q123" s="275">
        <f>IF(F125="Exempt all taxes",0,(J124*FICA)+(J124*Medicare))</f>
        <v>0</v>
      </c>
    </row>
    <row r="124" spans="2:17" ht="15.75" thickBot="1" x14ac:dyDescent="0.3">
      <c r="B124" s="592"/>
      <c r="C124" s="594"/>
      <c r="D124" s="595"/>
      <c r="E124" s="596"/>
      <c r="F124" s="211"/>
      <c r="G124" s="212"/>
      <c r="H124" s="282">
        <f t="shared" ref="H124" si="40">P133</f>
        <v>1</v>
      </c>
      <c r="I124" s="213"/>
      <c r="J124" s="230">
        <f t="shared" ref="J124" si="41">SUM(K128:K129)+SUM(I134:I138)</f>
        <v>0</v>
      </c>
      <c r="K124" s="231">
        <f t="shared" ref="K124" si="42">IF(F125="No",Q124,Q123)</f>
        <v>0</v>
      </c>
      <c r="L124" s="232">
        <f t="shared" ref="L124" si="43">SUM(J124:K124)</f>
        <v>0</v>
      </c>
      <c r="M124" s="180"/>
      <c r="N124" s="195">
        <f t="shared" ref="N124" si="44">IF(ISNUMBER(L124),L124,0)</f>
        <v>0</v>
      </c>
      <c r="O124" s="275"/>
      <c r="P124" s="275" t="s">
        <v>192</v>
      </c>
      <c r="Q124" s="257">
        <f>IF(J124&gt;=SUTA_Max,((FUTA_Max*FUTA)+(SUTA_Max*I124)+(J124*FICA)+(J124*Medicare)),IF(J124&gt;=FUTA_Max,((FUTA_Max*FUTA)+(J124*I124)+(J124*FICA)+(J124*Medicare)),IF(J124&lt;FUTA_Max,(J124*(Total_Tax+I124)))))</f>
        <v>0</v>
      </c>
    </row>
    <row r="125" spans="2:17" ht="15.75" thickBot="1" x14ac:dyDescent="0.3">
      <c r="B125" s="592"/>
      <c r="C125" s="597" t="s">
        <v>193</v>
      </c>
      <c r="D125" s="598"/>
      <c r="E125" s="598"/>
      <c r="F125" s="599" t="s">
        <v>100</v>
      </c>
      <c r="G125" s="600"/>
      <c r="H125" s="233"/>
      <c r="I125" s="281"/>
      <c r="J125" s="271"/>
      <c r="K125" s="234"/>
      <c r="L125" s="235"/>
      <c r="M125" s="203"/>
      <c r="N125" s="275"/>
      <c r="O125" s="275"/>
      <c r="P125" s="275"/>
      <c r="Q125" s="275"/>
    </row>
    <row r="126" spans="2:17" ht="15.75" thickBot="1" x14ac:dyDescent="0.3">
      <c r="B126" s="592"/>
      <c r="C126" s="601"/>
      <c r="D126" s="602"/>
      <c r="E126" s="602"/>
      <c r="F126" s="602"/>
      <c r="G126" s="602"/>
      <c r="H126" s="602"/>
      <c r="I126" s="602"/>
      <c r="J126" s="602"/>
      <c r="K126" s="602"/>
      <c r="L126" s="603"/>
      <c r="M126" s="203"/>
      <c r="N126" s="275"/>
      <c r="O126" s="275"/>
      <c r="P126" s="275"/>
      <c r="Q126" s="275"/>
    </row>
    <row r="127" spans="2:17" ht="16.5" thickBot="1" x14ac:dyDescent="0.3">
      <c r="B127" s="592"/>
      <c r="C127" s="236" t="s">
        <v>194</v>
      </c>
      <c r="D127" s="193"/>
      <c r="E127" s="604"/>
      <c r="F127" s="605"/>
      <c r="G127" s="237" t="s">
        <v>195</v>
      </c>
      <c r="H127" s="238" t="s">
        <v>196</v>
      </c>
      <c r="I127" s="239" t="s">
        <v>197</v>
      </c>
      <c r="J127" s="239" t="s">
        <v>198</v>
      </c>
      <c r="K127" s="240" t="s">
        <v>199</v>
      </c>
      <c r="L127" s="235"/>
      <c r="M127" s="199"/>
      <c r="N127" s="275"/>
      <c r="O127" s="275"/>
      <c r="P127" s="275"/>
      <c r="Q127" s="275"/>
    </row>
    <row r="128" spans="2:17" ht="15.75" thickBot="1" x14ac:dyDescent="0.3">
      <c r="B128" s="592"/>
      <c r="C128" s="404"/>
      <c r="D128" s="405"/>
      <c r="E128" s="606" t="s">
        <v>270</v>
      </c>
      <c r="F128" s="607"/>
      <c r="G128" s="200"/>
      <c r="H128" s="253"/>
      <c r="I128" s="241">
        <f t="shared" ref="I128" si="45">H124</f>
        <v>1</v>
      </c>
      <c r="J128" s="242"/>
      <c r="K128" s="243">
        <f t="shared" ref="K128" si="46">G128*H128*I128</f>
        <v>0</v>
      </c>
      <c r="L128" s="235"/>
      <c r="M128" s="210"/>
      <c r="N128" s="275"/>
      <c r="O128" s="275"/>
      <c r="P128" s="275"/>
      <c r="Q128" s="275"/>
    </row>
    <row r="129" spans="2:17" ht="15.75" thickBot="1" x14ac:dyDescent="0.3">
      <c r="B129" s="592"/>
      <c r="C129" s="404"/>
      <c r="D129" s="405"/>
      <c r="E129" s="608" t="s">
        <v>32</v>
      </c>
      <c r="F129" s="609"/>
      <c r="G129" s="200"/>
      <c r="H129" s="255"/>
      <c r="I129" s="200"/>
      <c r="J129" s="253"/>
      <c r="K129" s="254">
        <f t="shared" ref="K129" si="47">G129*I129*J129</f>
        <v>0</v>
      </c>
      <c r="L129" s="235"/>
      <c r="M129" s="210"/>
      <c r="N129" s="275"/>
      <c r="O129" s="275"/>
      <c r="P129" s="275"/>
      <c r="Q129" s="275"/>
    </row>
    <row r="130" spans="2:17" x14ac:dyDescent="0.25">
      <c r="B130" s="592"/>
      <c r="C130" s="404"/>
      <c r="D130" s="610" t="s">
        <v>201</v>
      </c>
      <c r="E130" s="610"/>
      <c r="F130" s="610"/>
      <c r="G130" s="610"/>
      <c r="H130" s="610"/>
      <c r="I130" s="610"/>
      <c r="J130" s="610"/>
      <c r="K130" s="610"/>
      <c r="L130" s="246"/>
      <c r="M130" s="210"/>
      <c r="N130" s="275"/>
      <c r="O130" s="275"/>
      <c r="P130" s="275"/>
      <c r="Q130" s="275"/>
    </row>
    <row r="131" spans="2:17" x14ac:dyDescent="0.25">
      <c r="B131" s="592"/>
      <c r="C131" s="247"/>
      <c r="D131" s="610"/>
      <c r="E131" s="610"/>
      <c r="F131" s="610"/>
      <c r="G131" s="610"/>
      <c r="H131" s="610"/>
      <c r="I131" s="610"/>
      <c r="J131" s="610"/>
      <c r="K131" s="610"/>
      <c r="L131" s="246"/>
      <c r="M131" s="210"/>
      <c r="N131" s="180"/>
      <c r="O131" s="275"/>
      <c r="P131" s="275"/>
      <c r="Q131" s="275"/>
    </row>
    <row r="132" spans="2:17" ht="15.75" thickBot="1" x14ac:dyDescent="0.3">
      <c r="B132" s="592"/>
      <c r="C132" s="401"/>
      <c r="D132" s="402"/>
      <c r="E132" s="402"/>
      <c r="F132" s="402"/>
      <c r="G132" s="402"/>
      <c r="H132" s="402"/>
      <c r="I132" s="402"/>
      <c r="J132" s="402"/>
      <c r="K132" s="402"/>
      <c r="L132" s="248"/>
      <c r="M132" s="210"/>
      <c r="N132" s="180"/>
      <c r="O132" s="275"/>
      <c r="P132" s="275"/>
      <c r="Q132" s="275"/>
    </row>
    <row r="133" spans="2:17" ht="52.5" thickBot="1" x14ac:dyDescent="0.3">
      <c r="B133" s="592"/>
      <c r="C133" s="236" t="s">
        <v>202</v>
      </c>
      <c r="D133" s="193"/>
      <c r="E133" s="611"/>
      <c r="F133" s="612"/>
      <c r="G133" s="249" t="s">
        <v>203</v>
      </c>
      <c r="H133" s="250" t="s">
        <v>204</v>
      </c>
      <c r="I133" s="251" t="s">
        <v>199</v>
      </c>
      <c r="J133" s="405"/>
      <c r="K133" s="405"/>
      <c r="L133" s="235"/>
      <c r="M133" s="205"/>
      <c r="N133" s="290"/>
      <c r="O133" s="290">
        <f t="shared" ref="O133" si="48">G124-F124+1</f>
        <v>1</v>
      </c>
      <c r="P133" s="290">
        <f t="shared" ref="P133" si="49">IF(OR(O133=366,O133=365),52,(ROUNDUP(O133/7,0)))</f>
        <v>1</v>
      </c>
      <c r="Q133" s="275"/>
    </row>
    <row r="134" spans="2:17" ht="15.75" thickBot="1" x14ac:dyDescent="0.3">
      <c r="B134" s="592"/>
      <c r="C134" s="401"/>
      <c r="D134" s="405"/>
      <c r="E134" s="613" t="s">
        <v>205</v>
      </c>
      <c r="F134" s="614"/>
      <c r="G134" s="214"/>
      <c r="H134" s="215"/>
      <c r="I134" s="201">
        <f t="shared" ref="I134:I138" si="50">G134*H134</f>
        <v>0</v>
      </c>
      <c r="J134" s="405"/>
      <c r="K134" s="405"/>
      <c r="L134" s="235"/>
      <c r="M134" s="210"/>
      <c r="N134" s="180"/>
      <c r="O134" s="197"/>
      <c r="P134" s="275"/>
      <c r="Q134" s="275"/>
    </row>
    <row r="135" spans="2:17" ht="15.75" thickBot="1" x14ac:dyDescent="0.3">
      <c r="B135" s="592"/>
      <c r="C135" s="401"/>
      <c r="D135" s="405"/>
      <c r="E135" s="615" t="s">
        <v>206</v>
      </c>
      <c r="F135" s="616"/>
      <c r="G135" s="216"/>
      <c r="H135" s="217"/>
      <c r="I135" s="201">
        <f t="shared" si="50"/>
        <v>0</v>
      </c>
      <c r="J135" s="405"/>
      <c r="K135" s="405"/>
      <c r="L135" s="235"/>
      <c r="M135" s="180"/>
      <c r="N135" s="180"/>
      <c r="O135" s="275"/>
      <c r="P135" s="275"/>
      <c r="Q135" s="275"/>
    </row>
    <row r="136" spans="2:17" ht="15.75" thickBot="1" x14ac:dyDescent="0.3">
      <c r="B136" s="592"/>
      <c r="C136" s="401"/>
      <c r="D136" s="405"/>
      <c r="E136" s="615" t="s">
        <v>207</v>
      </c>
      <c r="F136" s="616"/>
      <c r="G136" s="216"/>
      <c r="H136" s="217"/>
      <c r="I136" s="201">
        <f t="shared" si="50"/>
        <v>0</v>
      </c>
      <c r="J136" s="405"/>
      <c r="K136" s="405"/>
      <c r="L136" s="235"/>
      <c r="M136" s="210"/>
      <c r="N136" s="275"/>
      <c r="O136" s="275"/>
      <c r="P136" s="275"/>
      <c r="Q136" s="275"/>
    </row>
    <row r="137" spans="2:17" ht="15.75" thickBot="1" x14ac:dyDescent="0.3">
      <c r="B137" s="592"/>
      <c r="C137" s="401"/>
      <c r="D137" s="405"/>
      <c r="E137" s="617" t="s">
        <v>208</v>
      </c>
      <c r="F137" s="618"/>
      <c r="G137" s="216"/>
      <c r="H137" s="217"/>
      <c r="I137" s="201">
        <f t="shared" si="50"/>
        <v>0</v>
      </c>
      <c r="J137" s="405"/>
      <c r="K137" s="405"/>
      <c r="L137" s="235"/>
      <c r="M137" s="210"/>
      <c r="N137" s="180"/>
      <c r="O137" s="275"/>
      <c r="P137" s="275"/>
      <c r="Q137" s="275"/>
    </row>
    <row r="138" spans="2:17" ht="15.75" thickBot="1" x14ac:dyDescent="0.3">
      <c r="B138" s="593"/>
      <c r="C138" s="371"/>
      <c r="D138" s="403"/>
      <c r="E138" s="619" t="s">
        <v>209</v>
      </c>
      <c r="F138" s="620"/>
      <c r="G138" s="372"/>
      <c r="H138" s="373"/>
      <c r="I138" s="374">
        <f t="shared" si="50"/>
        <v>0</v>
      </c>
      <c r="J138" s="403"/>
      <c r="K138" s="375"/>
      <c r="L138" s="232"/>
      <c r="M138" s="210"/>
      <c r="N138" s="275"/>
      <c r="O138" s="275"/>
      <c r="P138" s="275"/>
      <c r="Q138" s="275"/>
    </row>
    <row r="139" spans="2:17" ht="15.75" thickBot="1" x14ac:dyDescent="0.3"/>
    <row r="140" spans="2:17" ht="39.75" thickBot="1" x14ac:dyDescent="0.3">
      <c r="B140" s="591">
        <v>8</v>
      </c>
      <c r="C140" s="225" t="s">
        <v>183</v>
      </c>
      <c r="D140" s="221"/>
      <c r="E140" s="226"/>
      <c r="F140" s="226" t="s">
        <v>184</v>
      </c>
      <c r="G140" s="226" t="s">
        <v>185</v>
      </c>
      <c r="H140" s="220" t="s">
        <v>186</v>
      </c>
      <c r="I140" s="226" t="s">
        <v>187</v>
      </c>
      <c r="J140" s="227" t="s">
        <v>188</v>
      </c>
      <c r="K140" s="228" t="s">
        <v>189</v>
      </c>
      <c r="L140" s="229" t="s">
        <v>190</v>
      </c>
      <c r="M140" s="210"/>
      <c r="N140" s="180"/>
      <c r="O140" s="197"/>
      <c r="P140" s="275" t="s">
        <v>191</v>
      </c>
      <c r="Q140" s="275">
        <f>IF(F142="Exempt all taxes",0,(J141*FICA)+(J141*Medicare))</f>
        <v>0</v>
      </c>
    </row>
    <row r="141" spans="2:17" ht="15.75" thickBot="1" x14ac:dyDescent="0.3">
      <c r="B141" s="592"/>
      <c r="C141" s="594"/>
      <c r="D141" s="595"/>
      <c r="E141" s="596"/>
      <c r="F141" s="211"/>
      <c r="G141" s="212"/>
      <c r="H141" s="282">
        <f t="shared" ref="H141" si="51">P150</f>
        <v>1</v>
      </c>
      <c r="I141" s="213"/>
      <c r="J141" s="230">
        <f t="shared" ref="J141" si="52">SUM(K145:K146)+SUM(I151:I155)</f>
        <v>0</v>
      </c>
      <c r="K141" s="231">
        <f t="shared" ref="K141" si="53">IF(F142="No",Q141,Q140)</f>
        <v>0</v>
      </c>
      <c r="L141" s="232">
        <f t="shared" ref="L141" si="54">SUM(J141:K141)</f>
        <v>0</v>
      </c>
      <c r="M141" s="180"/>
      <c r="N141" s="195">
        <f t="shared" ref="N141" si="55">IF(ISNUMBER(L141),L141,0)</f>
        <v>0</v>
      </c>
      <c r="O141" s="275"/>
      <c r="P141" s="275" t="s">
        <v>192</v>
      </c>
      <c r="Q141" s="257">
        <f>IF(J141&gt;=SUTA_Max,((FUTA_Max*FUTA)+(SUTA_Max*I141)+(J141*FICA)+(J141*Medicare)),IF(J141&gt;=FUTA_Max,((FUTA_Max*FUTA)+(J141*I141)+(J141*FICA)+(J141*Medicare)),IF(J141&lt;FUTA_Max,(J141*(Total_Tax+I141)))))</f>
        <v>0</v>
      </c>
    </row>
    <row r="142" spans="2:17" ht="15.75" thickBot="1" x14ac:dyDescent="0.3">
      <c r="B142" s="592"/>
      <c r="C142" s="597" t="s">
        <v>193</v>
      </c>
      <c r="D142" s="598"/>
      <c r="E142" s="598"/>
      <c r="F142" s="599" t="s">
        <v>100</v>
      </c>
      <c r="G142" s="600"/>
      <c r="H142" s="233"/>
      <c r="I142" s="281"/>
      <c r="J142" s="271"/>
      <c r="K142" s="234"/>
      <c r="L142" s="235"/>
      <c r="M142" s="203"/>
      <c r="N142" s="275"/>
      <c r="O142" s="275"/>
      <c r="P142" s="275"/>
      <c r="Q142" s="275"/>
    </row>
    <row r="143" spans="2:17" ht="15.75" thickBot="1" x14ac:dyDescent="0.3">
      <c r="B143" s="592"/>
      <c r="C143" s="601"/>
      <c r="D143" s="602"/>
      <c r="E143" s="602"/>
      <c r="F143" s="602"/>
      <c r="G143" s="602"/>
      <c r="H143" s="602"/>
      <c r="I143" s="602"/>
      <c r="J143" s="602"/>
      <c r="K143" s="602"/>
      <c r="L143" s="603"/>
      <c r="M143" s="203"/>
      <c r="N143" s="275"/>
      <c r="O143" s="275"/>
      <c r="P143" s="275"/>
      <c r="Q143" s="275"/>
    </row>
    <row r="144" spans="2:17" ht="16.5" thickBot="1" x14ac:dyDescent="0.3">
      <c r="B144" s="592"/>
      <c r="C144" s="236" t="s">
        <v>194</v>
      </c>
      <c r="D144" s="193"/>
      <c r="E144" s="604"/>
      <c r="F144" s="605"/>
      <c r="G144" s="237" t="s">
        <v>195</v>
      </c>
      <c r="H144" s="238" t="s">
        <v>196</v>
      </c>
      <c r="I144" s="239" t="s">
        <v>197</v>
      </c>
      <c r="J144" s="239" t="s">
        <v>198</v>
      </c>
      <c r="K144" s="240" t="s">
        <v>199</v>
      </c>
      <c r="L144" s="235"/>
      <c r="M144" s="199"/>
      <c r="N144" s="275"/>
      <c r="O144" s="275"/>
      <c r="P144" s="275"/>
      <c r="Q144" s="275"/>
    </row>
    <row r="145" spans="2:17" ht="15.75" thickBot="1" x14ac:dyDescent="0.3">
      <c r="B145" s="592"/>
      <c r="C145" s="404"/>
      <c r="D145" s="405"/>
      <c r="E145" s="606" t="s">
        <v>270</v>
      </c>
      <c r="F145" s="607"/>
      <c r="G145" s="200"/>
      <c r="H145" s="253"/>
      <c r="I145" s="241">
        <f t="shared" ref="I145" si="56">H141</f>
        <v>1</v>
      </c>
      <c r="J145" s="242"/>
      <c r="K145" s="243">
        <f t="shared" ref="K145" si="57">G145*H145*I145</f>
        <v>0</v>
      </c>
      <c r="L145" s="235"/>
      <c r="M145" s="210"/>
      <c r="N145" s="275"/>
      <c r="O145" s="275"/>
      <c r="P145" s="275"/>
      <c r="Q145" s="275"/>
    </row>
    <row r="146" spans="2:17" ht="15.75" thickBot="1" x14ac:dyDescent="0.3">
      <c r="B146" s="592"/>
      <c r="C146" s="404"/>
      <c r="D146" s="405"/>
      <c r="E146" s="608" t="s">
        <v>32</v>
      </c>
      <c r="F146" s="609"/>
      <c r="G146" s="200"/>
      <c r="H146" s="255"/>
      <c r="I146" s="200"/>
      <c r="J146" s="253"/>
      <c r="K146" s="254">
        <f t="shared" ref="K146" si="58">G146*I146*J146</f>
        <v>0</v>
      </c>
      <c r="L146" s="235"/>
      <c r="M146" s="210"/>
      <c r="N146" s="275"/>
      <c r="O146" s="275"/>
      <c r="P146" s="275"/>
      <c r="Q146" s="275"/>
    </row>
    <row r="147" spans="2:17" x14ac:dyDescent="0.25">
      <c r="B147" s="592"/>
      <c r="C147" s="404"/>
      <c r="D147" s="610" t="s">
        <v>201</v>
      </c>
      <c r="E147" s="610"/>
      <c r="F147" s="610"/>
      <c r="G147" s="610"/>
      <c r="H147" s="610"/>
      <c r="I147" s="610"/>
      <c r="J147" s="610"/>
      <c r="K147" s="610"/>
      <c r="L147" s="246"/>
      <c r="M147" s="210"/>
      <c r="N147" s="275"/>
      <c r="O147" s="275"/>
      <c r="P147" s="275"/>
      <c r="Q147" s="275"/>
    </row>
    <row r="148" spans="2:17" x14ac:dyDescent="0.25">
      <c r="B148" s="592"/>
      <c r="C148" s="247"/>
      <c r="D148" s="610"/>
      <c r="E148" s="610"/>
      <c r="F148" s="610"/>
      <c r="G148" s="610"/>
      <c r="H148" s="610"/>
      <c r="I148" s="610"/>
      <c r="J148" s="610"/>
      <c r="K148" s="610"/>
      <c r="L148" s="246"/>
      <c r="M148" s="210"/>
      <c r="N148" s="180"/>
      <c r="O148" s="275"/>
      <c r="P148" s="275"/>
      <c r="Q148" s="275"/>
    </row>
    <row r="149" spans="2:17" ht="15.75" thickBot="1" x14ac:dyDescent="0.3">
      <c r="B149" s="592"/>
      <c r="C149" s="401"/>
      <c r="D149" s="402"/>
      <c r="E149" s="402"/>
      <c r="F149" s="402"/>
      <c r="G149" s="402"/>
      <c r="H149" s="402"/>
      <c r="I149" s="402"/>
      <c r="J149" s="402"/>
      <c r="K149" s="402"/>
      <c r="L149" s="248"/>
      <c r="M149" s="210"/>
      <c r="N149" s="180"/>
      <c r="O149" s="275"/>
      <c r="P149" s="275"/>
      <c r="Q149" s="275"/>
    </row>
    <row r="150" spans="2:17" ht="52.5" thickBot="1" x14ac:dyDescent="0.3">
      <c r="B150" s="592"/>
      <c r="C150" s="236" t="s">
        <v>202</v>
      </c>
      <c r="D150" s="193"/>
      <c r="E150" s="611"/>
      <c r="F150" s="612"/>
      <c r="G150" s="249" t="s">
        <v>203</v>
      </c>
      <c r="H150" s="250" t="s">
        <v>204</v>
      </c>
      <c r="I150" s="251" t="s">
        <v>199</v>
      </c>
      <c r="J150" s="405"/>
      <c r="K150" s="405"/>
      <c r="L150" s="235"/>
      <c r="M150" s="205"/>
      <c r="N150" s="290"/>
      <c r="O150" s="290">
        <f t="shared" ref="O150" si="59">G141-F141+1</f>
        <v>1</v>
      </c>
      <c r="P150" s="290">
        <f t="shared" ref="P150" si="60">IF(OR(O150=366,O150=365),52,(ROUNDUP(O150/7,0)))</f>
        <v>1</v>
      </c>
      <c r="Q150" s="275"/>
    </row>
    <row r="151" spans="2:17" ht="15.75" thickBot="1" x14ac:dyDescent="0.3">
      <c r="B151" s="592"/>
      <c r="C151" s="401"/>
      <c r="D151" s="405"/>
      <c r="E151" s="613" t="s">
        <v>205</v>
      </c>
      <c r="F151" s="614"/>
      <c r="G151" s="214"/>
      <c r="H151" s="215"/>
      <c r="I151" s="201">
        <f t="shared" ref="I151:I155" si="61">G151*H151</f>
        <v>0</v>
      </c>
      <c r="J151" s="405"/>
      <c r="K151" s="405"/>
      <c r="L151" s="235"/>
      <c r="M151" s="210"/>
      <c r="N151" s="180"/>
      <c r="O151" s="197"/>
      <c r="P151" s="275"/>
      <c r="Q151" s="275"/>
    </row>
    <row r="152" spans="2:17" ht="15.75" thickBot="1" x14ac:dyDescent="0.3">
      <c r="B152" s="592"/>
      <c r="C152" s="401"/>
      <c r="D152" s="405"/>
      <c r="E152" s="615" t="s">
        <v>206</v>
      </c>
      <c r="F152" s="616"/>
      <c r="G152" s="216"/>
      <c r="H152" s="217"/>
      <c r="I152" s="201">
        <f t="shared" si="61"/>
        <v>0</v>
      </c>
      <c r="J152" s="405"/>
      <c r="K152" s="405"/>
      <c r="L152" s="235"/>
      <c r="M152" s="180"/>
      <c r="N152" s="180"/>
      <c r="O152" s="275"/>
      <c r="P152" s="275"/>
      <c r="Q152" s="275"/>
    </row>
    <row r="153" spans="2:17" ht="15.75" thickBot="1" x14ac:dyDescent="0.3">
      <c r="B153" s="592"/>
      <c r="C153" s="401"/>
      <c r="D153" s="405"/>
      <c r="E153" s="615" t="s">
        <v>207</v>
      </c>
      <c r="F153" s="616"/>
      <c r="G153" s="216"/>
      <c r="H153" s="217"/>
      <c r="I153" s="201">
        <f t="shared" si="61"/>
        <v>0</v>
      </c>
      <c r="J153" s="405"/>
      <c r="K153" s="405"/>
      <c r="L153" s="235"/>
      <c r="M153" s="210"/>
      <c r="N153" s="275"/>
      <c r="O153" s="275"/>
      <c r="P153" s="275"/>
      <c r="Q153" s="275"/>
    </row>
    <row r="154" spans="2:17" ht="15.75" thickBot="1" x14ac:dyDescent="0.3">
      <c r="B154" s="592"/>
      <c r="C154" s="401"/>
      <c r="D154" s="405"/>
      <c r="E154" s="617" t="s">
        <v>208</v>
      </c>
      <c r="F154" s="618"/>
      <c r="G154" s="216"/>
      <c r="H154" s="217"/>
      <c r="I154" s="201">
        <f t="shared" si="61"/>
        <v>0</v>
      </c>
      <c r="J154" s="405"/>
      <c r="K154" s="405"/>
      <c r="L154" s="235"/>
      <c r="M154" s="210"/>
      <c r="N154" s="180"/>
      <c r="O154" s="275"/>
      <c r="P154" s="275"/>
      <c r="Q154" s="275"/>
    </row>
    <row r="155" spans="2:17" ht="15.75" thickBot="1" x14ac:dyDescent="0.3">
      <c r="B155" s="593"/>
      <c r="C155" s="371"/>
      <c r="D155" s="403"/>
      <c r="E155" s="619" t="s">
        <v>209</v>
      </c>
      <c r="F155" s="620"/>
      <c r="G155" s="372"/>
      <c r="H155" s="373"/>
      <c r="I155" s="374">
        <f t="shared" si="61"/>
        <v>0</v>
      </c>
      <c r="J155" s="403"/>
      <c r="K155" s="375"/>
      <c r="L155" s="232"/>
      <c r="M155" s="210"/>
      <c r="N155" s="275"/>
      <c r="O155" s="275"/>
      <c r="P155" s="275"/>
      <c r="Q155" s="275"/>
    </row>
  </sheetData>
  <sheetProtection password="E7F0" sheet="1" objects="1" scenarios="1"/>
  <mergeCells count="140">
    <mergeCell ref="E48:F48"/>
    <mergeCell ref="C39:E39"/>
    <mergeCell ref="F40:G40"/>
    <mergeCell ref="C41:L41"/>
    <mergeCell ref="E42:F42"/>
    <mergeCell ref="D45:K46"/>
    <mergeCell ref="C40:E40"/>
    <mergeCell ref="E43:F43"/>
    <mergeCell ref="E44:F44"/>
    <mergeCell ref="B72:B87"/>
    <mergeCell ref="C73:E73"/>
    <mergeCell ref="C74:E74"/>
    <mergeCell ref="F74:G74"/>
    <mergeCell ref="C75:L75"/>
    <mergeCell ref="E76:F76"/>
    <mergeCell ref="E77:F77"/>
    <mergeCell ref="E78:F78"/>
    <mergeCell ref="D79:K80"/>
    <mergeCell ref="E82:F82"/>
    <mergeCell ref="E83:F83"/>
    <mergeCell ref="E84:F84"/>
    <mergeCell ref="E85:F85"/>
    <mergeCell ref="E86:F86"/>
    <mergeCell ref="E87:F87"/>
    <mergeCell ref="E52:F52"/>
    <mergeCell ref="E53:F53"/>
    <mergeCell ref="B55:B70"/>
    <mergeCell ref="C56:E56"/>
    <mergeCell ref="C57:E57"/>
    <mergeCell ref="F57:G57"/>
    <mergeCell ref="C58:L58"/>
    <mergeCell ref="E59:F59"/>
    <mergeCell ref="E60:F60"/>
    <mergeCell ref="E61:F61"/>
    <mergeCell ref="D62:K63"/>
    <mergeCell ref="E65:F65"/>
    <mergeCell ref="E66:F66"/>
    <mergeCell ref="E67:F67"/>
    <mergeCell ref="E68:F68"/>
    <mergeCell ref="E69:F69"/>
    <mergeCell ref="E70:F70"/>
    <mergeCell ref="E33:F33"/>
    <mergeCell ref="E34:F34"/>
    <mergeCell ref="B14:L14"/>
    <mergeCell ref="B17:I18"/>
    <mergeCell ref="J17:L18"/>
    <mergeCell ref="B38:B53"/>
    <mergeCell ref="E35:F35"/>
    <mergeCell ref="E36:F36"/>
    <mergeCell ref="B16:I16"/>
    <mergeCell ref="E27:F27"/>
    <mergeCell ref="D28:K29"/>
    <mergeCell ref="E31:F31"/>
    <mergeCell ref="E25:F25"/>
    <mergeCell ref="E26:F26"/>
    <mergeCell ref="B21:B36"/>
    <mergeCell ref="C22:E22"/>
    <mergeCell ref="C23:E23"/>
    <mergeCell ref="F23:G23"/>
    <mergeCell ref="C24:L24"/>
    <mergeCell ref="J16:L16"/>
    <mergeCell ref="E32:F32"/>
    <mergeCell ref="E49:F49"/>
    <mergeCell ref="E50:F50"/>
    <mergeCell ref="E51:F51"/>
    <mergeCell ref="B2:L2"/>
    <mergeCell ref="B3:L3"/>
    <mergeCell ref="C5:F5"/>
    <mergeCell ref="C6:F6"/>
    <mergeCell ref="G8:H8"/>
    <mergeCell ref="J8:K8"/>
    <mergeCell ref="N19:P19"/>
    <mergeCell ref="B20:L20"/>
    <mergeCell ref="B10:L10"/>
    <mergeCell ref="O10:P10"/>
    <mergeCell ref="B11:F11"/>
    <mergeCell ref="H11:K12"/>
    <mergeCell ref="L11:L12"/>
    <mergeCell ref="O11:P11"/>
    <mergeCell ref="B12:F12"/>
    <mergeCell ref="B89:B104"/>
    <mergeCell ref="C90:E90"/>
    <mergeCell ref="C91:E91"/>
    <mergeCell ref="F91:G91"/>
    <mergeCell ref="C92:L92"/>
    <mergeCell ref="E93:F93"/>
    <mergeCell ref="E94:F94"/>
    <mergeCell ref="E95:F95"/>
    <mergeCell ref="D96:K97"/>
    <mergeCell ref="E99:F99"/>
    <mergeCell ref="E100:F100"/>
    <mergeCell ref="E101:F101"/>
    <mergeCell ref="E102:F102"/>
    <mergeCell ref="E103:F103"/>
    <mergeCell ref="E104:F104"/>
    <mergeCell ref="B106:B121"/>
    <mergeCell ref="C107:E107"/>
    <mergeCell ref="C108:E108"/>
    <mergeCell ref="F108:G108"/>
    <mergeCell ref="C109:L109"/>
    <mergeCell ref="E110:F110"/>
    <mergeCell ref="E111:F111"/>
    <mergeCell ref="E112:F112"/>
    <mergeCell ref="D113:K114"/>
    <mergeCell ref="E116:F116"/>
    <mergeCell ref="E117:F117"/>
    <mergeCell ref="E118:F118"/>
    <mergeCell ref="E119:F119"/>
    <mergeCell ref="E120:F120"/>
    <mergeCell ref="E121:F121"/>
    <mergeCell ref="B123:B138"/>
    <mergeCell ref="C124:E124"/>
    <mergeCell ref="C125:E125"/>
    <mergeCell ref="F125:G125"/>
    <mergeCell ref="C126:L126"/>
    <mergeCell ref="E127:F127"/>
    <mergeCell ref="E128:F128"/>
    <mergeCell ref="E129:F129"/>
    <mergeCell ref="D130:K131"/>
    <mergeCell ref="E133:F133"/>
    <mergeCell ref="E134:F134"/>
    <mergeCell ref="E135:F135"/>
    <mergeCell ref="E136:F136"/>
    <mergeCell ref="E137:F137"/>
    <mergeCell ref="E138:F138"/>
    <mergeCell ref="B140:B155"/>
    <mergeCell ref="C141:E141"/>
    <mergeCell ref="C142:E142"/>
    <mergeCell ref="F142:G142"/>
    <mergeCell ref="C143:L143"/>
    <mergeCell ref="E144:F144"/>
    <mergeCell ref="E145:F145"/>
    <mergeCell ref="E146:F146"/>
    <mergeCell ref="D147:K148"/>
    <mergeCell ref="E150:F150"/>
    <mergeCell ref="E151:F151"/>
    <mergeCell ref="E152:F152"/>
    <mergeCell ref="E153:F153"/>
    <mergeCell ref="E154:F154"/>
    <mergeCell ref="E155:F155"/>
  </mergeCells>
  <dataValidations count="3">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40:G40 F57:G57 F74:G74 F91:G91 F108:G108 F125:G125 F142:G142">
      <formula1>$P$2:$P$4</formula1>
    </dataValidation>
    <dataValidation type="custom" allowBlank="1" showInputMessage="1" showErrorMessage="1" errorTitle="Minimum Attendant Wage" error="The minimum allowed wage for attendant services is $8.00." promptTitle="CFC PAS Hab Pay Rate" prompt="Enter the hourly pay rate for CFC PAS Hab services." sqref="H77 H43 H60 H94 H111 H128 H145">
      <formula1>IF(H43&gt;=8,H43,)</formula1>
    </dataValidation>
    <dataValidation type="custom" allowBlank="1" showInputMessage="1" showErrorMessage="1" errorTitle="Minimum Attendant Wage" error="The minimum allowed wage for attendant services is $8.00." promptTitle="CFC PAS Hab Pay Rate" prompt="Enter the hourly pay rate for CFC PAS Hab services." sqref="H26">
      <formula1>IF(H26&gt;=8,H26,)</formula1>
    </dataValidation>
  </dataValidations>
  <pageMargins left="0.7" right="0.7" top="0.75" bottom="0.75" header="0.3" footer="0.3"/>
  <pageSetup scale="77" fitToHeight="5" orientation="portrait" r:id="rId1"/>
  <headerFooter>
    <oddHeader>&amp;LTexas Department of 
Aging and Disability Services&amp;RHCS CDS Budget
February 2015</oddHeader>
    <oddFooter>&amp;RDate and Time Created
&amp;D &amp;T</oddFooter>
  </headerFooter>
  <rowBreaks count="2" manualBreakCount="2">
    <brk id="36" min="1" max="11" man="1"/>
    <brk id="71"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9"/>
  <sheetViews>
    <sheetView zoomScale="84" zoomScaleNormal="84" workbookViewId="0">
      <selection activeCell="G12" sqref="G12"/>
    </sheetView>
  </sheetViews>
  <sheetFormatPr defaultRowHeight="15" x14ac:dyDescent="0.25"/>
  <cols>
    <col min="3" max="3" width="17.28515625" customWidth="1"/>
    <col min="6" max="6" width="14.5703125" customWidth="1"/>
    <col min="7" max="7" width="16.5703125" customWidth="1"/>
    <col min="10" max="10" width="12.140625" customWidth="1"/>
    <col min="11" max="11" width="12.85546875" customWidth="1"/>
    <col min="12" max="12" width="12.140625" bestFit="1" customWidth="1"/>
    <col min="14" max="17" width="9.140625" hidden="1" customWidth="1"/>
  </cols>
  <sheetData>
    <row r="1" spans="1:18" x14ac:dyDescent="0.25">
      <c r="A1" s="252"/>
      <c r="B1" s="178"/>
      <c r="C1" s="178"/>
      <c r="D1" s="178"/>
      <c r="E1" s="178"/>
      <c r="F1" s="178"/>
      <c r="G1" s="178"/>
      <c r="H1" s="178"/>
      <c r="I1" s="178"/>
      <c r="J1" s="178"/>
      <c r="K1" s="178"/>
      <c r="L1" s="178"/>
      <c r="M1" s="178"/>
      <c r="N1" s="178"/>
      <c r="O1" s="178"/>
      <c r="P1" s="179" t="s">
        <v>166</v>
      </c>
      <c r="Q1" s="178"/>
      <c r="R1" s="178"/>
    </row>
    <row r="2" spans="1:18" ht="20.25" x14ac:dyDescent="0.25">
      <c r="A2" s="178"/>
      <c r="B2" s="447" t="s">
        <v>0</v>
      </c>
      <c r="C2" s="447"/>
      <c r="D2" s="447"/>
      <c r="E2" s="447"/>
      <c r="F2" s="447"/>
      <c r="G2" s="447"/>
      <c r="H2" s="447"/>
      <c r="I2" s="447"/>
      <c r="J2" s="447"/>
      <c r="K2" s="447"/>
      <c r="L2" s="447"/>
      <c r="M2" s="222"/>
      <c r="N2" s="194"/>
      <c r="O2" s="256"/>
      <c r="P2" s="179" t="s">
        <v>100</v>
      </c>
      <c r="Q2" s="256"/>
      <c r="R2" s="256"/>
    </row>
    <row r="3" spans="1:18" ht="15.75" x14ac:dyDescent="0.25">
      <c r="A3" s="178"/>
      <c r="B3" s="448" t="s">
        <v>271</v>
      </c>
      <c r="C3" s="448"/>
      <c r="D3" s="448"/>
      <c r="E3" s="448"/>
      <c r="F3" s="448"/>
      <c r="G3" s="448"/>
      <c r="H3" s="448"/>
      <c r="I3" s="448"/>
      <c r="J3" s="448"/>
      <c r="K3" s="448"/>
      <c r="L3" s="448"/>
      <c r="M3" s="183"/>
      <c r="N3" s="178"/>
      <c r="O3" s="178"/>
      <c r="P3" s="179" t="s">
        <v>167</v>
      </c>
      <c r="Q3" s="178"/>
      <c r="R3" s="178"/>
    </row>
    <row r="4" spans="1:18" x14ac:dyDescent="0.25">
      <c r="A4" s="178"/>
      <c r="B4" s="178"/>
      <c r="C4" s="183"/>
      <c r="D4" s="183"/>
      <c r="E4" s="183"/>
      <c r="F4" s="183"/>
      <c r="G4" s="183"/>
      <c r="H4" s="183"/>
      <c r="I4" s="183"/>
      <c r="J4" s="183"/>
      <c r="K4" s="183"/>
      <c r="L4" s="183"/>
      <c r="M4" s="183"/>
      <c r="N4" s="178"/>
      <c r="O4" s="178"/>
      <c r="P4" s="179" t="s">
        <v>168</v>
      </c>
      <c r="Q4" s="178"/>
      <c r="R4" s="178"/>
    </row>
    <row r="5" spans="1:18" ht="15.75" thickBot="1" x14ac:dyDescent="0.3">
      <c r="A5" s="178"/>
      <c r="B5" s="178"/>
      <c r="C5" s="449">
        <f>Consumer_Name</f>
        <v>0</v>
      </c>
      <c r="D5" s="449"/>
      <c r="E5" s="449"/>
      <c r="F5" s="449"/>
      <c r="G5" s="183"/>
      <c r="H5" s="183"/>
      <c r="I5" s="178"/>
      <c r="J5" s="178"/>
      <c r="K5" s="184">
        <f>Medicaid_Number</f>
        <v>0</v>
      </c>
      <c r="L5" s="188"/>
      <c r="M5" s="188"/>
      <c r="N5" s="178"/>
      <c r="O5" s="178"/>
      <c r="P5" s="178"/>
      <c r="Q5" s="178"/>
      <c r="R5" s="178"/>
    </row>
    <row r="6" spans="1:18" x14ac:dyDescent="0.25">
      <c r="A6" s="178"/>
      <c r="B6" s="178"/>
      <c r="C6" s="450" t="s">
        <v>86</v>
      </c>
      <c r="D6" s="450"/>
      <c r="E6" s="450"/>
      <c r="F6" s="450"/>
      <c r="G6" s="185"/>
      <c r="H6" s="185"/>
      <c r="I6" s="178"/>
      <c r="J6" s="178"/>
      <c r="K6" s="189" t="s">
        <v>87</v>
      </c>
      <c r="L6" s="190"/>
      <c r="M6" s="190"/>
      <c r="N6" s="178"/>
      <c r="O6" s="178"/>
      <c r="P6" s="178"/>
      <c r="Q6" s="178"/>
      <c r="R6" s="178"/>
    </row>
    <row r="7" spans="1:18" x14ac:dyDescent="0.25">
      <c r="A7" s="178"/>
      <c r="B7" s="178"/>
      <c r="C7" s="185"/>
      <c r="D7" s="185"/>
      <c r="E7" s="185"/>
      <c r="F7" s="185"/>
      <c r="G7" s="185"/>
      <c r="H7" s="185"/>
      <c r="I7" s="185"/>
      <c r="J7" s="185"/>
      <c r="K7" s="190"/>
      <c r="L7" s="190"/>
      <c r="M7" s="190"/>
      <c r="N7" s="178"/>
      <c r="O7" s="178"/>
      <c r="P7" s="178"/>
      <c r="Q7" s="178"/>
      <c r="R7" s="178"/>
    </row>
    <row r="8" spans="1:18" ht="15.75" thickBot="1" x14ac:dyDescent="0.3">
      <c r="A8" s="178"/>
      <c r="B8" s="178"/>
      <c r="C8" s="178"/>
      <c r="D8" s="178"/>
      <c r="E8" s="178"/>
      <c r="F8" s="186" t="s">
        <v>88</v>
      </c>
      <c r="G8" s="506">
        <f>From</f>
        <v>0</v>
      </c>
      <c r="H8" s="506"/>
      <c r="I8" s="224" t="s">
        <v>89</v>
      </c>
      <c r="J8" s="506">
        <f>To</f>
        <v>0</v>
      </c>
      <c r="K8" s="506"/>
      <c r="L8" s="178"/>
      <c r="M8" s="178"/>
      <c r="N8" s="178"/>
      <c r="O8" s="178"/>
      <c r="P8" s="178"/>
      <c r="Q8" s="178"/>
      <c r="R8" s="178"/>
    </row>
    <row r="9" spans="1:18" ht="15.75" thickBot="1" x14ac:dyDescent="0.3">
      <c r="A9" s="178"/>
      <c r="B9" s="178"/>
      <c r="C9" s="186"/>
      <c r="D9" s="186"/>
      <c r="E9" s="186"/>
      <c r="F9" s="185"/>
      <c r="G9" s="185"/>
      <c r="H9" s="185"/>
      <c r="I9" s="187"/>
      <c r="J9" s="187"/>
      <c r="K9" s="183"/>
      <c r="L9" s="183"/>
      <c r="M9" s="183"/>
      <c r="N9" s="178"/>
      <c r="O9" s="178"/>
      <c r="P9" s="181"/>
      <c r="Q9" s="181"/>
      <c r="R9" s="178"/>
    </row>
    <row r="10" spans="1:18" ht="19.5" thickBot="1" x14ac:dyDescent="0.35">
      <c r="A10" s="178"/>
      <c r="B10" s="622" t="s">
        <v>169</v>
      </c>
      <c r="C10" s="623"/>
      <c r="D10" s="623"/>
      <c r="E10" s="623"/>
      <c r="F10" s="623"/>
      <c r="G10" s="623"/>
      <c r="H10" s="623"/>
      <c r="I10" s="623"/>
      <c r="J10" s="623"/>
      <c r="K10" s="623"/>
      <c r="L10" s="624"/>
      <c r="M10" s="207"/>
      <c r="N10" s="178"/>
      <c r="O10" s="625" t="s">
        <v>170</v>
      </c>
      <c r="P10" s="625"/>
      <c r="Q10" s="195">
        <v>7000</v>
      </c>
      <c r="R10" s="178"/>
    </row>
    <row r="11" spans="1:18" ht="15" customHeight="1" x14ac:dyDescent="0.25">
      <c r="A11" s="178"/>
      <c r="B11" s="626" t="s">
        <v>171</v>
      </c>
      <c r="C11" s="627"/>
      <c r="D11" s="627"/>
      <c r="E11" s="627"/>
      <c r="F11" s="627"/>
      <c r="G11" s="206">
        <f>'ESS &amp; Non-Taxable'!K58</f>
        <v>0</v>
      </c>
      <c r="H11" s="649" t="s">
        <v>172</v>
      </c>
      <c r="I11" s="650"/>
      <c r="J11" s="650"/>
      <c r="K11" s="650"/>
      <c r="L11" s="632">
        <f>G11-G12</f>
        <v>0</v>
      </c>
      <c r="M11" s="191"/>
      <c r="N11" s="178"/>
      <c r="O11" s="625" t="s">
        <v>173</v>
      </c>
      <c r="P11" s="625"/>
      <c r="Q11" s="195">
        <v>9000</v>
      </c>
      <c r="R11" s="178"/>
    </row>
    <row r="12" spans="1:18" ht="16.5" thickBot="1" x14ac:dyDescent="0.3">
      <c r="A12" s="178"/>
      <c r="B12" s="634" t="s">
        <v>174</v>
      </c>
      <c r="C12" s="635"/>
      <c r="D12" s="635"/>
      <c r="E12" s="635"/>
      <c r="F12" s="635"/>
      <c r="G12" s="202">
        <f>SUM(N22,N47,N72,N97,N122,N147,N172,N197)</f>
        <v>0</v>
      </c>
      <c r="H12" s="651"/>
      <c r="I12" s="652"/>
      <c r="J12" s="652"/>
      <c r="K12" s="652"/>
      <c r="L12" s="633"/>
      <c r="M12" s="208"/>
      <c r="N12" s="178"/>
      <c r="O12" s="181"/>
      <c r="P12" s="178"/>
      <c r="Q12" s="178"/>
      <c r="R12" s="178"/>
    </row>
    <row r="13" spans="1:18" ht="15.75" thickBot="1" x14ac:dyDescent="0.3">
      <c r="A13" s="178"/>
      <c r="B13" s="178"/>
      <c r="C13" s="178"/>
      <c r="D13" s="178"/>
      <c r="E13" s="178"/>
      <c r="F13" s="178"/>
      <c r="G13" s="178"/>
      <c r="H13" s="178"/>
      <c r="I13" s="178"/>
      <c r="J13" s="178"/>
      <c r="K13" s="178"/>
      <c r="L13" s="178"/>
      <c r="M13" s="178"/>
      <c r="N13" s="178"/>
      <c r="O13" s="181"/>
      <c r="P13" s="182" t="s">
        <v>175</v>
      </c>
      <c r="Q13" s="196">
        <v>6.0000000000000001E-3</v>
      </c>
      <c r="R13" s="178"/>
    </row>
    <row r="14" spans="1:18" ht="19.5" thickBot="1" x14ac:dyDescent="0.35">
      <c r="A14" s="178"/>
      <c r="B14" s="622" t="s">
        <v>176</v>
      </c>
      <c r="C14" s="623"/>
      <c r="D14" s="623"/>
      <c r="E14" s="623"/>
      <c r="F14" s="623"/>
      <c r="G14" s="623"/>
      <c r="H14" s="623"/>
      <c r="I14" s="623"/>
      <c r="J14" s="623"/>
      <c r="K14" s="623"/>
      <c r="L14" s="624"/>
      <c r="M14" s="207"/>
      <c r="N14" s="178"/>
      <c r="O14" s="181"/>
      <c r="P14" s="182" t="s">
        <v>177</v>
      </c>
      <c r="Q14" s="197">
        <v>6.2E-2</v>
      </c>
      <c r="R14" s="178"/>
    </row>
    <row r="15" spans="1:18" s="291" customFormat="1" ht="19.5" thickBot="1" x14ac:dyDescent="0.35">
      <c r="A15" s="363"/>
      <c r="B15" s="343"/>
      <c r="C15" s="343"/>
      <c r="D15" s="343"/>
      <c r="E15" s="343"/>
      <c r="F15" s="343"/>
      <c r="G15" s="343"/>
      <c r="H15" s="343"/>
      <c r="I15" s="343"/>
      <c r="J15" s="343"/>
      <c r="K15" s="343"/>
      <c r="L15" s="343"/>
      <c r="M15" s="207"/>
      <c r="N15" s="363"/>
      <c r="O15" s="181"/>
      <c r="P15" s="182" t="s">
        <v>179</v>
      </c>
      <c r="Q15" s="197">
        <v>1.4500000000000001E-2</v>
      </c>
      <c r="R15" s="363"/>
    </row>
    <row r="16" spans="1:18" ht="19.5" thickBot="1" x14ac:dyDescent="0.35">
      <c r="A16" s="261"/>
      <c r="B16" s="655" t="s">
        <v>269</v>
      </c>
      <c r="C16" s="653"/>
      <c r="D16" s="653"/>
      <c r="E16" s="653"/>
      <c r="F16" s="653"/>
      <c r="G16" s="653"/>
      <c r="H16" s="653"/>
      <c r="I16" s="653"/>
      <c r="J16" s="653" t="str">
        <f>IF(L11&gt;=0,"Yes","No")</f>
        <v>Yes</v>
      </c>
      <c r="K16" s="653"/>
      <c r="L16" s="654"/>
      <c r="M16" s="207"/>
      <c r="N16" s="261"/>
      <c r="O16" s="181"/>
      <c r="P16" s="192" t="s">
        <v>180</v>
      </c>
      <c r="Q16" s="219">
        <f>SUM(Q13:Q15)</f>
        <v>8.2500000000000004E-2</v>
      </c>
      <c r="R16" s="261"/>
    </row>
    <row r="17" spans="1:18" ht="15" customHeight="1" x14ac:dyDescent="0.25">
      <c r="A17" s="178"/>
      <c r="B17" s="636" t="s">
        <v>178</v>
      </c>
      <c r="C17" s="637"/>
      <c r="D17" s="637"/>
      <c r="E17" s="637"/>
      <c r="F17" s="637"/>
      <c r="G17" s="637"/>
      <c r="H17" s="637"/>
      <c r="I17" s="637"/>
      <c r="J17" s="640" t="str">
        <f>IF(AND(L11&gt;=0,'CFC Taxable Wage &amp; Comp'!L11&gt;=0),"Yes","No")</f>
        <v>Yes</v>
      </c>
      <c r="K17" s="640"/>
      <c r="L17" s="641"/>
      <c r="M17" s="209"/>
      <c r="N17" s="209"/>
      <c r="O17" s="209"/>
      <c r="R17" s="178"/>
    </row>
    <row r="18" spans="1:18" ht="15.75" customHeight="1" thickBot="1" x14ac:dyDescent="0.3">
      <c r="A18" s="178"/>
      <c r="B18" s="638"/>
      <c r="C18" s="639"/>
      <c r="D18" s="639"/>
      <c r="E18" s="639"/>
      <c r="F18" s="639"/>
      <c r="G18" s="639"/>
      <c r="H18" s="639"/>
      <c r="I18" s="639"/>
      <c r="J18" s="642"/>
      <c r="K18" s="642"/>
      <c r="L18" s="643"/>
      <c r="M18" s="209"/>
      <c r="N18" s="178"/>
      <c r="O18" s="181"/>
      <c r="R18" s="178"/>
    </row>
    <row r="19" spans="1:18" ht="15.75" thickBot="1" x14ac:dyDescent="0.3">
      <c r="B19" s="178"/>
      <c r="C19" s="186"/>
      <c r="D19" s="186"/>
      <c r="E19" s="186"/>
      <c r="F19" s="185"/>
      <c r="G19" s="185"/>
      <c r="H19" s="185"/>
      <c r="I19" s="187"/>
      <c r="J19" s="187"/>
      <c r="K19" s="183"/>
      <c r="L19" s="183"/>
      <c r="M19" s="183"/>
      <c r="N19" s="621" t="s">
        <v>181</v>
      </c>
      <c r="O19" s="621"/>
      <c r="P19" s="621"/>
      <c r="Q19" s="218">
        <v>0.66359999999999997</v>
      </c>
      <c r="R19" s="178"/>
    </row>
    <row r="20" spans="1:18" ht="19.5" thickBot="1" x14ac:dyDescent="0.35">
      <c r="B20" s="622" t="s">
        <v>182</v>
      </c>
      <c r="C20" s="623"/>
      <c r="D20" s="623"/>
      <c r="E20" s="623"/>
      <c r="F20" s="623"/>
      <c r="G20" s="623"/>
      <c r="H20" s="623"/>
      <c r="I20" s="623"/>
      <c r="J20" s="623"/>
      <c r="K20" s="623"/>
      <c r="L20" s="624"/>
      <c r="M20" s="205"/>
      <c r="N20" s="198"/>
      <c r="O20" s="198"/>
      <c r="P20" s="198"/>
      <c r="Q20" s="194"/>
      <c r="R20" s="194"/>
    </row>
    <row r="21" spans="1:18" ht="39.75" thickBot="1" x14ac:dyDescent="0.3">
      <c r="B21" s="591">
        <v>1</v>
      </c>
      <c r="C21" s="656" t="s">
        <v>183</v>
      </c>
      <c r="D21" s="657"/>
      <c r="E21" s="658"/>
      <c r="F21" s="226" t="s">
        <v>184</v>
      </c>
      <c r="G21" s="226" t="s">
        <v>185</v>
      </c>
      <c r="H21" s="220" t="s">
        <v>186</v>
      </c>
      <c r="I21" s="226" t="s">
        <v>187</v>
      </c>
      <c r="J21" s="227" t="s">
        <v>188</v>
      </c>
      <c r="K21" s="228" t="s">
        <v>189</v>
      </c>
      <c r="L21" s="229" t="s">
        <v>190</v>
      </c>
      <c r="M21" s="210"/>
      <c r="N21" s="180"/>
      <c r="O21" s="197"/>
      <c r="P21" s="194" t="s">
        <v>191</v>
      </c>
      <c r="Q21" s="275">
        <f>IF(F23="Exempt all taxes",0,(J22*FICA)+(J22*Medicare))</f>
        <v>0</v>
      </c>
      <c r="R21" s="194"/>
    </row>
    <row r="22" spans="1:18" ht="15.75" thickBot="1" x14ac:dyDescent="0.3">
      <c r="B22" s="592"/>
      <c r="C22" s="594"/>
      <c r="D22" s="595"/>
      <c r="E22" s="596"/>
      <c r="F22" s="211"/>
      <c r="G22" s="212"/>
      <c r="H22" s="282">
        <f>P39</f>
        <v>1</v>
      </c>
      <c r="I22" s="213"/>
      <c r="J22" s="230">
        <f>(SUM(K26:K35))+(SUM(I40:I44))</f>
        <v>0</v>
      </c>
      <c r="K22" s="231">
        <f>IF(F23="No",Q22,Q21)</f>
        <v>0</v>
      </c>
      <c r="L22" s="232">
        <f>SUM(J22:K22)</f>
        <v>0</v>
      </c>
      <c r="M22" s="180"/>
      <c r="N22" s="223">
        <f>IF(ISNUMBER(L22),L22,0)</f>
        <v>0</v>
      </c>
      <c r="O22" s="194"/>
      <c r="P22" s="194" t="s">
        <v>192</v>
      </c>
      <c r="Q22" s="257">
        <f>IF(J22&gt;=SUTA_Max,((FUTA_Max*FUTA)+(SUTA_Max*I22)+(J22*FICA)+(J22*Medicare)),IF(J22&gt;=FUTA_Max,((FUTA_Max*FUTA)+(J22*I22)+(J22*FICA)+(J22*Medicare)),IF(J22&lt;FUTA_Max,(J22*(Total_Tax+I22)))))</f>
        <v>0</v>
      </c>
      <c r="R22" s="194"/>
    </row>
    <row r="23" spans="1:18" ht="15.75" thickBot="1" x14ac:dyDescent="0.3">
      <c r="B23" s="592"/>
      <c r="C23" s="597" t="s">
        <v>193</v>
      </c>
      <c r="D23" s="598"/>
      <c r="E23" s="598"/>
      <c r="F23" s="644" t="s">
        <v>100</v>
      </c>
      <c r="G23" s="600"/>
      <c r="H23" s="233"/>
      <c r="I23" s="281"/>
      <c r="J23" s="271"/>
      <c r="K23" s="234"/>
      <c r="L23" s="235"/>
      <c r="M23" s="203"/>
      <c r="N23" s="194"/>
      <c r="O23" s="194"/>
      <c r="P23" s="194"/>
      <c r="Q23" s="194"/>
      <c r="R23" s="194"/>
    </row>
    <row r="24" spans="1:18" ht="15.75" thickBot="1" x14ac:dyDescent="0.3">
      <c r="B24" s="592"/>
      <c r="C24" s="601"/>
      <c r="D24" s="602"/>
      <c r="E24" s="602"/>
      <c r="F24" s="602"/>
      <c r="G24" s="602"/>
      <c r="H24" s="602"/>
      <c r="I24" s="602"/>
      <c r="J24" s="602"/>
      <c r="K24" s="602"/>
      <c r="L24" s="603"/>
      <c r="M24" s="203"/>
      <c r="N24" s="194"/>
      <c r="O24" s="194"/>
      <c r="P24" s="194"/>
      <c r="Q24" s="194"/>
      <c r="R24" s="194"/>
    </row>
    <row r="25" spans="1:18" ht="16.5" thickBot="1" x14ac:dyDescent="0.3">
      <c r="B25" s="592"/>
      <c r="C25" s="236" t="s">
        <v>194</v>
      </c>
      <c r="D25" s="193"/>
      <c r="E25" s="604"/>
      <c r="F25" s="605"/>
      <c r="G25" s="237" t="s">
        <v>195</v>
      </c>
      <c r="H25" s="238" t="s">
        <v>196</v>
      </c>
      <c r="I25" s="239" t="s">
        <v>197</v>
      </c>
      <c r="J25" s="239" t="s">
        <v>198</v>
      </c>
      <c r="K25" s="240" t="s">
        <v>199</v>
      </c>
      <c r="L25" s="235"/>
      <c r="M25" s="199"/>
      <c r="N25" s="194"/>
      <c r="O25" s="194"/>
      <c r="P25" s="194"/>
      <c r="Q25" s="194"/>
      <c r="R25" s="194"/>
    </row>
    <row r="26" spans="1:18" ht="15.75" thickBot="1" x14ac:dyDescent="0.3">
      <c r="B26" s="592"/>
      <c r="C26" s="389"/>
      <c r="D26" s="390"/>
      <c r="E26" s="645" t="s">
        <v>104</v>
      </c>
      <c r="F26" s="646"/>
      <c r="G26" s="200"/>
      <c r="H26" s="253"/>
      <c r="I26" s="244">
        <f>H22</f>
        <v>1</v>
      </c>
      <c r="J26" s="245"/>
      <c r="K26" s="243">
        <f>G26*H26*I26</f>
        <v>0</v>
      </c>
      <c r="L26" s="235"/>
      <c r="M26" s="210"/>
      <c r="N26" s="194"/>
      <c r="O26" s="194"/>
      <c r="P26" s="194"/>
      <c r="Q26" s="194"/>
      <c r="R26" s="194"/>
    </row>
    <row r="27" spans="1:18" ht="15.75" thickBot="1" x14ac:dyDescent="0.3">
      <c r="B27" s="592"/>
      <c r="C27" s="389"/>
      <c r="D27" s="390"/>
      <c r="E27" s="645" t="s">
        <v>108</v>
      </c>
      <c r="F27" s="647"/>
      <c r="G27" s="200"/>
      <c r="H27" s="253"/>
      <c r="I27" s="244">
        <f>H22</f>
        <v>1</v>
      </c>
      <c r="J27" s="258"/>
      <c r="K27" s="243">
        <f t="shared" ref="K27:K35" si="0">G27*H27*I27</f>
        <v>0</v>
      </c>
      <c r="L27" s="235"/>
      <c r="M27" s="178"/>
      <c r="N27" s="194"/>
      <c r="O27" s="204"/>
      <c r="P27" s="194"/>
      <c r="Q27" s="194"/>
      <c r="R27" s="194"/>
    </row>
    <row r="28" spans="1:18" ht="15.75" thickBot="1" x14ac:dyDescent="0.3">
      <c r="B28" s="592"/>
      <c r="C28" s="389"/>
      <c r="D28" s="390"/>
      <c r="E28" s="645" t="s">
        <v>111</v>
      </c>
      <c r="F28" s="647"/>
      <c r="G28" s="200"/>
      <c r="H28" s="253"/>
      <c r="I28" s="244">
        <f>H22</f>
        <v>1</v>
      </c>
      <c r="J28" s="258"/>
      <c r="K28" s="243">
        <f t="shared" si="0"/>
        <v>0</v>
      </c>
      <c r="L28" s="235"/>
      <c r="M28" s="178"/>
      <c r="N28" s="194"/>
      <c r="O28" s="204"/>
      <c r="P28" s="194"/>
      <c r="Q28" s="194"/>
      <c r="R28" s="194"/>
    </row>
    <row r="29" spans="1:18" ht="15.75" thickBot="1" x14ac:dyDescent="0.3">
      <c r="B29" s="592"/>
      <c r="C29" s="389"/>
      <c r="D29" s="390"/>
      <c r="E29" s="645" t="s">
        <v>113</v>
      </c>
      <c r="F29" s="647"/>
      <c r="G29" s="200"/>
      <c r="H29" s="253"/>
      <c r="I29" s="244">
        <f>H22</f>
        <v>1</v>
      </c>
      <c r="J29" s="258"/>
      <c r="K29" s="243">
        <f t="shared" si="0"/>
        <v>0</v>
      </c>
      <c r="L29" s="235"/>
      <c r="M29" s="178"/>
      <c r="N29" s="194"/>
      <c r="O29" s="204"/>
      <c r="P29" s="194"/>
      <c r="Q29" s="194"/>
      <c r="R29" s="194"/>
    </row>
    <row r="30" spans="1:18" ht="15.75" thickBot="1" x14ac:dyDescent="0.3">
      <c r="B30" s="592"/>
      <c r="C30" s="389"/>
      <c r="D30" s="390"/>
      <c r="E30" s="392"/>
      <c r="F30" s="393" t="s">
        <v>115</v>
      </c>
      <c r="G30" s="200"/>
      <c r="H30" s="253"/>
      <c r="I30" s="244">
        <f>H22</f>
        <v>1</v>
      </c>
      <c r="J30" s="258"/>
      <c r="K30" s="243">
        <f t="shared" si="0"/>
        <v>0</v>
      </c>
      <c r="L30" s="235"/>
      <c r="M30" s="178"/>
      <c r="N30" s="194"/>
      <c r="O30" s="204"/>
      <c r="P30" s="194"/>
      <c r="Q30" s="194"/>
      <c r="R30" s="194"/>
    </row>
    <row r="31" spans="1:18" ht="15.75" thickBot="1" x14ac:dyDescent="0.3">
      <c r="B31" s="592"/>
      <c r="C31" s="389"/>
      <c r="D31" s="390"/>
      <c r="E31" s="645" t="s">
        <v>117</v>
      </c>
      <c r="F31" s="647"/>
      <c r="G31" s="200"/>
      <c r="H31" s="253"/>
      <c r="I31" s="244">
        <f>H22</f>
        <v>1</v>
      </c>
      <c r="J31" s="258"/>
      <c r="K31" s="243">
        <f t="shared" si="0"/>
        <v>0</v>
      </c>
      <c r="L31" s="235"/>
      <c r="M31" s="178"/>
      <c r="N31" s="194"/>
      <c r="O31" s="204"/>
      <c r="P31" s="194"/>
      <c r="Q31" s="194"/>
      <c r="R31" s="194"/>
    </row>
    <row r="32" spans="1:18" ht="15.75" thickBot="1" x14ac:dyDescent="0.3">
      <c r="B32" s="592"/>
      <c r="C32" s="389"/>
      <c r="D32" s="390"/>
      <c r="E32" s="648" t="s">
        <v>120</v>
      </c>
      <c r="F32" s="647"/>
      <c r="G32" s="200"/>
      <c r="H32" s="253"/>
      <c r="I32" s="244">
        <f>H22</f>
        <v>1</v>
      </c>
      <c r="J32" s="259"/>
      <c r="K32" s="243">
        <f t="shared" si="0"/>
        <v>0</v>
      </c>
      <c r="L32" s="235"/>
      <c r="M32" s="178"/>
      <c r="N32" s="194"/>
      <c r="O32" s="204"/>
      <c r="P32" s="194"/>
      <c r="Q32" s="194"/>
      <c r="R32" s="194"/>
    </row>
    <row r="33" spans="1:18" ht="15.75" thickBot="1" x14ac:dyDescent="0.3">
      <c r="B33" s="592"/>
      <c r="C33" s="395"/>
      <c r="D33" s="396"/>
      <c r="E33" s="648" t="s">
        <v>200</v>
      </c>
      <c r="F33" s="647"/>
      <c r="G33" s="200"/>
      <c r="H33" s="253"/>
      <c r="I33" s="244">
        <f>H22</f>
        <v>1</v>
      </c>
      <c r="J33" s="259"/>
      <c r="K33" s="243">
        <f t="shared" si="0"/>
        <v>0</v>
      </c>
      <c r="L33" s="235"/>
      <c r="M33" s="261"/>
      <c r="N33" s="275"/>
      <c r="O33" s="204"/>
      <c r="P33" s="275"/>
      <c r="Q33" s="275"/>
      <c r="R33" s="275"/>
    </row>
    <row r="34" spans="1:18" ht="15.75" thickBot="1" x14ac:dyDescent="0.3">
      <c r="B34" s="592"/>
      <c r="C34" s="389"/>
      <c r="D34" s="390"/>
      <c r="E34" s="648" t="s">
        <v>275</v>
      </c>
      <c r="F34" s="647"/>
      <c r="G34" s="200"/>
      <c r="H34" s="253"/>
      <c r="I34" s="244">
        <f>H22</f>
        <v>1</v>
      </c>
      <c r="J34" s="259"/>
      <c r="K34" s="243">
        <f t="shared" si="0"/>
        <v>0</v>
      </c>
      <c r="L34" s="235"/>
      <c r="M34" s="178"/>
      <c r="N34" s="194"/>
      <c r="O34" s="204"/>
      <c r="P34" s="194"/>
      <c r="Q34" s="194"/>
      <c r="R34" s="194"/>
    </row>
    <row r="35" spans="1:18" ht="15.75" thickBot="1" x14ac:dyDescent="0.3">
      <c r="A35" s="178"/>
      <c r="B35" s="592"/>
      <c r="C35" s="389"/>
      <c r="D35" s="390"/>
      <c r="E35" s="608" t="s">
        <v>32</v>
      </c>
      <c r="F35" s="609"/>
      <c r="G35" s="200"/>
      <c r="H35" s="255"/>
      <c r="I35" s="200"/>
      <c r="J35" s="253"/>
      <c r="K35" s="243">
        <f t="shared" si="0"/>
        <v>0</v>
      </c>
      <c r="L35" s="235"/>
      <c r="M35" s="210"/>
      <c r="N35" s="194"/>
      <c r="O35" s="194"/>
      <c r="P35" s="194"/>
      <c r="Q35" s="194"/>
      <c r="R35" s="194"/>
    </row>
    <row r="36" spans="1:18" x14ac:dyDescent="0.25">
      <c r="A36" s="178"/>
      <c r="B36" s="592"/>
      <c r="C36" s="389"/>
      <c r="D36" s="610" t="s">
        <v>201</v>
      </c>
      <c r="E36" s="610"/>
      <c r="F36" s="610"/>
      <c r="G36" s="610"/>
      <c r="H36" s="610"/>
      <c r="I36" s="610"/>
      <c r="J36" s="610"/>
      <c r="K36" s="610"/>
      <c r="L36" s="246"/>
      <c r="M36" s="210"/>
      <c r="N36" s="194"/>
      <c r="O36" s="194"/>
      <c r="P36" s="194"/>
      <c r="Q36" s="194"/>
      <c r="R36" s="194"/>
    </row>
    <row r="37" spans="1:18" x14ac:dyDescent="0.25">
      <c r="A37" s="178"/>
      <c r="B37" s="592"/>
      <c r="C37" s="247"/>
      <c r="D37" s="610"/>
      <c r="E37" s="610"/>
      <c r="F37" s="610"/>
      <c r="G37" s="610"/>
      <c r="H37" s="610"/>
      <c r="I37" s="610"/>
      <c r="J37" s="610"/>
      <c r="K37" s="610"/>
      <c r="L37" s="246"/>
      <c r="M37" s="210"/>
      <c r="N37" s="180"/>
      <c r="O37" s="194"/>
      <c r="P37" s="194"/>
      <c r="Q37" s="194"/>
      <c r="R37" s="194"/>
    </row>
    <row r="38" spans="1:18" ht="15.75" thickBot="1" x14ac:dyDescent="0.3">
      <c r="A38" s="178"/>
      <c r="B38" s="592"/>
      <c r="C38" s="387"/>
      <c r="D38" s="388"/>
      <c r="E38" s="388"/>
      <c r="F38" s="388"/>
      <c r="G38" s="388"/>
      <c r="H38" s="388"/>
      <c r="I38" s="388"/>
      <c r="J38" s="388"/>
      <c r="K38" s="388"/>
      <c r="L38" s="248"/>
      <c r="M38" s="210"/>
      <c r="N38" s="180"/>
      <c r="O38" s="194"/>
      <c r="P38" s="194"/>
      <c r="Q38" s="194"/>
      <c r="R38" s="194"/>
    </row>
    <row r="39" spans="1:18" ht="52.5" thickBot="1" x14ac:dyDescent="0.3">
      <c r="A39" s="178"/>
      <c r="B39" s="592"/>
      <c r="C39" s="236" t="s">
        <v>202</v>
      </c>
      <c r="D39" s="193"/>
      <c r="E39" s="611"/>
      <c r="F39" s="612"/>
      <c r="G39" s="249" t="s">
        <v>203</v>
      </c>
      <c r="H39" s="250" t="s">
        <v>204</v>
      </c>
      <c r="I39" s="251" t="s">
        <v>199</v>
      </c>
      <c r="J39" s="390"/>
      <c r="K39" s="390"/>
      <c r="L39" s="235"/>
      <c r="M39" s="205"/>
      <c r="N39" s="198"/>
      <c r="O39" s="198">
        <f>G22-F22+1</f>
        <v>1</v>
      </c>
      <c r="P39" s="198">
        <f>IF(OR(O39=366,O39=365),52,(ROUNDUP(O39/7,0)))</f>
        <v>1</v>
      </c>
      <c r="Q39" s="194"/>
      <c r="R39" s="194"/>
    </row>
    <row r="40" spans="1:18" ht="15.75" thickBot="1" x14ac:dyDescent="0.3">
      <c r="A40" s="178"/>
      <c r="B40" s="592"/>
      <c r="C40" s="387"/>
      <c r="D40" s="390"/>
      <c r="E40" s="613" t="s">
        <v>205</v>
      </c>
      <c r="F40" s="614"/>
      <c r="G40" s="214"/>
      <c r="H40" s="215"/>
      <c r="I40" s="201">
        <f>G40*H40</f>
        <v>0</v>
      </c>
      <c r="J40" s="390"/>
      <c r="K40" s="390"/>
      <c r="L40" s="235"/>
      <c r="M40" s="210"/>
      <c r="N40" s="180"/>
      <c r="O40" s="197"/>
      <c r="P40" s="194"/>
      <c r="Q40" s="194"/>
      <c r="R40" s="194"/>
    </row>
    <row r="41" spans="1:18" ht="15.75" thickBot="1" x14ac:dyDescent="0.3">
      <c r="A41" s="178"/>
      <c r="B41" s="592"/>
      <c r="C41" s="387"/>
      <c r="D41" s="390"/>
      <c r="E41" s="615" t="s">
        <v>206</v>
      </c>
      <c r="F41" s="616"/>
      <c r="G41" s="216"/>
      <c r="H41" s="217"/>
      <c r="I41" s="201">
        <f t="shared" ref="I41:I44" si="1">G41*H41</f>
        <v>0</v>
      </c>
      <c r="J41" s="390"/>
      <c r="K41" s="390"/>
      <c r="L41" s="235"/>
      <c r="M41" s="180"/>
      <c r="N41" s="180"/>
      <c r="O41" s="194"/>
      <c r="P41" s="194"/>
      <c r="Q41" s="194"/>
      <c r="R41" s="194"/>
    </row>
    <row r="42" spans="1:18" ht="15.75" thickBot="1" x14ac:dyDescent="0.3">
      <c r="A42" s="178"/>
      <c r="B42" s="592"/>
      <c r="C42" s="387"/>
      <c r="D42" s="390"/>
      <c r="E42" s="615" t="s">
        <v>207</v>
      </c>
      <c r="F42" s="616"/>
      <c r="G42" s="216"/>
      <c r="H42" s="217"/>
      <c r="I42" s="201">
        <f t="shared" si="1"/>
        <v>0</v>
      </c>
      <c r="J42" s="390"/>
      <c r="K42" s="390"/>
      <c r="L42" s="235"/>
      <c r="M42" s="210"/>
      <c r="N42" s="194"/>
      <c r="O42" s="194"/>
      <c r="P42" s="194"/>
      <c r="Q42" s="194"/>
      <c r="R42" s="194"/>
    </row>
    <row r="43" spans="1:18" ht="15.75" thickBot="1" x14ac:dyDescent="0.3">
      <c r="A43" s="178"/>
      <c r="B43" s="592"/>
      <c r="C43" s="387"/>
      <c r="D43" s="390"/>
      <c r="E43" s="617" t="s">
        <v>208</v>
      </c>
      <c r="F43" s="618"/>
      <c r="G43" s="216"/>
      <c r="H43" s="217"/>
      <c r="I43" s="201">
        <f t="shared" si="1"/>
        <v>0</v>
      </c>
      <c r="J43" s="390"/>
      <c r="K43" s="390"/>
      <c r="L43" s="235"/>
      <c r="M43" s="210"/>
      <c r="N43" s="180"/>
      <c r="O43" s="194"/>
      <c r="P43" s="194"/>
      <c r="Q43" s="194"/>
      <c r="R43" s="194"/>
    </row>
    <row r="44" spans="1:18" ht="15.75" thickBot="1" x14ac:dyDescent="0.3">
      <c r="A44" s="178"/>
      <c r="B44" s="593"/>
      <c r="C44" s="371"/>
      <c r="D44" s="391"/>
      <c r="E44" s="619" t="s">
        <v>209</v>
      </c>
      <c r="F44" s="620"/>
      <c r="G44" s="372"/>
      <c r="H44" s="373"/>
      <c r="I44" s="374">
        <f t="shared" si="1"/>
        <v>0</v>
      </c>
      <c r="J44" s="391"/>
      <c r="K44" s="375"/>
      <c r="L44" s="232"/>
      <c r="M44" s="210"/>
      <c r="N44" s="194"/>
      <c r="O44" s="194"/>
      <c r="P44" s="194"/>
      <c r="Q44" s="194"/>
      <c r="R44" s="194"/>
    </row>
    <row r="45" spans="1:18" ht="15.75" thickBot="1" x14ac:dyDescent="0.3">
      <c r="A45" s="261"/>
      <c r="B45" s="364"/>
      <c r="C45" s="376"/>
      <c r="D45" s="370"/>
      <c r="E45" s="377"/>
      <c r="F45" s="377"/>
      <c r="G45" s="378"/>
      <c r="H45" s="379"/>
      <c r="I45" s="380"/>
      <c r="J45" s="370"/>
      <c r="K45" s="369"/>
      <c r="L45" s="369"/>
      <c r="M45" s="210"/>
      <c r="N45" s="275"/>
      <c r="O45" s="275"/>
      <c r="P45" s="275"/>
      <c r="Q45" s="275"/>
      <c r="R45" s="275"/>
    </row>
    <row r="46" spans="1:18" ht="39.75" thickBot="1" x14ac:dyDescent="0.3">
      <c r="B46" s="591">
        <v>2</v>
      </c>
      <c r="C46" s="656" t="s">
        <v>183</v>
      </c>
      <c r="D46" s="657"/>
      <c r="E46" s="658"/>
      <c r="F46" s="226" t="s">
        <v>184</v>
      </c>
      <c r="G46" s="226" t="s">
        <v>185</v>
      </c>
      <c r="H46" s="220" t="s">
        <v>186</v>
      </c>
      <c r="I46" s="226" t="s">
        <v>187</v>
      </c>
      <c r="J46" s="227" t="s">
        <v>188</v>
      </c>
      <c r="K46" s="228" t="s">
        <v>189</v>
      </c>
      <c r="L46" s="229" t="s">
        <v>190</v>
      </c>
      <c r="M46" s="210"/>
      <c r="N46" s="180"/>
      <c r="O46" s="197"/>
      <c r="P46" s="275" t="s">
        <v>191</v>
      </c>
      <c r="Q46" s="275">
        <f>IF(F48="Exempt all taxes",0,(J47*FICA)+(J47*Medicare))</f>
        <v>0</v>
      </c>
    </row>
    <row r="47" spans="1:18" s="291" customFormat="1" ht="15.75" thickBot="1" x14ac:dyDescent="0.3">
      <c r="B47" s="592"/>
      <c r="C47" s="594"/>
      <c r="D47" s="595"/>
      <c r="E47" s="596"/>
      <c r="F47" s="211"/>
      <c r="G47" s="212"/>
      <c r="H47" s="282">
        <f>P64</f>
        <v>1</v>
      </c>
      <c r="I47" s="213"/>
      <c r="J47" s="230">
        <f>(SUM(K51:K60))+(SUM(I65:I69))</f>
        <v>0</v>
      </c>
      <c r="K47" s="231">
        <f>IF(F48="No",Q47,Q46)</f>
        <v>0</v>
      </c>
      <c r="L47" s="232">
        <f>SUM(J47:K47)</f>
        <v>0</v>
      </c>
      <c r="M47" s="180"/>
      <c r="N47" s="281">
        <f>IF(ISNUMBER(L47),L47,0)</f>
        <v>0</v>
      </c>
      <c r="O47" s="275"/>
      <c r="P47" s="275" t="s">
        <v>192</v>
      </c>
      <c r="Q47" s="257">
        <f>IF(J47&gt;=SUTA_Max,((FUTA_Max*FUTA)+(SUTA_Max*I47)+(J47*FICA)+(J47*Medicare)),IF(J47&gt;=FUTA_Max,((FUTA_Max*FUTA)+(J47*I47)+(J47*FICA)+(J47*Medicare)),IF(J47&lt;FUTA_Max,(J47*(Total_Tax+I47)))))</f>
        <v>0</v>
      </c>
    </row>
    <row r="48" spans="1:18" ht="15.75" thickBot="1" x14ac:dyDescent="0.3">
      <c r="B48" s="592"/>
      <c r="C48" s="597" t="s">
        <v>193</v>
      </c>
      <c r="D48" s="598"/>
      <c r="E48" s="598"/>
      <c r="F48" s="644" t="s">
        <v>100</v>
      </c>
      <c r="G48" s="600"/>
      <c r="H48" s="233"/>
      <c r="I48" s="281"/>
      <c r="J48" s="271"/>
      <c r="K48" s="234"/>
      <c r="L48" s="235"/>
      <c r="M48" s="203"/>
      <c r="N48" s="275"/>
      <c r="O48" s="275"/>
      <c r="P48" s="275"/>
      <c r="Q48" s="275"/>
    </row>
    <row r="49" spans="2:17" ht="15.75" thickBot="1" x14ac:dyDescent="0.3">
      <c r="B49" s="592"/>
      <c r="C49" s="601"/>
      <c r="D49" s="602"/>
      <c r="E49" s="602"/>
      <c r="F49" s="602"/>
      <c r="G49" s="602"/>
      <c r="H49" s="602"/>
      <c r="I49" s="602"/>
      <c r="J49" s="602"/>
      <c r="K49" s="602"/>
      <c r="L49" s="603"/>
      <c r="M49" s="203"/>
      <c r="N49" s="275"/>
      <c r="O49" s="275"/>
      <c r="P49" s="275"/>
      <c r="Q49" s="275"/>
    </row>
    <row r="50" spans="2:17" ht="16.5" thickBot="1" x14ac:dyDescent="0.3">
      <c r="B50" s="592"/>
      <c r="C50" s="236" t="s">
        <v>194</v>
      </c>
      <c r="D50" s="193"/>
      <c r="E50" s="604"/>
      <c r="F50" s="605"/>
      <c r="G50" s="237" t="s">
        <v>195</v>
      </c>
      <c r="H50" s="238" t="s">
        <v>196</v>
      </c>
      <c r="I50" s="239" t="s">
        <v>197</v>
      </c>
      <c r="J50" s="239" t="s">
        <v>198</v>
      </c>
      <c r="K50" s="240" t="s">
        <v>199</v>
      </c>
      <c r="L50" s="235"/>
      <c r="M50" s="199"/>
      <c r="N50" s="275"/>
      <c r="O50" s="275"/>
      <c r="P50" s="275"/>
      <c r="Q50" s="275"/>
    </row>
    <row r="51" spans="2:17" ht="15.75" thickBot="1" x14ac:dyDescent="0.3">
      <c r="B51" s="592"/>
      <c r="C51" s="389"/>
      <c r="D51" s="390"/>
      <c r="E51" s="645" t="s">
        <v>104</v>
      </c>
      <c r="F51" s="646"/>
      <c r="G51" s="200"/>
      <c r="H51" s="253"/>
      <c r="I51" s="244">
        <f>H47</f>
        <v>1</v>
      </c>
      <c r="J51" s="245"/>
      <c r="K51" s="243">
        <f>G51*H51*I51</f>
        <v>0</v>
      </c>
      <c r="L51" s="235"/>
      <c r="M51" s="210"/>
      <c r="N51" s="275"/>
      <c r="O51" s="275"/>
      <c r="P51" s="275"/>
      <c r="Q51" s="275"/>
    </row>
    <row r="52" spans="2:17" ht="15.75" thickBot="1" x14ac:dyDescent="0.3">
      <c r="B52" s="592"/>
      <c r="C52" s="389"/>
      <c r="D52" s="390"/>
      <c r="E52" s="645" t="s">
        <v>108</v>
      </c>
      <c r="F52" s="647"/>
      <c r="G52" s="200"/>
      <c r="H52" s="253"/>
      <c r="I52" s="244">
        <f>H47</f>
        <v>1</v>
      </c>
      <c r="J52" s="258"/>
      <c r="K52" s="243">
        <f t="shared" ref="K52:K60" si="2">G52*H52*I52</f>
        <v>0</v>
      </c>
      <c r="L52" s="235"/>
      <c r="M52" s="261"/>
      <c r="N52" s="275"/>
      <c r="O52" s="204"/>
      <c r="P52" s="275"/>
      <c r="Q52" s="275"/>
    </row>
    <row r="53" spans="2:17" ht="15.75" thickBot="1" x14ac:dyDescent="0.3">
      <c r="B53" s="592"/>
      <c r="C53" s="389"/>
      <c r="D53" s="390"/>
      <c r="E53" s="645" t="s">
        <v>111</v>
      </c>
      <c r="F53" s="647"/>
      <c r="G53" s="200"/>
      <c r="H53" s="253"/>
      <c r="I53" s="244">
        <f>H47</f>
        <v>1</v>
      </c>
      <c r="J53" s="258"/>
      <c r="K53" s="243">
        <f t="shared" si="2"/>
        <v>0</v>
      </c>
      <c r="L53" s="235"/>
      <c r="M53" s="261"/>
      <c r="N53" s="275"/>
      <c r="O53" s="204"/>
      <c r="P53" s="275"/>
      <c r="Q53" s="275"/>
    </row>
    <row r="54" spans="2:17" ht="15.75" thickBot="1" x14ac:dyDescent="0.3">
      <c r="B54" s="592"/>
      <c r="C54" s="389"/>
      <c r="D54" s="390"/>
      <c r="E54" s="645" t="s">
        <v>113</v>
      </c>
      <c r="F54" s="647"/>
      <c r="G54" s="200"/>
      <c r="H54" s="253"/>
      <c r="I54" s="244">
        <f>H47</f>
        <v>1</v>
      </c>
      <c r="J54" s="258"/>
      <c r="K54" s="243">
        <f t="shared" si="2"/>
        <v>0</v>
      </c>
      <c r="L54" s="235"/>
      <c r="M54" s="261"/>
      <c r="N54" s="275"/>
      <c r="O54" s="204"/>
      <c r="P54" s="275"/>
      <c r="Q54" s="275"/>
    </row>
    <row r="55" spans="2:17" ht="15.75" thickBot="1" x14ac:dyDescent="0.3">
      <c r="B55" s="592"/>
      <c r="C55" s="389"/>
      <c r="D55" s="390"/>
      <c r="E55" s="392"/>
      <c r="F55" s="393" t="s">
        <v>115</v>
      </c>
      <c r="G55" s="200"/>
      <c r="H55" s="253"/>
      <c r="I55" s="244">
        <f>H47</f>
        <v>1</v>
      </c>
      <c r="J55" s="258"/>
      <c r="K55" s="243">
        <f t="shared" si="2"/>
        <v>0</v>
      </c>
      <c r="L55" s="235"/>
      <c r="M55" s="261"/>
      <c r="N55" s="275"/>
      <c r="O55" s="204"/>
      <c r="P55" s="275"/>
      <c r="Q55" s="275"/>
    </row>
    <row r="56" spans="2:17" ht="15.75" thickBot="1" x14ac:dyDescent="0.3">
      <c r="B56" s="592"/>
      <c r="C56" s="389"/>
      <c r="D56" s="390"/>
      <c r="E56" s="645" t="s">
        <v>117</v>
      </c>
      <c r="F56" s="647"/>
      <c r="G56" s="200"/>
      <c r="H56" s="253"/>
      <c r="I56" s="244">
        <f>H47</f>
        <v>1</v>
      </c>
      <c r="J56" s="258"/>
      <c r="K56" s="243">
        <f t="shared" si="2"/>
        <v>0</v>
      </c>
      <c r="L56" s="235"/>
      <c r="M56" s="261"/>
      <c r="N56" s="275"/>
      <c r="O56" s="204"/>
      <c r="P56" s="275"/>
      <c r="Q56" s="275"/>
    </row>
    <row r="57" spans="2:17" ht="15.75" thickBot="1" x14ac:dyDescent="0.3">
      <c r="B57" s="592"/>
      <c r="C57" s="389"/>
      <c r="D57" s="390"/>
      <c r="E57" s="648" t="s">
        <v>120</v>
      </c>
      <c r="F57" s="647"/>
      <c r="G57" s="200"/>
      <c r="H57" s="253"/>
      <c r="I57" s="244">
        <f>H47</f>
        <v>1</v>
      </c>
      <c r="J57" s="259"/>
      <c r="K57" s="243">
        <f t="shared" si="2"/>
        <v>0</v>
      </c>
      <c r="L57" s="235"/>
      <c r="M57" s="261"/>
      <c r="N57" s="275"/>
      <c r="O57" s="204"/>
      <c r="P57" s="275"/>
      <c r="Q57" s="275"/>
    </row>
    <row r="58" spans="2:17" ht="15.75" thickBot="1" x14ac:dyDescent="0.3">
      <c r="B58" s="592"/>
      <c r="C58" s="395"/>
      <c r="D58" s="396"/>
      <c r="E58" s="648" t="s">
        <v>200</v>
      </c>
      <c r="F58" s="647"/>
      <c r="G58" s="200"/>
      <c r="H58" s="253"/>
      <c r="I58" s="244">
        <f>H47</f>
        <v>1</v>
      </c>
      <c r="J58" s="259"/>
      <c r="K58" s="243">
        <f t="shared" si="2"/>
        <v>0</v>
      </c>
      <c r="L58" s="235"/>
      <c r="M58" s="261"/>
      <c r="N58" s="275"/>
      <c r="O58" s="204"/>
      <c r="P58" s="275"/>
      <c r="Q58" s="275"/>
    </row>
    <row r="59" spans="2:17" ht="15.75" thickBot="1" x14ac:dyDescent="0.3">
      <c r="B59" s="592"/>
      <c r="C59" s="389"/>
      <c r="D59" s="390"/>
      <c r="E59" s="648" t="s">
        <v>275</v>
      </c>
      <c r="F59" s="647"/>
      <c r="G59" s="200"/>
      <c r="H59" s="253"/>
      <c r="I59" s="244">
        <f>H47</f>
        <v>1</v>
      </c>
      <c r="J59" s="259"/>
      <c r="K59" s="243">
        <f t="shared" si="2"/>
        <v>0</v>
      </c>
      <c r="L59" s="235"/>
      <c r="M59" s="261"/>
      <c r="N59" s="275"/>
      <c r="O59" s="204"/>
      <c r="P59" s="275"/>
      <c r="Q59" s="275"/>
    </row>
    <row r="60" spans="2:17" ht="15.75" thickBot="1" x14ac:dyDescent="0.3">
      <c r="B60" s="592"/>
      <c r="C60" s="389"/>
      <c r="D60" s="390"/>
      <c r="E60" s="608" t="s">
        <v>32</v>
      </c>
      <c r="F60" s="609"/>
      <c r="G60" s="200"/>
      <c r="H60" s="255"/>
      <c r="I60" s="200"/>
      <c r="J60" s="253"/>
      <c r="K60" s="243">
        <f t="shared" si="2"/>
        <v>0</v>
      </c>
      <c r="L60" s="235"/>
      <c r="M60" s="210"/>
      <c r="N60" s="275"/>
      <c r="O60" s="275"/>
      <c r="P60" s="275"/>
      <c r="Q60" s="275"/>
    </row>
    <row r="61" spans="2:17" ht="15" customHeight="1" x14ac:dyDescent="0.25">
      <c r="B61" s="592"/>
      <c r="C61" s="389"/>
      <c r="D61" s="610" t="s">
        <v>201</v>
      </c>
      <c r="E61" s="610"/>
      <c r="F61" s="610"/>
      <c r="G61" s="610"/>
      <c r="H61" s="610"/>
      <c r="I61" s="610"/>
      <c r="J61" s="610"/>
      <c r="K61" s="610"/>
      <c r="L61" s="246"/>
      <c r="M61" s="210"/>
      <c r="N61" s="275"/>
      <c r="O61" s="275"/>
      <c r="P61" s="275"/>
      <c r="Q61" s="275"/>
    </row>
    <row r="62" spans="2:17" x14ac:dyDescent="0.25">
      <c r="B62" s="592"/>
      <c r="C62" s="247"/>
      <c r="D62" s="610"/>
      <c r="E62" s="610"/>
      <c r="F62" s="610"/>
      <c r="G62" s="610"/>
      <c r="H62" s="610"/>
      <c r="I62" s="610"/>
      <c r="J62" s="610"/>
      <c r="K62" s="610"/>
      <c r="L62" s="246"/>
      <c r="M62" s="210"/>
      <c r="N62" s="180"/>
      <c r="O62" s="275"/>
      <c r="P62" s="275"/>
      <c r="Q62" s="275"/>
    </row>
    <row r="63" spans="2:17" ht="15.75" thickBot="1" x14ac:dyDescent="0.3">
      <c r="B63" s="592"/>
      <c r="C63" s="387"/>
      <c r="D63" s="388"/>
      <c r="E63" s="388"/>
      <c r="F63" s="388"/>
      <c r="G63" s="388"/>
      <c r="H63" s="388"/>
      <c r="I63" s="388"/>
      <c r="J63" s="388"/>
      <c r="K63" s="388"/>
      <c r="L63" s="248"/>
      <c r="M63" s="210"/>
      <c r="N63" s="180"/>
      <c r="O63" s="275"/>
      <c r="P63" s="275"/>
      <c r="Q63" s="275"/>
    </row>
    <row r="64" spans="2:17" ht="52.5" thickBot="1" x14ac:dyDescent="0.3">
      <c r="B64" s="592"/>
      <c r="C64" s="236" t="s">
        <v>202</v>
      </c>
      <c r="D64" s="193"/>
      <c r="E64" s="611"/>
      <c r="F64" s="612"/>
      <c r="G64" s="249" t="s">
        <v>203</v>
      </c>
      <c r="H64" s="250" t="s">
        <v>204</v>
      </c>
      <c r="I64" s="251" t="s">
        <v>199</v>
      </c>
      <c r="J64" s="390"/>
      <c r="K64" s="390"/>
      <c r="L64" s="235"/>
      <c r="M64" s="205"/>
      <c r="N64" s="290"/>
      <c r="O64" s="290">
        <f>G47-F47+1</f>
        <v>1</v>
      </c>
      <c r="P64" s="290">
        <f>IF(OR(O64=366,O64=365),52,(ROUNDUP(O64/7,0)))</f>
        <v>1</v>
      </c>
      <c r="Q64" s="275"/>
    </row>
    <row r="65" spans="2:17" ht="15.75" thickBot="1" x14ac:dyDescent="0.3">
      <c r="B65" s="592"/>
      <c r="C65" s="387"/>
      <c r="D65" s="390"/>
      <c r="E65" s="613" t="s">
        <v>205</v>
      </c>
      <c r="F65" s="614"/>
      <c r="G65" s="214"/>
      <c r="H65" s="215"/>
      <c r="I65" s="201">
        <f>G65*H65</f>
        <v>0</v>
      </c>
      <c r="J65" s="390"/>
      <c r="K65" s="390"/>
      <c r="L65" s="235"/>
      <c r="M65" s="210"/>
      <c r="N65" s="180"/>
      <c r="O65" s="197"/>
      <c r="P65" s="275"/>
      <c r="Q65" s="275"/>
    </row>
    <row r="66" spans="2:17" ht="15.75" thickBot="1" x14ac:dyDescent="0.3">
      <c r="B66" s="592"/>
      <c r="C66" s="387"/>
      <c r="D66" s="390"/>
      <c r="E66" s="615" t="s">
        <v>206</v>
      </c>
      <c r="F66" s="616"/>
      <c r="G66" s="216"/>
      <c r="H66" s="217"/>
      <c r="I66" s="201">
        <f t="shared" ref="I66:I69" si="3">G66*H66</f>
        <v>0</v>
      </c>
      <c r="J66" s="390"/>
      <c r="K66" s="390"/>
      <c r="L66" s="235"/>
      <c r="M66" s="180"/>
      <c r="N66" s="180"/>
      <c r="O66" s="275"/>
      <c r="P66" s="275"/>
      <c r="Q66" s="275"/>
    </row>
    <row r="67" spans="2:17" ht="15.75" thickBot="1" x14ac:dyDescent="0.3">
      <c r="B67" s="592"/>
      <c r="C67" s="387"/>
      <c r="D67" s="390"/>
      <c r="E67" s="615" t="s">
        <v>207</v>
      </c>
      <c r="F67" s="616"/>
      <c r="G67" s="216"/>
      <c r="H67" s="217"/>
      <c r="I67" s="201">
        <f t="shared" si="3"/>
        <v>0</v>
      </c>
      <c r="J67" s="390"/>
      <c r="K67" s="390"/>
      <c r="L67" s="235"/>
      <c r="M67" s="210"/>
      <c r="N67" s="275"/>
      <c r="O67" s="275"/>
      <c r="P67" s="275"/>
      <c r="Q67" s="275"/>
    </row>
    <row r="68" spans="2:17" ht="15.75" thickBot="1" x14ac:dyDescent="0.3">
      <c r="B68" s="592"/>
      <c r="C68" s="387"/>
      <c r="D68" s="390"/>
      <c r="E68" s="617" t="s">
        <v>208</v>
      </c>
      <c r="F68" s="618"/>
      <c r="G68" s="216"/>
      <c r="H68" s="217"/>
      <c r="I68" s="201">
        <f t="shared" si="3"/>
        <v>0</v>
      </c>
      <c r="J68" s="390"/>
      <c r="K68" s="390"/>
      <c r="L68" s="235"/>
      <c r="M68" s="210"/>
      <c r="N68" s="180"/>
      <c r="O68" s="275"/>
      <c r="P68" s="275"/>
      <c r="Q68" s="275"/>
    </row>
    <row r="69" spans="2:17" ht="15.75" thickBot="1" x14ac:dyDescent="0.3">
      <c r="B69" s="593"/>
      <c r="C69" s="371"/>
      <c r="D69" s="391"/>
      <c r="E69" s="619" t="s">
        <v>209</v>
      </c>
      <c r="F69" s="620"/>
      <c r="G69" s="372"/>
      <c r="H69" s="373"/>
      <c r="I69" s="374">
        <f t="shared" si="3"/>
        <v>0</v>
      </c>
      <c r="J69" s="391"/>
      <c r="K69" s="375"/>
      <c r="L69" s="232"/>
      <c r="M69" s="210"/>
      <c r="N69" s="275"/>
      <c r="O69" s="275"/>
      <c r="P69" s="275"/>
      <c r="Q69" s="275"/>
    </row>
    <row r="70" spans="2:17" ht="15.75" thickBot="1" x14ac:dyDescent="0.3"/>
    <row r="71" spans="2:17" ht="39.75" thickBot="1" x14ac:dyDescent="0.3">
      <c r="B71" s="591">
        <v>3</v>
      </c>
      <c r="C71" s="225" t="s">
        <v>183</v>
      </c>
      <c r="D71" s="221"/>
      <c r="E71" s="226"/>
      <c r="F71" s="226" t="s">
        <v>184</v>
      </c>
      <c r="G71" s="226" t="s">
        <v>185</v>
      </c>
      <c r="H71" s="220" t="s">
        <v>186</v>
      </c>
      <c r="I71" s="226" t="s">
        <v>187</v>
      </c>
      <c r="J71" s="227" t="s">
        <v>188</v>
      </c>
      <c r="K71" s="228" t="s">
        <v>189</v>
      </c>
      <c r="L71" s="229" t="s">
        <v>190</v>
      </c>
      <c r="M71" s="210"/>
      <c r="N71" s="180"/>
      <c r="O71" s="197"/>
      <c r="P71" s="275" t="s">
        <v>191</v>
      </c>
      <c r="Q71" s="275">
        <f>IF(F73="Exempt all taxes",0,(J72*FICA)+(J72*Medicare))</f>
        <v>0</v>
      </c>
    </row>
    <row r="72" spans="2:17" ht="15.75" thickBot="1" x14ac:dyDescent="0.3">
      <c r="B72" s="592"/>
      <c r="C72" s="594"/>
      <c r="D72" s="595"/>
      <c r="E72" s="596"/>
      <c r="F72" s="211"/>
      <c r="G72" s="212"/>
      <c r="H72" s="282">
        <f>P89</f>
        <v>1</v>
      </c>
      <c r="I72" s="213"/>
      <c r="J72" s="230">
        <f t="shared" ref="J72" si="4">(SUM(K76:K85))+(SUM(I90:I94))</f>
        <v>0</v>
      </c>
      <c r="K72" s="231">
        <f t="shared" ref="K72" si="5">IF(F73="No",Q72,Q71)</f>
        <v>0</v>
      </c>
      <c r="L72" s="232">
        <f t="shared" ref="L72" si="6">SUM(J72:K72)</f>
        <v>0</v>
      </c>
      <c r="M72" s="180"/>
      <c r="N72" s="281">
        <f t="shared" ref="N72" si="7">IF(ISNUMBER(L72),L72,0)</f>
        <v>0</v>
      </c>
      <c r="O72" s="275"/>
      <c r="P72" s="275" t="s">
        <v>192</v>
      </c>
      <c r="Q72" s="257">
        <f>IF(J72&gt;=SUTA_Max,((FUTA_Max*FUTA)+(SUTA_Max*I72)+(J72*FICA)+(J72*Medicare)),IF(J72&gt;=FUTA_Max,((FUTA_Max*FUTA)+(J72*I72)+(J72*FICA)+(J72*Medicare)),IF(J72&lt;FUTA_Max,(J72*(Total_Tax+I72)))))</f>
        <v>0</v>
      </c>
    </row>
    <row r="73" spans="2:17" ht="15.75" thickBot="1" x14ac:dyDescent="0.3">
      <c r="B73" s="592"/>
      <c r="C73" s="597" t="s">
        <v>193</v>
      </c>
      <c r="D73" s="598"/>
      <c r="E73" s="598"/>
      <c r="F73" s="644" t="s">
        <v>100</v>
      </c>
      <c r="G73" s="600"/>
      <c r="H73" s="233"/>
      <c r="I73" s="281"/>
      <c r="J73" s="271"/>
      <c r="K73" s="234"/>
      <c r="L73" s="235"/>
      <c r="M73" s="203"/>
      <c r="N73" s="275"/>
      <c r="O73" s="275"/>
      <c r="P73" s="275"/>
      <c r="Q73" s="275"/>
    </row>
    <row r="74" spans="2:17" ht="15.75" thickBot="1" x14ac:dyDescent="0.3">
      <c r="B74" s="592"/>
      <c r="C74" s="601"/>
      <c r="D74" s="602"/>
      <c r="E74" s="602"/>
      <c r="F74" s="602"/>
      <c r="G74" s="602"/>
      <c r="H74" s="602"/>
      <c r="I74" s="602"/>
      <c r="J74" s="602"/>
      <c r="K74" s="602"/>
      <c r="L74" s="603"/>
      <c r="M74" s="203"/>
      <c r="N74" s="275"/>
      <c r="O74" s="275"/>
      <c r="P74" s="275"/>
      <c r="Q74" s="275"/>
    </row>
    <row r="75" spans="2:17" ht="16.5" thickBot="1" x14ac:dyDescent="0.3">
      <c r="B75" s="592"/>
      <c r="C75" s="236" t="s">
        <v>194</v>
      </c>
      <c r="D75" s="193"/>
      <c r="E75" s="604"/>
      <c r="F75" s="605"/>
      <c r="G75" s="237" t="s">
        <v>195</v>
      </c>
      <c r="H75" s="238" t="s">
        <v>196</v>
      </c>
      <c r="I75" s="239" t="s">
        <v>197</v>
      </c>
      <c r="J75" s="239" t="s">
        <v>198</v>
      </c>
      <c r="K75" s="240" t="s">
        <v>199</v>
      </c>
      <c r="L75" s="235"/>
      <c r="M75" s="199"/>
      <c r="N75" s="275"/>
      <c r="O75" s="275"/>
      <c r="P75" s="275"/>
      <c r="Q75" s="275"/>
    </row>
    <row r="76" spans="2:17" ht="15.75" thickBot="1" x14ac:dyDescent="0.3">
      <c r="B76" s="592"/>
      <c r="C76" s="389"/>
      <c r="D76" s="390"/>
      <c r="E76" s="645" t="s">
        <v>104</v>
      </c>
      <c r="F76" s="646"/>
      <c r="G76" s="200"/>
      <c r="H76" s="253"/>
      <c r="I76" s="244">
        <f t="shared" ref="I76" si="8">H72</f>
        <v>1</v>
      </c>
      <c r="J76" s="245"/>
      <c r="K76" s="243">
        <f t="shared" ref="K76:K85" si="9">G76*H76*I76</f>
        <v>0</v>
      </c>
      <c r="L76" s="235"/>
      <c r="M76" s="210"/>
      <c r="N76" s="275"/>
      <c r="O76" s="275"/>
      <c r="P76" s="275"/>
      <c r="Q76" s="275"/>
    </row>
    <row r="77" spans="2:17" ht="15.75" thickBot="1" x14ac:dyDescent="0.3">
      <c r="B77" s="592"/>
      <c r="C77" s="389"/>
      <c r="D77" s="390"/>
      <c r="E77" s="645" t="s">
        <v>108</v>
      </c>
      <c r="F77" s="647"/>
      <c r="G77" s="200"/>
      <c r="H77" s="253"/>
      <c r="I77" s="244">
        <f t="shared" ref="I77" si="10">H72</f>
        <v>1</v>
      </c>
      <c r="J77" s="258"/>
      <c r="K77" s="243">
        <f t="shared" si="9"/>
        <v>0</v>
      </c>
      <c r="L77" s="235"/>
      <c r="M77" s="261"/>
      <c r="N77" s="275"/>
      <c r="O77" s="204"/>
      <c r="P77" s="275"/>
      <c r="Q77" s="275"/>
    </row>
    <row r="78" spans="2:17" ht="15.75" thickBot="1" x14ac:dyDescent="0.3">
      <c r="B78" s="592"/>
      <c r="C78" s="389"/>
      <c r="D78" s="390"/>
      <c r="E78" s="645" t="s">
        <v>111</v>
      </c>
      <c r="F78" s="647"/>
      <c r="G78" s="200"/>
      <c r="H78" s="253"/>
      <c r="I78" s="244">
        <f t="shared" ref="I78" si="11">H72</f>
        <v>1</v>
      </c>
      <c r="J78" s="258"/>
      <c r="K78" s="243">
        <f t="shared" si="9"/>
        <v>0</v>
      </c>
      <c r="L78" s="235"/>
      <c r="M78" s="261"/>
      <c r="N78" s="275"/>
      <c r="O78" s="204"/>
      <c r="P78" s="275"/>
      <c r="Q78" s="275"/>
    </row>
    <row r="79" spans="2:17" ht="15.75" thickBot="1" x14ac:dyDescent="0.3">
      <c r="B79" s="592"/>
      <c r="C79" s="389"/>
      <c r="D79" s="390"/>
      <c r="E79" s="645" t="s">
        <v>113</v>
      </c>
      <c r="F79" s="647"/>
      <c r="G79" s="200"/>
      <c r="H79" s="253"/>
      <c r="I79" s="244">
        <f t="shared" ref="I79" si="12">H72</f>
        <v>1</v>
      </c>
      <c r="J79" s="258"/>
      <c r="K79" s="243">
        <f t="shared" si="9"/>
        <v>0</v>
      </c>
      <c r="L79" s="235"/>
      <c r="M79" s="261"/>
      <c r="N79" s="275"/>
      <c r="O79" s="204"/>
      <c r="P79" s="275"/>
      <c r="Q79" s="275"/>
    </row>
    <row r="80" spans="2:17" ht="15.75" thickBot="1" x14ac:dyDescent="0.3">
      <c r="B80" s="592"/>
      <c r="C80" s="389"/>
      <c r="D80" s="390"/>
      <c r="E80" s="392"/>
      <c r="F80" s="393" t="s">
        <v>115</v>
      </c>
      <c r="G80" s="200"/>
      <c r="H80" s="253"/>
      <c r="I80" s="244">
        <f t="shared" ref="I80" si="13">H72</f>
        <v>1</v>
      </c>
      <c r="J80" s="258"/>
      <c r="K80" s="243">
        <f t="shared" si="9"/>
        <v>0</v>
      </c>
      <c r="L80" s="235"/>
      <c r="M80" s="261"/>
      <c r="N80" s="275"/>
      <c r="O80" s="204"/>
      <c r="P80" s="275"/>
      <c r="Q80" s="275"/>
    </row>
    <row r="81" spans="2:17" ht="15.75" thickBot="1" x14ac:dyDescent="0.3">
      <c r="B81" s="592"/>
      <c r="C81" s="389"/>
      <c r="D81" s="390"/>
      <c r="E81" s="645" t="s">
        <v>117</v>
      </c>
      <c r="F81" s="647"/>
      <c r="G81" s="200"/>
      <c r="H81" s="253"/>
      <c r="I81" s="244">
        <f t="shared" ref="I81" si="14">H72</f>
        <v>1</v>
      </c>
      <c r="J81" s="258"/>
      <c r="K81" s="243">
        <f t="shared" si="9"/>
        <v>0</v>
      </c>
      <c r="L81" s="235"/>
      <c r="M81" s="261"/>
      <c r="N81" s="275"/>
      <c r="O81" s="204"/>
      <c r="P81" s="275"/>
      <c r="Q81" s="275"/>
    </row>
    <row r="82" spans="2:17" ht="15.75" thickBot="1" x14ac:dyDescent="0.3">
      <c r="B82" s="592"/>
      <c r="C82" s="389"/>
      <c r="D82" s="390"/>
      <c r="E82" s="648" t="s">
        <v>120</v>
      </c>
      <c r="F82" s="647"/>
      <c r="G82" s="200"/>
      <c r="H82" s="253"/>
      <c r="I82" s="244">
        <f t="shared" ref="I82" si="15">H72</f>
        <v>1</v>
      </c>
      <c r="J82" s="259"/>
      <c r="K82" s="243">
        <f t="shared" si="9"/>
        <v>0</v>
      </c>
      <c r="L82" s="235"/>
      <c r="M82" s="261"/>
      <c r="N82" s="275"/>
      <c r="O82" s="204"/>
      <c r="P82" s="275"/>
      <c r="Q82" s="275"/>
    </row>
    <row r="83" spans="2:17" ht="15.75" thickBot="1" x14ac:dyDescent="0.3">
      <c r="B83" s="592"/>
      <c r="C83" s="395"/>
      <c r="D83" s="396"/>
      <c r="E83" s="648" t="s">
        <v>200</v>
      </c>
      <c r="F83" s="647"/>
      <c r="G83" s="200"/>
      <c r="H83" s="253"/>
      <c r="I83" s="244">
        <f>H72</f>
        <v>1</v>
      </c>
      <c r="J83" s="259"/>
      <c r="K83" s="243">
        <f t="shared" si="9"/>
        <v>0</v>
      </c>
      <c r="L83" s="235"/>
      <c r="M83" s="261"/>
      <c r="N83" s="275"/>
      <c r="O83" s="204"/>
      <c r="P83" s="275"/>
      <c r="Q83" s="275"/>
    </row>
    <row r="84" spans="2:17" ht="15.75" thickBot="1" x14ac:dyDescent="0.3">
      <c r="B84" s="592"/>
      <c r="C84" s="389"/>
      <c r="D84" s="390"/>
      <c r="E84" s="648" t="s">
        <v>275</v>
      </c>
      <c r="F84" s="647"/>
      <c r="G84" s="200"/>
      <c r="H84" s="253"/>
      <c r="I84" s="244">
        <f t="shared" ref="I84" si="16">H72</f>
        <v>1</v>
      </c>
      <c r="J84" s="259"/>
      <c r="K84" s="243">
        <f t="shared" si="9"/>
        <v>0</v>
      </c>
      <c r="L84" s="235"/>
      <c r="M84" s="261"/>
      <c r="N84" s="275"/>
      <c r="O84" s="204"/>
      <c r="P84" s="275"/>
      <c r="Q84" s="275"/>
    </row>
    <row r="85" spans="2:17" ht="15.75" thickBot="1" x14ac:dyDescent="0.3">
      <c r="B85" s="592"/>
      <c r="C85" s="389"/>
      <c r="D85" s="390"/>
      <c r="E85" s="608" t="s">
        <v>32</v>
      </c>
      <c r="F85" s="609"/>
      <c r="G85" s="200"/>
      <c r="H85" s="255"/>
      <c r="I85" s="200"/>
      <c r="J85" s="253"/>
      <c r="K85" s="243">
        <f t="shared" si="9"/>
        <v>0</v>
      </c>
      <c r="L85" s="235"/>
      <c r="M85" s="210"/>
      <c r="N85" s="275"/>
      <c r="O85" s="275"/>
      <c r="P85" s="275"/>
      <c r="Q85" s="275"/>
    </row>
    <row r="86" spans="2:17" ht="15" customHeight="1" x14ac:dyDescent="0.25">
      <c r="B86" s="592"/>
      <c r="C86" s="389"/>
      <c r="D86" s="610" t="s">
        <v>201</v>
      </c>
      <c r="E86" s="610"/>
      <c r="F86" s="610"/>
      <c r="G86" s="610"/>
      <c r="H86" s="610"/>
      <c r="I86" s="610"/>
      <c r="J86" s="610"/>
      <c r="K86" s="610"/>
      <c r="L86" s="246"/>
      <c r="M86" s="210"/>
      <c r="N86" s="275"/>
      <c r="O86" s="275"/>
      <c r="P86" s="275"/>
      <c r="Q86" s="275"/>
    </row>
    <row r="87" spans="2:17" x14ac:dyDescent="0.25">
      <c r="B87" s="592"/>
      <c r="C87" s="247"/>
      <c r="D87" s="610"/>
      <c r="E87" s="610"/>
      <c r="F87" s="610"/>
      <c r="G87" s="610"/>
      <c r="H87" s="610"/>
      <c r="I87" s="610"/>
      <c r="J87" s="610"/>
      <c r="K87" s="610"/>
      <c r="L87" s="246"/>
      <c r="M87" s="210"/>
      <c r="N87" s="180"/>
      <c r="O87" s="275"/>
      <c r="P87" s="275"/>
      <c r="Q87" s="275"/>
    </row>
    <row r="88" spans="2:17" ht="15.75" thickBot="1" x14ac:dyDescent="0.3">
      <c r="B88" s="592"/>
      <c r="C88" s="387"/>
      <c r="D88" s="388"/>
      <c r="E88" s="388"/>
      <c r="F88" s="388"/>
      <c r="G88" s="388"/>
      <c r="H88" s="388"/>
      <c r="I88" s="388"/>
      <c r="J88" s="388"/>
      <c r="K88" s="388"/>
      <c r="L88" s="248"/>
      <c r="M88" s="210"/>
      <c r="N88" s="180"/>
      <c r="O88" s="275"/>
      <c r="P88" s="275"/>
      <c r="Q88" s="275"/>
    </row>
    <row r="89" spans="2:17" ht="52.5" thickBot="1" x14ac:dyDescent="0.3">
      <c r="B89" s="592"/>
      <c r="C89" s="236" t="s">
        <v>202</v>
      </c>
      <c r="D89" s="193"/>
      <c r="E89" s="611"/>
      <c r="F89" s="612"/>
      <c r="G89" s="249" t="s">
        <v>203</v>
      </c>
      <c r="H89" s="250" t="s">
        <v>204</v>
      </c>
      <c r="I89" s="251" t="s">
        <v>199</v>
      </c>
      <c r="J89" s="390"/>
      <c r="K89" s="390"/>
      <c r="L89" s="235"/>
      <c r="M89" s="205"/>
      <c r="N89" s="290"/>
      <c r="O89" s="290">
        <f>G72-F72+1</f>
        <v>1</v>
      </c>
      <c r="P89" s="290">
        <f>IF(OR(O89=366,O89=365),52,(ROUNDUP(O89/7,0)))</f>
        <v>1</v>
      </c>
      <c r="Q89" s="275"/>
    </row>
    <row r="90" spans="2:17" ht="15.75" thickBot="1" x14ac:dyDescent="0.3">
      <c r="B90" s="592"/>
      <c r="C90" s="387"/>
      <c r="D90" s="390"/>
      <c r="E90" s="613" t="s">
        <v>205</v>
      </c>
      <c r="F90" s="614"/>
      <c r="G90" s="214"/>
      <c r="H90" s="215"/>
      <c r="I90" s="201">
        <f t="shared" ref="I90:I94" si="17">G90*H90</f>
        <v>0</v>
      </c>
      <c r="J90" s="390"/>
      <c r="K90" s="390"/>
      <c r="L90" s="235"/>
      <c r="M90" s="210"/>
      <c r="N90" s="180"/>
      <c r="O90" s="197"/>
      <c r="P90" s="275"/>
      <c r="Q90" s="275"/>
    </row>
    <row r="91" spans="2:17" ht="15.75" thickBot="1" x14ac:dyDescent="0.3">
      <c r="B91" s="592"/>
      <c r="C91" s="387"/>
      <c r="D91" s="390"/>
      <c r="E91" s="615" t="s">
        <v>206</v>
      </c>
      <c r="F91" s="616"/>
      <c r="G91" s="216"/>
      <c r="H91" s="217"/>
      <c r="I91" s="201">
        <f t="shared" si="17"/>
        <v>0</v>
      </c>
      <c r="J91" s="390"/>
      <c r="K91" s="390"/>
      <c r="L91" s="235"/>
      <c r="M91" s="180"/>
      <c r="N91" s="180"/>
      <c r="O91" s="275"/>
      <c r="P91" s="275"/>
      <c r="Q91" s="275"/>
    </row>
    <row r="92" spans="2:17" ht="15.75" thickBot="1" x14ac:dyDescent="0.3">
      <c r="B92" s="592"/>
      <c r="C92" s="387"/>
      <c r="D92" s="390"/>
      <c r="E92" s="615" t="s">
        <v>207</v>
      </c>
      <c r="F92" s="616"/>
      <c r="G92" s="216"/>
      <c r="H92" s="217"/>
      <c r="I92" s="201">
        <f t="shared" si="17"/>
        <v>0</v>
      </c>
      <c r="J92" s="390"/>
      <c r="K92" s="390"/>
      <c r="L92" s="235"/>
      <c r="M92" s="210"/>
      <c r="N92" s="275"/>
      <c r="O92" s="275"/>
      <c r="P92" s="275"/>
      <c r="Q92" s="275"/>
    </row>
    <row r="93" spans="2:17" ht="15.75" thickBot="1" x14ac:dyDescent="0.3">
      <c r="B93" s="592"/>
      <c r="C93" s="387"/>
      <c r="D93" s="390"/>
      <c r="E93" s="617" t="s">
        <v>208</v>
      </c>
      <c r="F93" s="618"/>
      <c r="G93" s="216"/>
      <c r="H93" s="217"/>
      <c r="I93" s="201">
        <f t="shared" si="17"/>
        <v>0</v>
      </c>
      <c r="J93" s="390"/>
      <c r="K93" s="390"/>
      <c r="L93" s="235"/>
      <c r="M93" s="210"/>
      <c r="N93" s="180"/>
      <c r="O93" s="275"/>
      <c r="P93" s="275"/>
      <c r="Q93" s="275"/>
    </row>
    <row r="94" spans="2:17" ht="15.75" thickBot="1" x14ac:dyDescent="0.3">
      <c r="B94" s="593"/>
      <c r="C94" s="371"/>
      <c r="D94" s="391"/>
      <c r="E94" s="619" t="s">
        <v>209</v>
      </c>
      <c r="F94" s="620"/>
      <c r="G94" s="372"/>
      <c r="H94" s="373"/>
      <c r="I94" s="374">
        <f t="shared" si="17"/>
        <v>0</v>
      </c>
      <c r="J94" s="391"/>
      <c r="K94" s="375"/>
      <c r="L94" s="232"/>
      <c r="M94" s="210"/>
      <c r="N94" s="275"/>
      <c r="O94" s="275"/>
      <c r="P94" s="275"/>
      <c r="Q94" s="275"/>
    </row>
    <row r="95" spans="2:17" ht="15.75" thickBot="1" x14ac:dyDescent="0.3"/>
    <row r="96" spans="2:17" ht="39.75" thickBot="1" x14ac:dyDescent="0.3">
      <c r="B96" s="591">
        <v>4</v>
      </c>
      <c r="C96" s="225" t="s">
        <v>183</v>
      </c>
      <c r="D96" s="221"/>
      <c r="E96" s="226"/>
      <c r="F96" s="226" t="s">
        <v>184</v>
      </c>
      <c r="G96" s="226" t="s">
        <v>185</v>
      </c>
      <c r="H96" s="220" t="s">
        <v>186</v>
      </c>
      <c r="I96" s="226" t="s">
        <v>187</v>
      </c>
      <c r="J96" s="227" t="s">
        <v>188</v>
      </c>
      <c r="K96" s="228" t="s">
        <v>189</v>
      </c>
      <c r="L96" s="229" t="s">
        <v>190</v>
      </c>
      <c r="M96" s="210"/>
      <c r="N96" s="180"/>
      <c r="O96" s="197"/>
      <c r="P96" s="275" t="s">
        <v>191</v>
      </c>
      <c r="Q96" s="275">
        <f>IF(F98="Exempt all taxes",0,(J97*FICA)+(J97*Medicare))</f>
        <v>0</v>
      </c>
    </row>
    <row r="97" spans="2:17" ht="15.75" thickBot="1" x14ac:dyDescent="0.3">
      <c r="B97" s="592"/>
      <c r="C97" s="594"/>
      <c r="D97" s="595"/>
      <c r="E97" s="596"/>
      <c r="F97" s="211"/>
      <c r="G97" s="212"/>
      <c r="H97" s="282">
        <f>P114</f>
        <v>1</v>
      </c>
      <c r="I97" s="213"/>
      <c r="J97" s="230">
        <f t="shared" ref="J97" si="18">(SUM(K101:K110))+(SUM(I115:I119))</f>
        <v>0</v>
      </c>
      <c r="K97" s="231">
        <f t="shared" ref="K97" si="19">IF(F98="No",Q97,Q96)</f>
        <v>0</v>
      </c>
      <c r="L97" s="232">
        <f t="shared" ref="L97" si="20">SUM(J97:K97)</f>
        <v>0</v>
      </c>
      <c r="M97" s="180"/>
      <c r="N97" s="281">
        <f t="shared" ref="N97" si="21">IF(ISNUMBER(L97),L97,0)</f>
        <v>0</v>
      </c>
      <c r="O97" s="275"/>
      <c r="P97" s="275" t="s">
        <v>192</v>
      </c>
      <c r="Q97" s="257">
        <f>IF(J97&gt;=SUTA_Max,((FUTA_Max*FUTA)+(SUTA_Max*I97)+(J97*FICA)+(J97*Medicare)),IF(J97&gt;=FUTA_Max,((FUTA_Max*FUTA)+(J97*I97)+(J97*FICA)+(J97*Medicare)),IF(J97&lt;FUTA_Max,(J97*(Total_Tax+I97)))))</f>
        <v>0</v>
      </c>
    </row>
    <row r="98" spans="2:17" ht="15.75" thickBot="1" x14ac:dyDescent="0.3">
      <c r="B98" s="592"/>
      <c r="C98" s="597" t="s">
        <v>193</v>
      </c>
      <c r="D98" s="598"/>
      <c r="E98" s="598"/>
      <c r="F98" s="644" t="s">
        <v>100</v>
      </c>
      <c r="G98" s="600"/>
      <c r="H98" s="233"/>
      <c r="I98" s="281"/>
      <c r="J98" s="271"/>
      <c r="K98" s="234"/>
      <c r="L98" s="235"/>
      <c r="M98" s="203"/>
      <c r="N98" s="275"/>
      <c r="O98" s="275"/>
      <c r="P98" s="275"/>
      <c r="Q98" s="275"/>
    </row>
    <row r="99" spans="2:17" ht="15.75" thickBot="1" x14ac:dyDescent="0.3">
      <c r="B99" s="592"/>
      <c r="C99" s="601"/>
      <c r="D99" s="602"/>
      <c r="E99" s="602"/>
      <c r="F99" s="602"/>
      <c r="G99" s="602"/>
      <c r="H99" s="602"/>
      <c r="I99" s="602"/>
      <c r="J99" s="602"/>
      <c r="K99" s="602"/>
      <c r="L99" s="603"/>
      <c r="M99" s="203"/>
      <c r="N99" s="275"/>
      <c r="O99" s="275"/>
      <c r="P99" s="275"/>
      <c r="Q99" s="275"/>
    </row>
    <row r="100" spans="2:17" ht="16.5" thickBot="1" x14ac:dyDescent="0.3">
      <c r="B100" s="592"/>
      <c r="C100" s="236" t="s">
        <v>194</v>
      </c>
      <c r="D100" s="193"/>
      <c r="E100" s="604"/>
      <c r="F100" s="605"/>
      <c r="G100" s="237" t="s">
        <v>195</v>
      </c>
      <c r="H100" s="238" t="s">
        <v>196</v>
      </c>
      <c r="I100" s="239" t="s">
        <v>197</v>
      </c>
      <c r="J100" s="239" t="s">
        <v>198</v>
      </c>
      <c r="K100" s="240" t="s">
        <v>199</v>
      </c>
      <c r="L100" s="235"/>
      <c r="M100" s="199"/>
      <c r="N100" s="275"/>
      <c r="O100" s="275"/>
      <c r="P100" s="275"/>
      <c r="Q100" s="275"/>
    </row>
    <row r="101" spans="2:17" ht="15.75" thickBot="1" x14ac:dyDescent="0.3">
      <c r="B101" s="592"/>
      <c r="C101" s="389"/>
      <c r="D101" s="390"/>
      <c r="E101" s="645" t="s">
        <v>104</v>
      </c>
      <c r="F101" s="646"/>
      <c r="G101" s="200"/>
      <c r="H101" s="253"/>
      <c r="I101" s="244">
        <f t="shared" ref="I101" si="22">H97</f>
        <v>1</v>
      </c>
      <c r="J101" s="245"/>
      <c r="K101" s="243">
        <f t="shared" ref="K101:K110" si="23">G101*H101*I101</f>
        <v>0</v>
      </c>
      <c r="L101" s="235"/>
      <c r="M101" s="210"/>
      <c r="N101" s="275"/>
      <c r="O101" s="275"/>
      <c r="P101" s="275"/>
      <c r="Q101" s="275"/>
    </row>
    <row r="102" spans="2:17" ht="15.75" thickBot="1" x14ac:dyDescent="0.3">
      <c r="B102" s="592"/>
      <c r="C102" s="389"/>
      <c r="D102" s="390"/>
      <c r="E102" s="645" t="s">
        <v>108</v>
      </c>
      <c r="F102" s="647"/>
      <c r="G102" s="200"/>
      <c r="H102" s="253"/>
      <c r="I102" s="244">
        <f t="shared" ref="I102" si="24">H97</f>
        <v>1</v>
      </c>
      <c r="J102" s="258"/>
      <c r="K102" s="243">
        <f t="shared" si="23"/>
        <v>0</v>
      </c>
      <c r="L102" s="235"/>
      <c r="M102" s="261"/>
      <c r="N102" s="275"/>
      <c r="O102" s="204"/>
      <c r="P102" s="275"/>
      <c r="Q102" s="275"/>
    </row>
    <row r="103" spans="2:17" ht="15.75" thickBot="1" x14ac:dyDescent="0.3">
      <c r="B103" s="592"/>
      <c r="C103" s="389"/>
      <c r="D103" s="390"/>
      <c r="E103" s="645" t="s">
        <v>111</v>
      </c>
      <c r="F103" s="647"/>
      <c r="G103" s="200"/>
      <c r="H103" s="253"/>
      <c r="I103" s="244">
        <f t="shared" ref="I103" si="25">H97</f>
        <v>1</v>
      </c>
      <c r="J103" s="258"/>
      <c r="K103" s="243">
        <f t="shared" si="23"/>
        <v>0</v>
      </c>
      <c r="L103" s="235"/>
      <c r="M103" s="261"/>
      <c r="N103" s="275"/>
      <c r="O103" s="204"/>
      <c r="P103" s="275"/>
      <c r="Q103" s="275"/>
    </row>
    <row r="104" spans="2:17" ht="15.75" thickBot="1" x14ac:dyDescent="0.3">
      <c r="B104" s="592"/>
      <c r="C104" s="389"/>
      <c r="D104" s="390"/>
      <c r="E104" s="645" t="s">
        <v>113</v>
      </c>
      <c r="F104" s="647"/>
      <c r="G104" s="200"/>
      <c r="H104" s="253"/>
      <c r="I104" s="244">
        <f t="shared" ref="I104" si="26">H97</f>
        <v>1</v>
      </c>
      <c r="J104" s="258"/>
      <c r="K104" s="243">
        <f t="shared" si="23"/>
        <v>0</v>
      </c>
      <c r="L104" s="235"/>
      <c r="M104" s="261"/>
      <c r="N104" s="275"/>
      <c r="O104" s="204"/>
      <c r="P104" s="275"/>
      <c r="Q104" s="275"/>
    </row>
    <row r="105" spans="2:17" ht="15.75" thickBot="1" x14ac:dyDescent="0.3">
      <c r="B105" s="592"/>
      <c r="C105" s="389"/>
      <c r="D105" s="390"/>
      <c r="E105" s="392"/>
      <c r="F105" s="393" t="s">
        <v>115</v>
      </c>
      <c r="G105" s="200"/>
      <c r="H105" s="253"/>
      <c r="I105" s="244">
        <f t="shared" ref="I105" si="27">H97</f>
        <v>1</v>
      </c>
      <c r="J105" s="258"/>
      <c r="K105" s="243">
        <f t="shared" si="23"/>
        <v>0</v>
      </c>
      <c r="L105" s="235"/>
      <c r="M105" s="261"/>
      <c r="N105" s="275"/>
      <c r="O105" s="204"/>
      <c r="P105" s="275"/>
      <c r="Q105" s="275"/>
    </row>
    <row r="106" spans="2:17" ht="15.75" thickBot="1" x14ac:dyDescent="0.3">
      <c r="B106" s="592"/>
      <c r="C106" s="389"/>
      <c r="D106" s="390"/>
      <c r="E106" s="645" t="s">
        <v>117</v>
      </c>
      <c r="F106" s="647"/>
      <c r="G106" s="200"/>
      <c r="H106" s="253"/>
      <c r="I106" s="244">
        <f t="shared" ref="I106" si="28">H97</f>
        <v>1</v>
      </c>
      <c r="J106" s="258"/>
      <c r="K106" s="243">
        <f t="shared" si="23"/>
        <v>0</v>
      </c>
      <c r="L106" s="235"/>
      <c r="M106" s="261"/>
      <c r="N106" s="275"/>
      <c r="O106" s="204"/>
      <c r="P106" s="275"/>
      <c r="Q106" s="275"/>
    </row>
    <row r="107" spans="2:17" ht="15.75" thickBot="1" x14ac:dyDescent="0.3">
      <c r="B107" s="592"/>
      <c r="C107" s="389"/>
      <c r="D107" s="390"/>
      <c r="E107" s="648" t="s">
        <v>120</v>
      </c>
      <c r="F107" s="647"/>
      <c r="G107" s="200"/>
      <c r="H107" s="253"/>
      <c r="I107" s="244">
        <f t="shared" ref="I107" si="29">H97</f>
        <v>1</v>
      </c>
      <c r="J107" s="259"/>
      <c r="K107" s="243">
        <f t="shared" si="23"/>
        <v>0</v>
      </c>
      <c r="L107" s="235"/>
      <c r="M107" s="261"/>
      <c r="N107" s="275"/>
      <c r="O107" s="204"/>
      <c r="P107" s="275"/>
      <c r="Q107" s="275"/>
    </row>
    <row r="108" spans="2:17" ht="15.75" thickBot="1" x14ac:dyDescent="0.3">
      <c r="B108" s="592"/>
      <c r="C108" s="395"/>
      <c r="D108" s="396"/>
      <c r="E108" s="648" t="s">
        <v>200</v>
      </c>
      <c r="F108" s="647"/>
      <c r="G108" s="200"/>
      <c r="H108" s="253"/>
      <c r="I108" s="244">
        <f>H97</f>
        <v>1</v>
      </c>
      <c r="J108" s="259"/>
      <c r="K108" s="243">
        <f t="shared" si="23"/>
        <v>0</v>
      </c>
      <c r="L108" s="235"/>
      <c r="M108" s="261"/>
      <c r="N108" s="275"/>
      <c r="O108" s="204"/>
      <c r="P108" s="275"/>
      <c r="Q108" s="275"/>
    </row>
    <row r="109" spans="2:17" ht="15.75" thickBot="1" x14ac:dyDescent="0.3">
      <c r="B109" s="592"/>
      <c r="C109" s="389"/>
      <c r="D109" s="390"/>
      <c r="E109" s="648" t="s">
        <v>275</v>
      </c>
      <c r="F109" s="647"/>
      <c r="G109" s="200"/>
      <c r="H109" s="253"/>
      <c r="I109" s="244">
        <f t="shared" ref="I109" si="30">H97</f>
        <v>1</v>
      </c>
      <c r="J109" s="259"/>
      <c r="K109" s="243">
        <f t="shared" si="23"/>
        <v>0</v>
      </c>
      <c r="L109" s="235"/>
      <c r="M109" s="261"/>
      <c r="N109" s="275"/>
      <c r="O109" s="204"/>
      <c r="P109" s="275"/>
      <c r="Q109" s="275"/>
    </row>
    <row r="110" spans="2:17" ht="15.75" thickBot="1" x14ac:dyDescent="0.3">
      <c r="B110" s="592"/>
      <c r="C110" s="389"/>
      <c r="D110" s="390"/>
      <c r="E110" s="608" t="s">
        <v>32</v>
      </c>
      <c r="F110" s="609"/>
      <c r="G110" s="200"/>
      <c r="H110" s="255"/>
      <c r="I110" s="200"/>
      <c r="J110" s="253"/>
      <c r="K110" s="243">
        <f t="shared" si="23"/>
        <v>0</v>
      </c>
      <c r="L110" s="235"/>
      <c r="M110" s="210"/>
      <c r="N110" s="275"/>
      <c r="O110" s="275"/>
      <c r="P110" s="275"/>
      <c r="Q110" s="275"/>
    </row>
    <row r="111" spans="2:17" ht="15" customHeight="1" x14ac:dyDescent="0.25">
      <c r="B111" s="592"/>
      <c r="C111" s="389"/>
      <c r="D111" s="610" t="s">
        <v>201</v>
      </c>
      <c r="E111" s="610"/>
      <c r="F111" s="610"/>
      <c r="G111" s="610"/>
      <c r="H111" s="610"/>
      <c r="I111" s="610"/>
      <c r="J111" s="610"/>
      <c r="K111" s="610"/>
      <c r="L111" s="246"/>
      <c r="M111" s="210"/>
      <c r="N111" s="275"/>
      <c r="O111" s="275"/>
      <c r="P111" s="275"/>
      <c r="Q111" s="275"/>
    </row>
    <row r="112" spans="2:17" x14ac:dyDescent="0.25">
      <c r="B112" s="592"/>
      <c r="C112" s="247"/>
      <c r="D112" s="610"/>
      <c r="E112" s="610"/>
      <c r="F112" s="610"/>
      <c r="G112" s="610"/>
      <c r="H112" s="610"/>
      <c r="I112" s="610"/>
      <c r="J112" s="610"/>
      <c r="K112" s="610"/>
      <c r="L112" s="246"/>
      <c r="M112" s="210"/>
      <c r="N112" s="180"/>
      <c r="O112" s="275"/>
      <c r="P112" s="275"/>
      <c r="Q112" s="275"/>
    </row>
    <row r="113" spans="2:17" ht="15.75" thickBot="1" x14ac:dyDescent="0.3">
      <c r="B113" s="592"/>
      <c r="C113" s="387"/>
      <c r="D113" s="388"/>
      <c r="E113" s="388"/>
      <c r="F113" s="388"/>
      <c r="G113" s="388"/>
      <c r="H113" s="388"/>
      <c r="I113" s="388"/>
      <c r="J113" s="388"/>
      <c r="K113" s="388"/>
      <c r="L113" s="248"/>
      <c r="M113" s="210"/>
      <c r="N113" s="180"/>
      <c r="O113" s="275"/>
      <c r="P113" s="275"/>
      <c r="Q113" s="275"/>
    </row>
    <row r="114" spans="2:17" ht="52.5" thickBot="1" x14ac:dyDescent="0.3">
      <c r="B114" s="592"/>
      <c r="C114" s="236" t="s">
        <v>202</v>
      </c>
      <c r="D114" s="193"/>
      <c r="E114" s="611"/>
      <c r="F114" s="612"/>
      <c r="G114" s="249" t="s">
        <v>203</v>
      </c>
      <c r="H114" s="250" t="s">
        <v>204</v>
      </c>
      <c r="I114" s="251" t="s">
        <v>199</v>
      </c>
      <c r="J114" s="390"/>
      <c r="K114" s="390"/>
      <c r="L114" s="235"/>
      <c r="M114" s="205"/>
      <c r="N114" s="290"/>
      <c r="O114" s="290">
        <f>G97-F97+1</f>
        <v>1</v>
      </c>
      <c r="P114" s="290">
        <f>IF(OR(O114=366,O114=365),52,(ROUNDUP(O114/7,0)))</f>
        <v>1</v>
      </c>
      <c r="Q114" s="275"/>
    </row>
    <row r="115" spans="2:17" ht="15.75" thickBot="1" x14ac:dyDescent="0.3">
      <c r="B115" s="592"/>
      <c r="C115" s="387"/>
      <c r="D115" s="390"/>
      <c r="E115" s="613" t="s">
        <v>205</v>
      </c>
      <c r="F115" s="614"/>
      <c r="G115" s="214"/>
      <c r="H115" s="215"/>
      <c r="I115" s="201">
        <f t="shared" ref="I115:I119" si="31">G115*H115</f>
        <v>0</v>
      </c>
      <c r="J115" s="390"/>
      <c r="K115" s="390"/>
      <c r="L115" s="235"/>
      <c r="M115" s="210"/>
      <c r="N115" s="180"/>
      <c r="O115" s="197"/>
      <c r="P115" s="275"/>
      <c r="Q115" s="275"/>
    </row>
    <row r="116" spans="2:17" ht="15.75" thickBot="1" x14ac:dyDescent="0.3">
      <c r="B116" s="592"/>
      <c r="C116" s="387"/>
      <c r="D116" s="390"/>
      <c r="E116" s="615" t="s">
        <v>206</v>
      </c>
      <c r="F116" s="616"/>
      <c r="G116" s="216"/>
      <c r="H116" s="217"/>
      <c r="I116" s="201">
        <f t="shared" si="31"/>
        <v>0</v>
      </c>
      <c r="J116" s="390"/>
      <c r="K116" s="390"/>
      <c r="L116" s="235"/>
      <c r="M116" s="180"/>
      <c r="N116" s="180"/>
      <c r="O116" s="275"/>
      <c r="P116" s="275"/>
      <c r="Q116" s="275"/>
    </row>
    <row r="117" spans="2:17" ht="15.75" thickBot="1" x14ac:dyDescent="0.3">
      <c r="B117" s="592"/>
      <c r="C117" s="387"/>
      <c r="D117" s="390"/>
      <c r="E117" s="615" t="s">
        <v>207</v>
      </c>
      <c r="F117" s="616"/>
      <c r="G117" s="216"/>
      <c r="H117" s="217"/>
      <c r="I117" s="201">
        <f t="shared" si="31"/>
        <v>0</v>
      </c>
      <c r="J117" s="390"/>
      <c r="K117" s="390"/>
      <c r="L117" s="235"/>
      <c r="M117" s="210"/>
      <c r="N117" s="275"/>
      <c r="O117" s="275"/>
      <c r="P117" s="275"/>
      <c r="Q117" s="275"/>
    </row>
    <row r="118" spans="2:17" ht="15.75" thickBot="1" x14ac:dyDescent="0.3">
      <c r="B118" s="592"/>
      <c r="C118" s="387"/>
      <c r="D118" s="390"/>
      <c r="E118" s="617" t="s">
        <v>208</v>
      </c>
      <c r="F118" s="618"/>
      <c r="G118" s="216"/>
      <c r="H118" s="217"/>
      <c r="I118" s="201">
        <f t="shared" si="31"/>
        <v>0</v>
      </c>
      <c r="J118" s="390"/>
      <c r="K118" s="390"/>
      <c r="L118" s="235"/>
      <c r="M118" s="210"/>
      <c r="N118" s="180"/>
      <c r="O118" s="275"/>
      <c r="P118" s="275"/>
      <c r="Q118" s="275"/>
    </row>
    <row r="119" spans="2:17" ht="15.75" thickBot="1" x14ac:dyDescent="0.3">
      <c r="B119" s="593"/>
      <c r="C119" s="371"/>
      <c r="D119" s="391"/>
      <c r="E119" s="619" t="s">
        <v>209</v>
      </c>
      <c r="F119" s="620"/>
      <c r="G119" s="372"/>
      <c r="H119" s="373"/>
      <c r="I119" s="374">
        <f t="shared" si="31"/>
        <v>0</v>
      </c>
      <c r="J119" s="391"/>
      <c r="K119" s="375"/>
      <c r="L119" s="232"/>
      <c r="M119" s="210"/>
      <c r="N119" s="275"/>
      <c r="O119" s="275"/>
      <c r="P119" s="275"/>
      <c r="Q119" s="275"/>
    </row>
    <row r="120" spans="2:17" ht="15.75" thickBot="1" x14ac:dyDescent="0.3"/>
    <row r="121" spans="2:17" ht="39.75" thickBot="1" x14ac:dyDescent="0.3">
      <c r="B121" s="591">
        <v>5</v>
      </c>
      <c r="C121" s="225" t="s">
        <v>183</v>
      </c>
      <c r="D121" s="221"/>
      <c r="E121" s="226"/>
      <c r="F121" s="226" t="s">
        <v>184</v>
      </c>
      <c r="G121" s="226" t="s">
        <v>185</v>
      </c>
      <c r="H121" s="220" t="s">
        <v>186</v>
      </c>
      <c r="I121" s="226" t="s">
        <v>187</v>
      </c>
      <c r="J121" s="227" t="s">
        <v>188</v>
      </c>
      <c r="K121" s="228" t="s">
        <v>189</v>
      </c>
      <c r="L121" s="229" t="s">
        <v>190</v>
      </c>
      <c r="M121" s="210"/>
      <c r="N121" s="180"/>
      <c r="O121" s="197"/>
      <c r="P121" s="275" t="s">
        <v>191</v>
      </c>
      <c r="Q121" s="275">
        <f>IF(F123="Exempt all taxes",0,(J122*FICA)+(J122*Medicare))</f>
        <v>0</v>
      </c>
    </row>
    <row r="122" spans="2:17" ht="15.75" thickBot="1" x14ac:dyDescent="0.3">
      <c r="B122" s="592"/>
      <c r="C122" s="594"/>
      <c r="D122" s="595"/>
      <c r="E122" s="596"/>
      <c r="F122" s="211"/>
      <c r="G122" s="212"/>
      <c r="H122" s="282">
        <f t="shared" ref="H122" si="32">P139</f>
        <v>1</v>
      </c>
      <c r="I122" s="213"/>
      <c r="J122" s="230">
        <f t="shared" ref="J122" si="33">(SUM(K126:K135))+(SUM(I140:I144))</f>
        <v>0</v>
      </c>
      <c r="K122" s="231">
        <f t="shared" ref="K122" si="34">IF(F123="No",Q122,Q121)</f>
        <v>0</v>
      </c>
      <c r="L122" s="232">
        <f t="shared" ref="L122" si="35">SUM(J122:K122)</f>
        <v>0</v>
      </c>
      <c r="M122" s="180"/>
      <c r="N122" s="281">
        <f t="shared" ref="N122" si="36">IF(ISNUMBER(L122),L122,0)</f>
        <v>0</v>
      </c>
      <c r="O122" s="275"/>
      <c r="P122" s="275" t="s">
        <v>192</v>
      </c>
      <c r="Q122" s="257">
        <f>IF(J122&gt;=SUTA_Max,((FUTA_Max*FUTA)+(SUTA_Max*I122)+(J122*FICA)+(J122*Medicare)),IF(J122&gt;=FUTA_Max,((FUTA_Max*FUTA)+(J122*I122)+(J122*FICA)+(J122*Medicare)),IF(J122&lt;FUTA_Max,(J122*(Total_Tax+I122)))))</f>
        <v>0</v>
      </c>
    </row>
    <row r="123" spans="2:17" ht="15.75" thickBot="1" x14ac:dyDescent="0.3">
      <c r="B123" s="592"/>
      <c r="C123" s="597" t="s">
        <v>193</v>
      </c>
      <c r="D123" s="598"/>
      <c r="E123" s="598"/>
      <c r="F123" s="644" t="s">
        <v>100</v>
      </c>
      <c r="G123" s="600"/>
      <c r="H123" s="233"/>
      <c r="I123" s="281"/>
      <c r="J123" s="271"/>
      <c r="K123" s="234"/>
      <c r="L123" s="235"/>
      <c r="M123" s="203"/>
      <c r="N123" s="275"/>
      <c r="O123" s="275"/>
      <c r="P123" s="275"/>
      <c r="Q123" s="275"/>
    </row>
    <row r="124" spans="2:17" ht="15.75" thickBot="1" x14ac:dyDescent="0.3">
      <c r="B124" s="592"/>
      <c r="C124" s="601"/>
      <c r="D124" s="602"/>
      <c r="E124" s="602"/>
      <c r="F124" s="602"/>
      <c r="G124" s="602"/>
      <c r="H124" s="602"/>
      <c r="I124" s="602"/>
      <c r="J124" s="602"/>
      <c r="K124" s="602"/>
      <c r="L124" s="603"/>
      <c r="M124" s="203"/>
      <c r="N124" s="275"/>
      <c r="O124" s="275"/>
      <c r="P124" s="275"/>
      <c r="Q124" s="275"/>
    </row>
    <row r="125" spans="2:17" ht="16.5" thickBot="1" x14ac:dyDescent="0.3">
      <c r="B125" s="592"/>
      <c r="C125" s="236" t="s">
        <v>194</v>
      </c>
      <c r="D125" s="193"/>
      <c r="E125" s="604"/>
      <c r="F125" s="605"/>
      <c r="G125" s="237" t="s">
        <v>195</v>
      </c>
      <c r="H125" s="238" t="s">
        <v>196</v>
      </c>
      <c r="I125" s="239" t="s">
        <v>197</v>
      </c>
      <c r="J125" s="239" t="s">
        <v>198</v>
      </c>
      <c r="K125" s="240" t="s">
        <v>199</v>
      </c>
      <c r="L125" s="235"/>
      <c r="M125" s="199"/>
      <c r="N125" s="275"/>
      <c r="O125" s="275"/>
      <c r="P125" s="275"/>
      <c r="Q125" s="275"/>
    </row>
    <row r="126" spans="2:17" ht="15.75" thickBot="1" x14ac:dyDescent="0.3">
      <c r="B126" s="592"/>
      <c r="C126" s="404"/>
      <c r="D126" s="405"/>
      <c r="E126" s="645" t="s">
        <v>104</v>
      </c>
      <c r="F126" s="646"/>
      <c r="G126" s="200"/>
      <c r="H126" s="253"/>
      <c r="I126" s="244">
        <f t="shared" ref="I126" si="37">H122</f>
        <v>1</v>
      </c>
      <c r="J126" s="245"/>
      <c r="K126" s="243">
        <f t="shared" ref="K126:K135" si="38">G126*H126*I126</f>
        <v>0</v>
      </c>
      <c r="L126" s="235"/>
      <c r="M126" s="210"/>
      <c r="N126" s="275"/>
      <c r="O126" s="275"/>
      <c r="P126" s="275"/>
      <c r="Q126" s="275"/>
    </row>
    <row r="127" spans="2:17" ht="15.75" thickBot="1" x14ac:dyDescent="0.3">
      <c r="B127" s="592"/>
      <c r="C127" s="404"/>
      <c r="D127" s="405"/>
      <c r="E127" s="645" t="s">
        <v>108</v>
      </c>
      <c r="F127" s="647"/>
      <c r="G127" s="200"/>
      <c r="H127" s="253"/>
      <c r="I127" s="244">
        <f t="shared" ref="I127" si="39">H122</f>
        <v>1</v>
      </c>
      <c r="J127" s="258"/>
      <c r="K127" s="243">
        <f t="shared" si="38"/>
        <v>0</v>
      </c>
      <c r="L127" s="235"/>
      <c r="M127" s="261"/>
      <c r="N127" s="275"/>
      <c r="O127" s="204"/>
      <c r="P127" s="275"/>
      <c r="Q127" s="275"/>
    </row>
    <row r="128" spans="2:17" ht="15.75" thickBot="1" x14ac:dyDescent="0.3">
      <c r="B128" s="592"/>
      <c r="C128" s="404"/>
      <c r="D128" s="405"/>
      <c r="E128" s="645" t="s">
        <v>111</v>
      </c>
      <c r="F128" s="647"/>
      <c r="G128" s="200"/>
      <c r="H128" s="253"/>
      <c r="I128" s="244">
        <f t="shared" ref="I128" si="40">H122</f>
        <v>1</v>
      </c>
      <c r="J128" s="258"/>
      <c r="K128" s="243">
        <f t="shared" si="38"/>
        <v>0</v>
      </c>
      <c r="L128" s="235"/>
      <c r="M128" s="261"/>
      <c r="N128" s="275"/>
      <c r="O128" s="204"/>
      <c r="P128" s="275"/>
      <c r="Q128" s="275"/>
    </row>
    <row r="129" spans="2:17" ht="15.75" thickBot="1" x14ac:dyDescent="0.3">
      <c r="B129" s="592"/>
      <c r="C129" s="404"/>
      <c r="D129" s="405"/>
      <c r="E129" s="645" t="s">
        <v>113</v>
      </c>
      <c r="F129" s="647"/>
      <c r="G129" s="200"/>
      <c r="H129" s="253"/>
      <c r="I129" s="244">
        <f t="shared" ref="I129" si="41">H122</f>
        <v>1</v>
      </c>
      <c r="J129" s="258"/>
      <c r="K129" s="243">
        <f t="shared" si="38"/>
        <v>0</v>
      </c>
      <c r="L129" s="235"/>
      <c r="M129" s="261"/>
      <c r="N129" s="275"/>
      <c r="O129" s="204"/>
      <c r="P129" s="275"/>
      <c r="Q129" s="275"/>
    </row>
    <row r="130" spans="2:17" ht="15.75" thickBot="1" x14ac:dyDescent="0.3">
      <c r="B130" s="592"/>
      <c r="C130" s="404"/>
      <c r="D130" s="405"/>
      <c r="E130" s="407"/>
      <c r="F130" s="406" t="s">
        <v>115</v>
      </c>
      <c r="G130" s="200"/>
      <c r="H130" s="253"/>
      <c r="I130" s="244">
        <f t="shared" ref="I130" si="42">H122</f>
        <v>1</v>
      </c>
      <c r="J130" s="258"/>
      <c r="K130" s="243">
        <f t="shared" si="38"/>
        <v>0</v>
      </c>
      <c r="L130" s="235"/>
      <c r="M130" s="261"/>
      <c r="N130" s="275"/>
      <c r="O130" s="204"/>
      <c r="P130" s="275"/>
      <c r="Q130" s="275"/>
    </row>
    <row r="131" spans="2:17" ht="15.75" thickBot="1" x14ac:dyDescent="0.3">
      <c r="B131" s="592"/>
      <c r="C131" s="404"/>
      <c r="D131" s="405"/>
      <c r="E131" s="645" t="s">
        <v>117</v>
      </c>
      <c r="F131" s="647"/>
      <c r="G131" s="200"/>
      <c r="H131" s="253"/>
      <c r="I131" s="244">
        <f t="shared" ref="I131" si="43">H122</f>
        <v>1</v>
      </c>
      <c r="J131" s="258"/>
      <c r="K131" s="243">
        <f t="shared" si="38"/>
        <v>0</v>
      </c>
      <c r="L131" s="235"/>
      <c r="M131" s="261"/>
      <c r="N131" s="275"/>
      <c r="O131" s="204"/>
      <c r="P131" s="275"/>
      <c r="Q131" s="275"/>
    </row>
    <row r="132" spans="2:17" ht="15.75" thickBot="1" x14ac:dyDescent="0.3">
      <c r="B132" s="592"/>
      <c r="C132" s="404"/>
      <c r="D132" s="405"/>
      <c r="E132" s="648" t="s">
        <v>120</v>
      </c>
      <c r="F132" s="647"/>
      <c r="G132" s="200"/>
      <c r="H132" s="253"/>
      <c r="I132" s="244">
        <f t="shared" ref="I132" si="44">H122</f>
        <v>1</v>
      </c>
      <c r="J132" s="259"/>
      <c r="K132" s="243">
        <f t="shared" si="38"/>
        <v>0</v>
      </c>
      <c r="L132" s="235"/>
      <c r="M132" s="261"/>
      <c r="N132" s="275"/>
      <c r="O132" s="204"/>
      <c r="P132" s="275"/>
      <c r="Q132" s="275"/>
    </row>
    <row r="133" spans="2:17" ht="15.75" thickBot="1" x14ac:dyDescent="0.3">
      <c r="B133" s="592"/>
      <c r="C133" s="404"/>
      <c r="D133" s="405"/>
      <c r="E133" s="648" t="s">
        <v>200</v>
      </c>
      <c r="F133" s="647"/>
      <c r="G133" s="200"/>
      <c r="H133" s="253"/>
      <c r="I133" s="244">
        <f t="shared" ref="I133" si="45">H122</f>
        <v>1</v>
      </c>
      <c r="J133" s="259"/>
      <c r="K133" s="243">
        <f t="shared" si="38"/>
        <v>0</v>
      </c>
      <c r="L133" s="235"/>
      <c r="M133" s="261"/>
      <c r="N133" s="275"/>
      <c r="O133" s="204"/>
      <c r="P133" s="275"/>
      <c r="Q133" s="275"/>
    </row>
    <row r="134" spans="2:17" ht="15.75" thickBot="1" x14ac:dyDescent="0.3">
      <c r="B134" s="592"/>
      <c r="C134" s="404"/>
      <c r="D134" s="405"/>
      <c r="E134" s="648" t="s">
        <v>275</v>
      </c>
      <c r="F134" s="647"/>
      <c r="G134" s="200"/>
      <c r="H134" s="253"/>
      <c r="I134" s="244">
        <f t="shared" ref="I134" si="46">H122</f>
        <v>1</v>
      </c>
      <c r="J134" s="259"/>
      <c r="K134" s="243">
        <f t="shared" si="38"/>
        <v>0</v>
      </c>
      <c r="L134" s="235"/>
      <c r="M134" s="261"/>
      <c r="N134" s="275"/>
      <c r="O134" s="204"/>
      <c r="P134" s="275"/>
      <c r="Q134" s="275"/>
    </row>
    <row r="135" spans="2:17" ht="15.75" thickBot="1" x14ac:dyDescent="0.3">
      <c r="B135" s="592"/>
      <c r="C135" s="404"/>
      <c r="D135" s="405"/>
      <c r="E135" s="608" t="s">
        <v>32</v>
      </c>
      <c r="F135" s="609"/>
      <c r="G135" s="200"/>
      <c r="H135" s="255"/>
      <c r="I135" s="200"/>
      <c r="J135" s="253"/>
      <c r="K135" s="243">
        <f t="shared" si="38"/>
        <v>0</v>
      </c>
      <c r="L135" s="235"/>
      <c r="M135" s="210"/>
      <c r="N135" s="275"/>
      <c r="O135" s="275"/>
      <c r="P135" s="275"/>
      <c r="Q135" s="275"/>
    </row>
    <row r="136" spans="2:17" x14ac:dyDescent="0.25">
      <c r="B136" s="592"/>
      <c r="C136" s="404"/>
      <c r="D136" s="610" t="s">
        <v>201</v>
      </c>
      <c r="E136" s="610"/>
      <c r="F136" s="610"/>
      <c r="G136" s="610"/>
      <c r="H136" s="610"/>
      <c r="I136" s="610"/>
      <c r="J136" s="610"/>
      <c r="K136" s="610"/>
      <c r="L136" s="246"/>
      <c r="M136" s="210"/>
      <c r="N136" s="275"/>
      <c r="O136" s="275"/>
      <c r="P136" s="275"/>
      <c r="Q136" s="275"/>
    </row>
    <row r="137" spans="2:17" x14ac:dyDescent="0.25">
      <c r="B137" s="592"/>
      <c r="C137" s="247"/>
      <c r="D137" s="610"/>
      <c r="E137" s="610"/>
      <c r="F137" s="610"/>
      <c r="G137" s="610"/>
      <c r="H137" s="610"/>
      <c r="I137" s="610"/>
      <c r="J137" s="610"/>
      <c r="K137" s="610"/>
      <c r="L137" s="246"/>
      <c r="M137" s="210"/>
      <c r="N137" s="180"/>
      <c r="O137" s="275"/>
      <c r="P137" s="275"/>
      <c r="Q137" s="275"/>
    </row>
    <row r="138" spans="2:17" ht="15.75" thickBot="1" x14ac:dyDescent="0.3">
      <c r="B138" s="592"/>
      <c r="C138" s="401"/>
      <c r="D138" s="402"/>
      <c r="E138" s="402"/>
      <c r="F138" s="402"/>
      <c r="G138" s="402"/>
      <c r="H138" s="402"/>
      <c r="I138" s="402"/>
      <c r="J138" s="402"/>
      <c r="K138" s="402"/>
      <c r="L138" s="248"/>
      <c r="M138" s="210"/>
      <c r="N138" s="180"/>
      <c r="O138" s="275"/>
      <c r="P138" s="275"/>
      <c r="Q138" s="275"/>
    </row>
    <row r="139" spans="2:17" ht="52.5" thickBot="1" x14ac:dyDescent="0.3">
      <c r="B139" s="592"/>
      <c r="C139" s="236" t="s">
        <v>202</v>
      </c>
      <c r="D139" s="193"/>
      <c r="E139" s="611"/>
      <c r="F139" s="612"/>
      <c r="G139" s="249" t="s">
        <v>203</v>
      </c>
      <c r="H139" s="250" t="s">
        <v>204</v>
      </c>
      <c r="I139" s="251" t="s">
        <v>199</v>
      </c>
      <c r="J139" s="405"/>
      <c r="K139" s="405"/>
      <c r="L139" s="235"/>
      <c r="M139" s="205"/>
      <c r="N139" s="290"/>
      <c r="O139" s="290">
        <f t="shared" ref="O139" si="47">G122-F122+1</f>
        <v>1</v>
      </c>
      <c r="P139" s="290">
        <f t="shared" ref="P139" si="48">IF(OR(O139=366,O139=365),52,(ROUNDUP(O139/7,0)))</f>
        <v>1</v>
      </c>
      <c r="Q139" s="275"/>
    </row>
    <row r="140" spans="2:17" ht="15.75" thickBot="1" x14ac:dyDescent="0.3">
      <c r="B140" s="592"/>
      <c r="C140" s="401"/>
      <c r="D140" s="405"/>
      <c r="E140" s="613" t="s">
        <v>205</v>
      </c>
      <c r="F140" s="614"/>
      <c r="G140" s="214"/>
      <c r="H140" s="215"/>
      <c r="I140" s="201">
        <f t="shared" ref="I140:I144" si="49">G140*H140</f>
        <v>0</v>
      </c>
      <c r="J140" s="405"/>
      <c r="K140" s="405"/>
      <c r="L140" s="235"/>
      <c r="M140" s="210"/>
      <c r="N140" s="180"/>
      <c r="O140" s="197"/>
      <c r="P140" s="275"/>
      <c r="Q140" s="275"/>
    </row>
    <row r="141" spans="2:17" ht="15.75" thickBot="1" x14ac:dyDescent="0.3">
      <c r="B141" s="592"/>
      <c r="C141" s="401"/>
      <c r="D141" s="405"/>
      <c r="E141" s="615" t="s">
        <v>206</v>
      </c>
      <c r="F141" s="616"/>
      <c r="G141" s="216"/>
      <c r="H141" s="217"/>
      <c r="I141" s="201">
        <f t="shared" si="49"/>
        <v>0</v>
      </c>
      <c r="J141" s="405"/>
      <c r="K141" s="405"/>
      <c r="L141" s="235"/>
      <c r="M141" s="180"/>
      <c r="N141" s="180"/>
      <c r="O141" s="275"/>
      <c r="P141" s="275"/>
      <c r="Q141" s="275"/>
    </row>
    <row r="142" spans="2:17" ht="15.75" thickBot="1" x14ac:dyDescent="0.3">
      <c r="B142" s="592"/>
      <c r="C142" s="401"/>
      <c r="D142" s="405"/>
      <c r="E142" s="615" t="s">
        <v>207</v>
      </c>
      <c r="F142" s="616"/>
      <c r="G142" s="216"/>
      <c r="H142" s="217"/>
      <c r="I142" s="201">
        <f t="shared" si="49"/>
        <v>0</v>
      </c>
      <c r="J142" s="405"/>
      <c r="K142" s="405"/>
      <c r="L142" s="235"/>
      <c r="M142" s="210"/>
      <c r="N142" s="275"/>
      <c r="O142" s="275"/>
      <c r="P142" s="275"/>
      <c r="Q142" s="275"/>
    </row>
    <row r="143" spans="2:17" ht="15.75" thickBot="1" x14ac:dyDescent="0.3">
      <c r="B143" s="592"/>
      <c r="C143" s="401"/>
      <c r="D143" s="405"/>
      <c r="E143" s="617" t="s">
        <v>208</v>
      </c>
      <c r="F143" s="618"/>
      <c r="G143" s="216"/>
      <c r="H143" s="217"/>
      <c r="I143" s="201">
        <f t="shared" si="49"/>
        <v>0</v>
      </c>
      <c r="J143" s="405"/>
      <c r="K143" s="405"/>
      <c r="L143" s="235"/>
      <c r="M143" s="210"/>
      <c r="N143" s="180"/>
      <c r="O143" s="275"/>
      <c r="P143" s="275"/>
      <c r="Q143" s="275"/>
    </row>
    <row r="144" spans="2:17" ht="15.75" thickBot="1" x14ac:dyDescent="0.3">
      <c r="B144" s="593"/>
      <c r="C144" s="371"/>
      <c r="D144" s="403"/>
      <c r="E144" s="619" t="s">
        <v>209</v>
      </c>
      <c r="F144" s="620"/>
      <c r="G144" s="372"/>
      <c r="H144" s="373"/>
      <c r="I144" s="374">
        <f t="shared" si="49"/>
        <v>0</v>
      </c>
      <c r="J144" s="403"/>
      <c r="K144" s="375"/>
      <c r="L144" s="232"/>
      <c r="M144" s="210"/>
      <c r="N144" s="275"/>
      <c r="O144" s="275"/>
      <c r="P144" s="275"/>
      <c r="Q144" s="275"/>
    </row>
    <row r="145" spans="2:17" ht="15.75" thickBot="1" x14ac:dyDescent="0.3"/>
    <row r="146" spans="2:17" ht="39.75" thickBot="1" x14ac:dyDescent="0.3">
      <c r="B146" s="591">
        <v>6</v>
      </c>
      <c r="C146" s="225" t="s">
        <v>183</v>
      </c>
      <c r="D146" s="221"/>
      <c r="E146" s="226"/>
      <c r="F146" s="226" t="s">
        <v>184</v>
      </c>
      <c r="G146" s="226" t="s">
        <v>185</v>
      </c>
      <c r="H146" s="220" t="s">
        <v>186</v>
      </c>
      <c r="I146" s="226" t="s">
        <v>187</v>
      </c>
      <c r="J146" s="227" t="s">
        <v>188</v>
      </c>
      <c r="K146" s="228" t="s">
        <v>189</v>
      </c>
      <c r="L146" s="229" t="s">
        <v>190</v>
      </c>
      <c r="M146" s="210"/>
      <c r="N146" s="180"/>
      <c r="O146" s="197"/>
      <c r="P146" s="275" t="s">
        <v>191</v>
      </c>
      <c r="Q146" s="275">
        <f>IF(F148="Exempt all taxes",0,(J147*FICA)+(J147*Medicare))</f>
        <v>0</v>
      </c>
    </row>
    <row r="147" spans="2:17" ht="15.75" thickBot="1" x14ac:dyDescent="0.3">
      <c r="B147" s="592"/>
      <c r="C147" s="594"/>
      <c r="D147" s="595"/>
      <c r="E147" s="596"/>
      <c r="F147" s="211"/>
      <c r="G147" s="212"/>
      <c r="H147" s="282">
        <f t="shared" ref="H147" si="50">P164</f>
        <v>1</v>
      </c>
      <c r="I147" s="213"/>
      <c r="J147" s="230">
        <f t="shared" ref="J147" si="51">(SUM(K151:K160))+(SUM(I165:I169))</f>
        <v>0</v>
      </c>
      <c r="K147" s="231">
        <f t="shared" ref="K147" si="52">IF(F148="No",Q147,Q146)</f>
        <v>0</v>
      </c>
      <c r="L147" s="232">
        <f t="shared" ref="L147" si="53">SUM(J147:K147)</f>
        <v>0</v>
      </c>
      <c r="M147" s="180"/>
      <c r="N147" s="281">
        <f t="shared" ref="N147" si="54">IF(ISNUMBER(L147),L147,0)</f>
        <v>0</v>
      </c>
      <c r="O147" s="275"/>
      <c r="P147" s="275" t="s">
        <v>192</v>
      </c>
      <c r="Q147" s="257">
        <f>IF(J147&gt;=SUTA_Max,((FUTA_Max*FUTA)+(SUTA_Max*I147)+(J147*FICA)+(J147*Medicare)),IF(J147&gt;=FUTA_Max,((FUTA_Max*FUTA)+(J147*I147)+(J147*FICA)+(J147*Medicare)),IF(J147&lt;FUTA_Max,(J147*(Total_Tax+I147)))))</f>
        <v>0</v>
      </c>
    </row>
    <row r="148" spans="2:17" ht="15.75" thickBot="1" x14ac:dyDescent="0.3">
      <c r="B148" s="592"/>
      <c r="C148" s="597" t="s">
        <v>193</v>
      </c>
      <c r="D148" s="598"/>
      <c r="E148" s="598"/>
      <c r="F148" s="644" t="s">
        <v>100</v>
      </c>
      <c r="G148" s="600"/>
      <c r="H148" s="233"/>
      <c r="I148" s="281"/>
      <c r="J148" s="271"/>
      <c r="K148" s="234"/>
      <c r="L148" s="235"/>
      <c r="M148" s="203"/>
      <c r="N148" s="275"/>
      <c r="O148" s="275"/>
      <c r="P148" s="275"/>
      <c r="Q148" s="275"/>
    </row>
    <row r="149" spans="2:17" ht="15.75" thickBot="1" x14ac:dyDescent="0.3">
      <c r="B149" s="592"/>
      <c r="C149" s="601"/>
      <c r="D149" s="602"/>
      <c r="E149" s="602"/>
      <c r="F149" s="602"/>
      <c r="G149" s="602"/>
      <c r="H149" s="602"/>
      <c r="I149" s="602"/>
      <c r="J149" s="602"/>
      <c r="K149" s="602"/>
      <c r="L149" s="603"/>
      <c r="M149" s="203"/>
      <c r="N149" s="275"/>
      <c r="O149" s="275"/>
      <c r="P149" s="275"/>
      <c r="Q149" s="275"/>
    </row>
    <row r="150" spans="2:17" ht="16.5" thickBot="1" x14ac:dyDescent="0.3">
      <c r="B150" s="592"/>
      <c r="C150" s="236" t="s">
        <v>194</v>
      </c>
      <c r="D150" s="193"/>
      <c r="E150" s="604"/>
      <c r="F150" s="605"/>
      <c r="G150" s="237" t="s">
        <v>195</v>
      </c>
      <c r="H150" s="238" t="s">
        <v>196</v>
      </c>
      <c r="I150" s="239" t="s">
        <v>197</v>
      </c>
      <c r="J150" s="239" t="s">
        <v>198</v>
      </c>
      <c r="K150" s="240" t="s">
        <v>199</v>
      </c>
      <c r="L150" s="235"/>
      <c r="M150" s="199"/>
      <c r="N150" s="275"/>
      <c r="O150" s="275"/>
      <c r="P150" s="275"/>
      <c r="Q150" s="275"/>
    </row>
    <row r="151" spans="2:17" ht="15.75" thickBot="1" x14ac:dyDescent="0.3">
      <c r="B151" s="592"/>
      <c r="C151" s="404"/>
      <c r="D151" s="405"/>
      <c r="E151" s="645" t="s">
        <v>104</v>
      </c>
      <c r="F151" s="646"/>
      <c r="G151" s="200"/>
      <c r="H151" s="253"/>
      <c r="I151" s="244">
        <f t="shared" ref="I151" si="55">H147</f>
        <v>1</v>
      </c>
      <c r="J151" s="245"/>
      <c r="K151" s="243">
        <f t="shared" ref="K151:K160" si="56">G151*H151*I151</f>
        <v>0</v>
      </c>
      <c r="L151" s="235"/>
      <c r="M151" s="210"/>
      <c r="N151" s="275"/>
      <c r="O151" s="275"/>
      <c r="P151" s="275"/>
      <c r="Q151" s="275"/>
    </row>
    <row r="152" spans="2:17" ht="15.75" thickBot="1" x14ac:dyDescent="0.3">
      <c r="B152" s="592"/>
      <c r="C152" s="404"/>
      <c r="D152" s="405"/>
      <c r="E152" s="645" t="s">
        <v>108</v>
      </c>
      <c r="F152" s="647"/>
      <c r="G152" s="200"/>
      <c r="H152" s="253"/>
      <c r="I152" s="244">
        <f t="shared" ref="I152" si="57">H147</f>
        <v>1</v>
      </c>
      <c r="J152" s="258"/>
      <c r="K152" s="243">
        <f t="shared" si="56"/>
        <v>0</v>
      </c>
      <c r="L152" s="235"/>
      <c r="M152" s="261"/>
      <c r="N152" s="275"/>
      <c r="O152" s="204"/>
      <c r="P152" s="275"/>
      <c r="Q152" s="275"/>
    </row>
    <row r="153" spans="2:17" ht="15.75" thickBot="1" x14ac:dyDescent="0.3">
      <c r="B153" s="592"/>
      <c r="C153" s="404"/>
      <c r="D153" s="405"/>
      <c r="E153" s="645" t="s">
        <v>111</v>
      </c>
      <c r="F153" s="647"/>
      <c r="G153" s="200"/>
      <c r="H153" s="253"/>
      <c r="I153" s="244">
        <f t="shared" ref="I153" si="58">H147</f>
        <v>1</v>
      </c>
      <c r="J153" s="258"/>
      <c r="K153" s="243">
        <f t="shared" si="56"/>
        <v>0</v>
      </c>
      <c r="L153" s="235"/>
      <c r="M153" s="261"/>
      <c r="N153" s="275"/>
      <c r="O153" s="204"/>
      <c r="P153" s="275"/>
      <c r="Q153" s="275"/>
    </row>
    <row r="154" spans="2:17" ht="15.75" thickBot="1" x14ac:dyDescent="0.3">
      <c r="B154" s="592"/>
      <c r="C154" s="404"/>
      <c r="D154" s="405"/>
      <c r="E154" s="645" t="s">
        <v>113</v>
      </c>
      <c r="F154" s="647"/>
      <c r="G154" s="200"/>
      <c r="H154" s="253"/>
      <c r="I154" s="244">
        <f t="shared" ref="I154" si="59">H147</f>
        <v>1</v>
      </c>
      <c r="J154" s="258"/>
      <c r="K154" s="243">
        <f t="shared" si="56"/>
        <v>0</v>
      </c>
      <c r="L154" s="235"/>
      <c r="M154" s="261"/>
      <c r="N154" s="275"/>
      <c r="O154" s="204"/>
      <c r="P154" s="275"/>
      <c r="Q154" s="275"/>
    </row>
    <row r="155" spans="2:17" ht="15.75" thickBot="1" x14ac:dyDescent="0.3">
      <c r="B155" s="592"/>
      <c r="C155" s="404"/>
      <c r="D155" s="405"/>
      <c r="E155" s="407"/>
      <c r="F155" s="406" t="s">
        <v>115</v>
      </c>
      <c r="G155" s="200"/>
      <c r="H155" s="253"/>
      <c r="I155" s="244">
        <f t="shared" ref="I155" si="60">H147</f>
        <v>1</v>
      </c>
      <c r="J155" s="258"/>
      <c r="K155" s="243">
        <f t="shared" si="56"/>
        <v>0</v>
      </c>
      <c r="L155" s="235"/>
      <c r="M155" s="261"/>
      <c r="N155" s="275"/>
      <c r="O155" s="204"/>
      <c r="P155" s="275"/>
      <c r="Q155" s="275"/>
    </row>
    <row r="156" spans="2:17" ht="15.75" thickBot="1" x14ac:dyDescent="0.3">
      <c r="B156" s="592"/>
      <c r="C156" s="404"/>
      <c r="D156" s="405"/>
      <c r="E156" s="645" t="s">
        <v>117</v>
      </c>
      <c r="F156" s="647"/>
      <c r="G156" s="200"/>
      <c r="H156" s="253"/>
      <c r="I156" s="244">
        <f t="shared" ref="I156" si="61">H147</f>
        <v>1</v>
      </c>
      <c r="J156" s="258"/>
      <c r="K156" s="243">
        <f t="shared" si="56"/>
        <v>0</v>
      </c>
      <c r="L156" s="235"/>
      <c r="M156" s="261"/>
      <c r="N156" s="275"/>
      <c r="O156" s="204"/>
      <c r="P156" s="275"/>
      <c r="Q156" s="275"/>
    </row>
    <row r="157" spans="2:17" ht="15.75" thickBot="1" x14ac:dyDescent="0.3">
      <c r="B157" s="592"/>
      <c r="C157" s="404"/>
      <c r="D157" s="405"/>
      <c r="E157" s="648" t="s">
        <v>120</v>
      </c>
      <c r="F157" s="647"/>
      <c r="G157" s="200"/>
      <c r="H157" s="253"/>
      <c r="I157" s="244">
        <f t="shared" ref="I157" si="62">H147</f>
        <v>1</v>
      </c>
      <c r="J157" s="259"/>
      <c r="K157" s="243">
        <f t="shared" si="56"/>
        <v>0</v>
      </c>
      <c r="L157" s="235"/>
      <c r="M157" s="261"/>
      <c r="N157" s="275"/>
      <c r="O157" s="204"/>
      <c r="P157" s="275"/>
      <c r="Q157" s="275"/>
    </row>
    <row r="158" spans="2:17" ht="15.75" thickBot="1" x14ac:dyDescent="0.3">
      <c r="B158" s="592"/>
      <c r="C158" s="404"/>
      <c r="D158" s="405"/>
      <c r="E158" s="648" t="s">
        <v>200</v>
      </c>
      <c r="F158" s="647"/>
      <c r="G158" s="200"/>
      <c r="H158" s="253"/>
      <c r="I158" s="244">
        <f t="shared" ref="I158" si="63">H147</f>
        <v>1</v>
      </c>
      <c r="J158" s="259"/>
      <c r="K158" s="243">
        <f t="shared" si="56"/>
        <v>0</v>
      </c>
      <c r="L158" s="235"/>
      <c r="M158" s="261"/>
      <c r="N158" s="275"/>
      <c r="O158" s="204"/>
      <c r="P158" s="275"/>
      <c r="Q158" s="275"/>
    </row>
    <row r="159" spans="2:17" ht="15.75" thickBot="1" x14ac:dyDescent="0.3">
      <c r="B159" s="592"/>
      <c r="C159" s="404"/>
      <c r="D159" s="405"/>
      <c r="E159" s="648" t="s">
        <v>275</v>
      </c>
      <c r="F159" s="647"/>
      <c r="G159" s="200"/>
      <c r="H159" s="253"/>
      <c r="I159" s="244">
        <f t="shared" ref="I159" si="64">H147</f>
        <v>1</v>
      </c>
      <c r="J159" s="259"/>
      <c r="K159" s="243">
        <f t="shared" si="56"/>
        <v>0</v>
      </c>
      <c r="L159" s="235"/>
      <c r="M159" s="261"/>
      <c r="N159" s="275"/>
      <c r="O159" s="204"/>
      <c r="P159" s="275"/>
      <c r="Q159" s="275"/>
    </row>
    <row r="160" spans="2:17" ht="15.75" thickBot="1" x14ac:dyDescent="0.3">
      <c r="B160" s="592"/>
      <c r="C160" s="404"/>
      <c r="D160" s="405"/>
      <c r="E160" s="608" t="s">
        <v>32</v>
      </c>
      <c r="F160" s="609"/>
      <c r="G160" s="200"/>
      <c r="H160" s="255"/>
      <c r="I160" s="200"/>
      <c r="J160" s="253"/>
      <c r="K160" s="243">
        <f t="shared" si="56"/>
        <v>0</v>
      </c>
      <c r="L160" s="235"/>
      <c r="M160" s="210"/>
      <c r="N160" s="275"/>
      <c r="O160" s="275"/>
      <c r="P160" s="275"/>
      <c r="Q160" s="275"/>
    </row>
    <row r="161" spans="2:17" x14ac:dyDescent="0.25">
      <c r="B161" s="592"/>
      <c r="C161" s="404"/>
      <c r="D161" s="610" t="s">
        <v>201</v>
      </c>
      <c r="E161" s="610"/>
      <c r="F161" s="610"/>
      <c r="G161" s="610"/>
      <c r="H161" s="610"/>
      <c r="I161" s="610"/>
      <c r="J161" s="610"/>
      <c r="K161" s="610"/>
      <c r="L161" s="246"/>
      <c r="M161" s="210"/>
      <c r="N161" s="275"/>
      <c r="O161" s="275"/>
      <c r="P161" s="275"/>
      <c r="Q161" s="275"/>
    </row>
    <row r="162" spans="2:17" x14ac:dyDescent="0.25">
      <c r="B162" s="592"/>
      <c r="C162" s="247"/>
      <c r="D162" s="610"/>
      <c r="E162" s="610"/>
      <c r="F162" s="610"/>
      <c r="G162" s="610"/>
      <c r="H162" s="610"/>
      <c r="I162" s="610"/>
      <c r="J162" s="610"/>
      <c r="K162" s="610"/>
      <c r="L162" s="246"/>
      <c r="M162" s="210"/>
      <c r="N162" s="180"/>
      <c r="O162" s="275"/>
      <c r="P162" s="275"/>
      <c r="Q162" s="275"/>
    </row>
    <row r="163" spans="2:17" ht="15.75" thickBot="1" x14ac:dyDescent="0.3">
      <c r="B163" s="592"/>
      <c r="C163" s="401"/>
      <c r="D163" s="402"/>
      <c r="E163" s="402"/>
      <c r="F163" s="402"/>
      <c r="G163" s="402"/>
      <c r="H163" s="402"/>
      <c r="I163" s="402"/>
      <c r="J163" s="402"/>
      <c r="K163" s="402"/>
      <c r="L163" s="248"/>
      <c r="M163" s="210"/>
      <c r="N163" s="180"/>
      <c r="O163" s="275"/>
      <c r="P163" s="275"/>
      <c r="Q163" s="275"/>
    </row>
    <row r="164" spans="2:17" ht="52.5" thickBot="1" x14ac:dyDescent="0.3">
      <c r="B164" s="592"/>
      <c r="C164" s="236" t="s">
        <v>202</v>
      </c>
      <c r="D164" s="193"/>
      <c r="E164" s="611"/>
      <c r="F164" s="612"/>
      <c r="G164" s="249" t="s">
        <v>203</v>
      </c>
      <c r="H164" s="250" t="s">
        <v>204</v>
      </c>
      <c r="I164" s="251" t="s">
        <v>199</v>
      </c>
      <c r="J164" s="405"/>
      <c r="K164" s="405"/>
      <c r="L164" s="235"/>
      <c r="M164" s="205"/>
      <c r="N164" s="290"/>
      <c r="O164" s="290">
        <f t="shared" ref="O164" si="65">G147-F147+1</f>
        <v>1</v>
      </c>
      <c r="P164" s="290">
        <f t="shared" ref="P164" si="66">IF(OR(O164=366,O164=365),52,(ROUNDUP(O164/7,0)))</f>
        <v>1</v>
      </c>
      <c r="Q164" s="275"/>
    </row>
    <row r="165" spans="2:17" ht="15.75" thickBot="1" x14ac:dyDescent="0.3">
      <c r="B165" s="592"/>
      <c r="C165" s="401"/>
      <c r="D165" s="405"/>
      <c r="E165" s="613" t="s">
        <v>205</v>
      </c>
      <c r="F165" s="614"/>
      <c r="G165" s="214"/>
      <c r="H165" s="215"/>
      <c r="I165" s="201">
        <f t="shared" ref="I165:I169" si="67">G165*H165</f>
        <v>0</v>
      </c>
      <c r="J165" s="405"/>
      <c r="K165" s="405"/>
      <c r="L165" s="235"/>
      <c r="M165" s="210"/>
      <c r="N165" s="180"/>
      <c r="O165" s="197"/>
      <c r="P165" s="275"/>
      <c r="Q165" s="275"/>
    </row>
    <row r="166" spans="2:17" ht="15.75" thickBot="1" x14ac:dyDescent="0.3">
      <c r="B166" s="592"/>
      <c r="C166" s="401"/>
      <c r="D166" s="405"/>
      <c r="E166" s="615" t="s">
        <v>206</v>
      </c>
      <c r="F166" s="616"/>
      <c r="G166" s="216"/>
      <c r="H166" s="217"/>
      <c r="I166" s="201">
        <f t="shared" si="67"/>
        <v>0</v>
      </c>
      <c r="J166" s="405"/>
      <c r="K166" s="405"/>
      <c r="L166" s="235"/>
      <c r="M166" s="180"/>
      <c r="N166" s="180"/>
      <c r="O166" s="275"/>
      <c r="P166" s="275"/>
      <c r="Q166" s="275"/>
    </row>
    <row r="167" spans="2:17" ht="15.75" thickBot="1" x14ac:dyDescent="0.3">
      <c r="B167" s="592"/>
      <c r="C167" s="401"/>
      <c r="D167" s="405"/>
      <c r="E167" s="615" t="s">
        <v>207</v>
      </c>
      <c r="F167" s="616"/>
      <c r="G167" s="216"/>
      <c r="H167" s="217"/>
      <c r="I167" s="201">
        <f t="shared" si="67"/>
        <v>0</v>
      </c>
      <c r="J167" s="405"/>
      <c r="K167" s="405"/>
      <c r="L167" s="235"/>
      <c r="M167" s="210"/>
      <c r="N167" s="275"/>
      <c r="O167" s="275"/>
      <c r="P167" s="275"/>
      <c r="Q167" s="275"/>
    </row>
    <row r="168" spans="2:17" ht="15.75" thickBot="1" x14ac:dyDescent="0.3">
      <c r="B168" s="592"/>
      <c r="C168" s="401"/>
      <c r="D168" s="405"/>
      <c r="E168" s="617" t="s">
        <v>208</v>
      </c>
      <c r="F168" s="618"/>
      <c r="G168" s="216"/>
      <c r="H168" s="217"/>
      <c r="I168" s="201">
        <f t="shared" si="67"/>
        <v>0</v>
      </c>
      <c r="J168" s="405"/>
      <c r="K168" s="405"/>
      <c r="L168" s="235"/>
      <c r="M168" s="210"/>
      <c r="N168" s="180"/>
      <c r="O168" s="275"/>
      <c r="P168" s="275"/>
      <c r="Q168" s="275"/>
    </row>
    <row r="169" spans="2:17" ht="15.75" thickBot="1" x14ac:dyDescent="0.3">
      <c r="B169" s="593"/>
      <c r="C169" s="371"/>
      <c r="D169" s="403"/>
      <c r="E169" s="619" t="s">
        <v>209</v>
      </c>
      <c r="F169" s="620"/>
      <c r="G169" s="372"/>
      <c r="H169" s="373"/>
      <c r="I169" s="374">
        <f t="shared" si="67"/>
        <v>0</v>
      </c>
      <c r="J169" s="403"/>
      <c r="K169" s="375"/>
      <c r="L169" s="232"/>
      <c r="M169" s="210"/>
      <c r="N169" s="275"/>
      <c r="O169" s="275"/>
      <c r="P169" s="275"/>
      <c r="Q169" s="275"/>
    </row>
    <row r="170" spans="2:17" ht="15.75" thickBot="1" x14ac:dyDescent="0.3"/>
    <row r="171" spans="2:17" ht="39.75" thickBot="1" x14ac:dyDescent="0.3">
      <c r="B171" s="591">
        <v>7</v>
      </c>
      <c r="C171" s="225" t="s">
        <v>183</v>
      </c>
      <c r="D171" s="221"/>
      <c r="E171" s="226"/>
      <c r="F171" s="226" t="s">
        <v>184</v>
      </c>
      <c r="G171" s="226" t="s">
        <v>185</v>
      </c>
      <c r="H171" s="220" t="s">
        <v>186</v>
      </c>
      <c r="I171" s="226" t="s">
        <v>187</v>
      </c>
      <c r="J171" s="227" t="s">
        <v>188</v>
      </c>
      <c r="K171" s="228" t="s">
        <v>189</v>
      </c>
      <c r="L171" s="229" t="s">
        <v>190</v>
      </c>
      <c r="M171" s="210"/>
      <c r="N171" s="180"/>
      <c r="O171" s="197"/>
      <c r="P171" s="275" t="s">
        <v>191</v>
      </c>
      <c r="Q171" s="275">
        <f>IF(F173="Exempt all taxes",0,(J172*FICA)+(J172*Medicare))</f>
        <v>0</v>
      </c>
    </row>
    <row r="172" spans="2:17" ht="15.75" thickBot="1" x14ac:dyDescent="0.3">
      <c r="B172" s="592"/>
      <c r="C172" s="594"/>
      <c r="D172" s="595"/>
      <c r="E172" s="596"/>
      <c r="F172" s="211"/>
      <c r="G172" s="212"/>
      <c r="H172" s="282">
        <f t="shared" ref="H172" si="68">P189</f>
        <v>1</v>
      </c>
      <c r="I172" s="213"/>
      <c r="J172" s="230">
        <f t="shared" ref="J172" si="69">(SUM(K176:K185))+(SUM(I190:I194))</f>
        <v>0</v>
      </c>
      <c r="K172" s="231">
        <f t="shared" ref="K172" si="70">IF(F173="No",Q172,Q171)</f>
        <v>0</v>
      </c>
      <c r="L172" s="232">
        <f t="shared" ref="L172" si="71">SUM(J172:K172)</f>
        <v>0</v>
      </c>
      <c r="M172" s="180"/>
      <c r="N172" s="281">
        <f t="shared" ref="N172" si="72">IF(ISNUMBER(L172),L172,0)</f>
        <v>0</v>
      </c>
      <c r="O172" s="275"/>
      <c r="P172" s="275" t="s">
        <v>192</v>
      </c>
      <c r="Q172" s="257">
        <f>IF(J172&gt;=SUTA_Max,((FUTA_Max*FUTA)+(SUTA_Max*I172)+(J172*FICA)+(J172*Medicare)),IF(J172&gt;=FUTA_Max,((FUTA_Max*FUTA)+(J172*I172)+(J172*FICA)+(J172*Medicare)),IF(J172&lt;FUTA_Max,(J172*(Total_Tax+I172)))))</f>
        <v>0</v>
      </c>
    </row>
    <row r="173" spans="2:17" ht="15.75" thickBot="1" x14ac:dyDescent="0.3">
      <c r="B173" s="592"/>
      <c r="C173" s="597" t="s">
        <v>193</v>
      </c>
      <c r="D173" s="598"/>
      <c r="E173" s="598"/>
      <c r="F173" s="644" t="s">
        <v>100</v>
      </c>
      <c r="G173" s="600"/>
      <c r="H173" s="233"/>
      <c r="I173" s="281"/>
      <c r="J173" s="271"/>
      <c r="K173" s="234"/>
      <c r="L173" s="235"/>
      <c r="M173" s="203"/>
      <c r="N173" s="275"/>
      <c r="O173" s="275"/>
      <c r="P173" s="275"/>
      <c r="Q173" s="275"/>
    </row>
    <row r="174" spans="2:17" ht="15.75" thickBot="1" x14ac:dyDescent="0.3">
      <c r="B174" s="592"/>
      <c r="C174" s="601"/>
      <c r="D174" s="602"/>
      <c r="E174" s="602"/>
      <c r="F174" s="602"/>
      <c r="G174" s="602"/>
      <c r="H174" s="602"/>
      <c r="I174" s="602"/>
      <c r="J174" s="602"/>
      <c r="K174" s="602"/>
      <c r="L174" s="603"/>
      <c r="M174" s="203"/>
      <c r="N174" s="275"/>
      <c r="O174" s="275"/>
      <c r="P174" s="275"/>
      <c r="Q174" s="275"/>
    </row>
    <row r="175" spans="2:17" ht="16.5" thickBot="1" x14ac:dyDescent="0.3">
      <c r="B175" s="592"/>
      <c r="C175" s="236" t="s">
        <v>194</v>
      </c>
      <c r="D175" s="193"/>
      <c r="E175" s="604"/>
      <c r="F175" s="605"/>
      <c r="G175" s="237" t="s">
        <v>195</v>
      </c>
      <c r="H175" s="238" t="s">
        <v>196</v>
      </c>
      <c r="I175" s="239" t="s">
        <v>197</v>
      </c>
      <c r="J175" s="239" t="s">
        <v>198</v>
      </c>
      <c r="K175" s="240" t="s">
        <v>199</v>
      </c>
      <c r="L175" s="235"/>
      <c r="M175" s="199"/>
      <c r="N175" s="275"/>
      <c r="O175" s="275"/>
      <c r="P175" s="275"/>
      <c r="Q175" s="275"/>
    </row>
    <row r="176" spans="2:17" ht="15.75" thickBot="1" x14ac:dyDescent="0.3">
      <c r="B176" s="592"/>
      <c r="C176" s="404"/>
      <c r="D176" s="405"/>
      <c r="E176" s="645" t="s">
        <v>104</v>
      </c>
      <c r="F176" s="646"/>
      <c r="G176" s="200"/>
      <c r="H176" s="253"/>
      <c r="I176" s="244">
        <f t="shared" ref="I176" si="73">H172</f>
        <v>1</v>
      </c>
      <c r="J176" s="245"/>
      <c r="K176" s="243">
        <f t="shared" ref="K176:K185" si="74">G176*H176*I176</f>
        <v>0</v>
      </c>
      <c r="L176" s="235"/>
      <c r="M176" s="210"/>
      <c r="N176" s="275"/>
      <c r="O176" s="275"/>
      <c r="P176" s="275"/>
      <c r="Q176" s="275"/>
    </row>
    <row r="177" spans="2:17" ht="15.75" thickBot="1" x14ac:dyDescent="0.3">
      <c r="B177" s="592"/>
      <c r="C177" s="404"/>
      <c r="D177" s="405"/>
      <c r="E177" s="645" t="s">
        <v>108</v>
      </c>
      <c r="F177" s="647"/>
      <c r="G177" s="200"/>
      <c r="H177" s="253"/>
      <c r="I177" s="244">
        <f t="shared" ref="I177" si="75">H172</f>
        <v>1</v>
      </c>
      <c r="J177" s="258"/>
      <c r="K177" s="243">
        <f t="shared" si="74"/>
        <v>0</v>
      </c>
      <c r="L177" s="235"/>
      <c r="M177" s="261"/>
      <c r="N177" s="275"/>
      <c r="O177" s="204"/>
      <c r="P177" s="275"/>
      <c r="Q177" s="275"/>
    </row>
    <row r="178" spans="2:17" ht="15.75" thickBot="1" x14ac:dyDescent="0.3">
      <c r="B178" s="592"/>
      <c r="C178" s="404"/>
      <c r="D178" s="405"/>
      <c r="E178" s="645" t="s">
        <v>111</v>
      </c>
      <c r="F178" s="647"/>
      <c r="G178" s="200"/>
      <c r="H178" s="253"/>
      <c r="I178" s="244">
        <f t="shared" ref="I178" si="76">H172</f>
        <v>1</v>
      </c>
      <c r="J178" s="258"/>
      <c r="K178" s="243">
        <f t="shared" si="74"/>
        <v>0</v>
      </c>
      <c r="L178" s="235"/>
      <c r="M178" s="261"/>
      <c r="N178" s="275"/>
      <c r="O178" s="204"/>
      <c r="P178" s="275"/>
      <c r="Q178" s="275"/>
    </row>
    <row r="179" spans="2:17" ht="15.75" thickBot="1" x14ac:dyDescent="0.3">
      <c r="B179" s="592"/>
      <c r="C179" s="404"/>
      <c r="D179" s="405"/>
      <c r="E179" s="645" t="s">
        <v>113</v>
      </c>
      <c r="F179" s="647"/>
      <c r="G179" s="200"/>
      <c r="H179" s="253"/>
      <c r="I179" s="244">
        <f t="shared" ref="I179" si="77">H172</f>
        <v>1</v>
      </c>
      <c r="J179" s="258"/>
      <c r="K179" s="243">
        <f t="shared" si="74"/>
        <v>0</v>
      </c>
      <c r="L179" s="235"/>
      <c r="M179" s="261"/>
      <c r="N179" s="275"/>
      <c r="O179" s="204"/>
      <c r="P179" s="275"/>
      <c r="Q179" s="275"/>
    </row>
    <row r="180" spans="2:17" ht="15.75" thickBot="1" x14ac:dyDescent="0.3">
      <c r="B180" s="592"/>
      <c r="C180" s="404"/>
      <c r="D180" s="405"/>
      <c r="E180" s="407"/>
      <c r="F180" s="406" t="s">
        <v>115</v>
      </c>
      <c r="G180" s="200"/>
      <c r="H180" s="253"/>
      <c r="I180" s="244">
        <f t="shared" ref="I180" si="78">H172</f>
        <v>1</v>
      </c>
      <c r="J180" s="258"/>
      <c r="K180" s="243">
        <f t="shared" si="74"/>
        <v>0</v>
      </c>
      <c r="L180" s="235"/>
      <c r="M180" s="261"/>
      <c r="N180" s="275"/>
      <c r="O180" s="204"/>
      <c r="P180" s="275"/>
      <c r="Q180" s="275"/>
    </row>
    <row r="181" spans="2:17" ht="15.75" thickBot="1" x14ac:dyDescent="0.3">
      <c r="B181" s="592"/>
      <c r="C181" s="404"/>
      <c r="D181" s="405"/>
      <c r="E181" s="645" t="s">
        <v>117</v>
      </c>
      <c r="F181" s="647"/>
      <c r="G181" s="200"/>
      <c r="H181" s="253"/>
      <c r="I181" s="244">
        <f t="shared" ref="I181" si="79">H172</f>
        <v>1</v>
      </c>
      <c r="J181" s="258"/>
      <c r="K181" s="243">
        <f t="shared" si="74"/>
        <v>0</v>
      </c>
      <c r="L181" s="235"/>
      <c r="M181" s="261"/>
      <c r="N181" s="275"/>
      <c r="O181" s="204"/>
      <c r="P181" s="275"/>
      <c r="Q181" s="275"/>
    </row>
    <row r="182" spans="2:17" ht="15.75" thickBot="1" x14ac:dyDescent="0.3">
      <c r="B182" s="592"/>
      <c r="C182" s="404"/>
      <c r="D182" s="405"/>
      <c r="E182" s="648" t="s">
        <v>120</v>
      </c>
      <c r="F182" s="647"/>
      <c r="G182" s="200"/>
      <c r="H182" s="253"/>
      <c r="I182" s="244">
        <f t="shared" ref="I182" si="80">H172</f>
        <v>1</v>
      </c>
      <c r="J182" s="259"/>
      <c r="K182" s="243">
        <f t="shared" si="74"/>
        <v>0</v>
      </c>
      <c r="L182" s="235"/>
      <c r="M182" s="261"/>
      <c r="N182" s="275"/>
      <c r="O182" s="204"/>
      <c r="P182" s="275"/>
      <c r="Q182" s="275"/>
    </row>
    <row r="183" spans="2:17" ht="15.75" thickBot="1" x14ac:dyDescent="0.3">
      <c r="B183" s="592"/>
      <c r="C183" s="404"/>
      <c r="D183" s="405"/>
      <c r="E183" s="648" t="s">
        <v>200</v>
      </c>
      <c r="F183" s="647"/>
      <c r="G183" s="200"/>
      <c r="H183" s="253"/>
      <c r="I183" s="244">
        <f t="shared" ref="I183" si="81">H172</f>
        <v>1</v>
      </c>
      <c r="J183" s="259"/>
      <c r="K183" s="243">
        <f t="shared" si="74"/>
        <v>0</v>
      </c>
      <c r="L183" s="235"/>
      <c r="M183" s="261"/>
      <c r="N183" s="275"/>
      <c r="O183" s="204"/>
      <c r="P183" s="275"/>
      <c r="Q183" s="275"/>
    </row>
    <row r="184" spans="2:17" ht="15.75" thickBot="1" x14ac:dyDescent="0.3">
      <c r="B184" s="592"/>
      <c r="C184" s="404"/>
      <c r="D184" s="405"/>
      <c r="E184" s="648" t="s">
        <v>275</v>
      </c>
      <c r="F184" s="647"/>
      <c r="G184" s="200"/>
      <c r="H184" s="253"/>
      <c r="I184" s="244">
        <f t="shared" ref="I184" si="82">H172</f>
        <v>1</v>
      </c>
      <c r="J184" s="259"/>
      <c r="K184" s="243">
        <f t="shared" si="74"/>
        <v>0</v>
      </c>
      <c r="L184" s="235"/>
      <c r="M184" s="261"/>
      <c r="N184" s="275"/>
      <c r="O184" s="204"/>
      <c r="P184" s="275"/>
      <c r="Q184" s="275"/>
    </row>
    <row r="185" spans="2:17" ht="15.75" thickBot="1" x14ac:dyDescent="0.3">
      <c r="B185" s="592"/>
      <c r="C185" s="404"/>
      <c r="D185" s="405"/>
      <c r="E185" s="608" t="s">
        <v>32</v>
      </c>
      <c r="F185" s="609"/>
      <c r="G185" s="200"/>
      <c r="H185" s="255"/>
      <c r="I185" s="200"/>
      <c r="J185" s="253"/>
      <c r="K185" s="243">
        <f t="shared" si="74"/>
        <v>0</v>
      </c>
      <c r="L185" s="235"/>
      <c r="M185" s="210"/>
      <c r="N185" s="275"/>
      <c r="O185" s="275"/>
      <c r="P185" s="275"/>
      <c r="Q185" s="275"/>
    </row>
    <row r="186" spans="2:17" x14ac:dyDescent="0.25">
      <c r="B186" s="592"/>
      <c r="C186" s="404"/>
      <c r="D186" s="610" t="s">
        <v>201</v>
      </c>
      <c r="E186" s="610"/>
      <c r="F186" s="610"/>
      <c r="G186" s="610"/>
      <c r="H186" s="610"/>
      <c r="I186" s="610"/>
      <c r="J186" s="610"/>
      <c r="K186" s="610"/>
      <c r="L186" s="246"/>
      <c r="M186" s="210"/>
      <c r="N186" s="275"/>
      <c r="O186" s="275"/>
      <c r="P186" s="275"/>
      <c r="Q186" s="275"/>
    </row>
    <row r="187" spans="2:17" x14ac:dyDescent="0.25">
      <c r="B187" s="592"/>
      <c r="C187" s="247"/>
      <c r="D187" s="610"/>
      <c r="E187" s="610"/>
      <c r="F187" s="610"/>
      <c r="G187" s="610"/>
      <c r="H187" s="610"/>
      <c r="I187" s="610"/>
      <c r="J187" s="610"/>
      <c r="K187" s="610"/>
      <c r="L187" s="246"/>
      <c r="M187" s="210"/>
      <c r="N187" s="180"/>
      <c r="O187" s="275"/>
      <c r="P187" s="275"/>
      <c r="Q187" s="275"/>
    </row>
    <row r="188" spans="2:17" ht="15.75" thickBot="1" x14ac:dyDescent="0.3">
      <c r="B188" s="592"/>
      <c r="C188" s="401"/>
      <c r="D188" s="402"/>
      <c r="E188" s="402"/>
      <c r="F188" s="402"/>
      <c r="G188" s="402"/>
      <c r="H188" s="402"/>
      <c r="I188" s="402"/>
      <c r="J188" s="402"/>
      <c r="K188" s="402"/>
      <c r="L188" s="248"/>
      <c r="M188" s="210"/>
      <c r="N188" s="180"/>
      <c r="O188" s="275"/>
      <c r="P188" s="275"/>
      <c r="Q188" s="275"/>
    </row>
    <row r="189" spans="2:17" ht="52.5" thickBot="1" x14ac:dyDescent="0.3">
      <c r="B189" s="592"/>
      <c r="C189" s="236" t="s">
        <v>202</v>
      </c>
      <c r="D189" s="193"/>
      <c r="E189" s="611"/>
      <c r="F189" s="612"/>
      <c r="G189" s="249" t="s">
        <v>203</v>
      </c>
      <c r="H189" s="250" t="s">
        <v>204</v>
      </c>
      <c r="I189" s="251" t="s">
        <v>199</v>
      </c>
      <c r="J189" s="405"/>
      <c r="K189" s="405"/>
      <c r="L189" s="235"/>
      <c r="M189" s="205"/>
      <c r="N189" s="290"/>
      <c r="O189" s="290">
        <f t="shared" ref="O189" si="83">G172-F172+1</f>
        <v>1</v>
      </c>
      <c r="P189" s="290">
        <f t="shared" ref="P189" si="84">IF(OR(O189=366,O189=365),52,(ROUNDUP(O189/7,0)))</f>
        <v>1</v>
      </c>
      <c r="Q189" s="275"/>
    </row>
    <row r="190" spans="2:17" ht="15.75" thickBot="1" x14ac:dyDescent="0.3">
      <c r="B190" s="592"/>
      <c r="C190" s="401"/>
      <c r="D190" s="405"/>
      <c r="E190" s="613" t="s">
        <v>205</v>
      </c>
      <c r="F190" s="614"/>
      <c r="G190" s="214"/>
      <c r="H190" s="215"/>
      <c r="I190" s="201">
        <f t="shared" ref="I190:I194" si="85">G190*H190</f>
        <v>0</v>
      </c>
      <c r="J190" s="405"/>
      <c r="K190" s="405"/>
      <c r="L190" s="235"/>
      <c r="M190" s="210"/>
      <c r="N190" s="180"/>
      <c r="O190" s="197"/>
      <c r="P190" s="275"/>
      <c r="Q190" s="275"/>
    </row>
    <row r="191" spans="2:17" ht="15.75" thickBot="1" x14ac:dyDescent="0.3">
      <c r="B191" s="592"/>
      <c r="C191" s="401"/>
      <c r="D191" s="405"/>
      <c r="E191" s="615" t="s">
        <v>206</v>
      </c>
      <c r="F191" s="616"/>
      <c r="G191" s="216"/>
      <c r="H191" s="217"/>
      <c r="I191" s="201">
        <f t="shared" si="85"/>
        <v>0</v>
      </c>
      <c r="J191" s="405"/>
      <c r="K191" s="405"/>
      <c r="L191" s="235"/>
      <c r="M191" s="180"/>
      <c r="N191" s="180"/>
      <c r="O191" s="275"/>
      <c r="P191" s="275"/>
      <c r="Q191" s="275"/>
    </row>
    <row r="192" spans="2:17" ht="15.75" thickBot="1" x14ac:dyDescent="0.3">
      <c r="B192" s="592"/>
      <c r="C192" s="401"/>
      <c r="D192" s="405"/>
      <c r="E192" s="615" t="s">
        <v>207</v>
      </c>
      <c r="F192" s="616"/>
      <c r="G192" s="216"/>
      <c r="H192" s="217"/>
      <c r="I192" s="201">
        <f t="shared" si="85"/>
        <v>0</v>
      </c>
      <c r="J192" s="405"/>
      <c r="K192" s="405"/>
      <c r="L192" s="235"/>
      <c r="M192" s="210"/>
      <c r="N192" s="275"/>
      <c r="O192" s="275"/>
      <c r="P192" s="275"/>
      <c r="Q192" s="275"/>
    </row>
    <row r="193" spans="2:17" ht="15.75" thickBot="1" x14ac:dyDescent="0.3">
      <c r="B193" s="592"/>
      <c r="C193" s="401"/>
      <c r="D193" s="405"/>
      <c r="E193" s="617" t="s">
        <v>208</v>
      </c>
      <c r="F193" s="618"/>
      <c r="G193" s="216"/>
      <c r="H193" s="217"/>
      <c r="I193" s="201">
        <f t="shared" si="85"/>
        <v>0</v>
      </c>
      <c r="J193" s="405"/>
      <c r="K193" s="405"/>
      <c r="L193" s="235"/>
      <c r="M193" s="210"/>
      <c r="N193" s="180"/>
      <c r="O193" s="275"/>
      <c r="P193" s="275"/>
      <c r="Q193" s="275"/>
    </row>
    <row r="194" spans="2:17" ht="15.75" thickBot="1" x14ac:dyDescent="0.3">
      <c r="B194" s="593"/>
      <c r="C194" s="371"/>
      <c r="D194" s="403"/>
      <c r="E194" s="619" t="s">
        <v>209</v>
      </c>
      <c r="F194" s="620"/>
      <c r="G194" s="372"/>
      <c r="H194" s="373"/>
      <c r="I194" s="374">
        <f t="shared" si="85"/>
        <v>0</v>
      </c>
      <c r="J194" s="403"/>
      <c r="K194" s="375"/>
      <c r="L194" s="232"/>
      <c r="M194" s="210"/>
      <c r="N194" s="275"/>
      <c r="O194" s="275"/>
      <c r="P194" s="275"/>
      <c r="Q194" s="275"/>
    </row>
    <row r="195" spans="2:17" ht="15.75" thickBot="1" x14ac:dyDescent="0.3"/>
    <row r="196" spans="2:17" ht="39.75" thickBot="1" x14ac:dyDescent="0.3">
      <c r="B196" s="591">
        <v>8</v>
      </c>
      <c r="C196" s="225" t="s">
        <v>183</v>
      </c>
      <c r="D196" s="221"/>
      <c r="E196" s="226"/>
      <c r="F196" s="226" t="s">
        <v>184</v>
      </c>
      <c r="G196" s="226" t="s">
        <v>185</v>
      </c>
      <c r="H196" s="220" t="s">
        <v>186</v>
      </c>
      <c r="I196" s="226" t="s">
        <v>187</v>
      </c>
      <c r="J196" s="227" t="s">
        <v>188</v>
      </c>
      <c r="K196" s="228" t="s">
        <v>189</v>
      </c>
      <c r="L196" s="229" t="s">
        <v>190</v>
      </c>
      <c r="M196" s="210"/>
      <c r="N196" s="180"/>
      <c r="O196" s="197"/>
      <c r="P196" s="275" t="s">
        <v>191</v>
      </c>
      <c r="Q196" s="275">
        <f>IF(F198="Exempt all taxes",0,(J197*FICA)+(J197*Medicare))</f>
        <v>0</v>
      </c>
    </row>
    <row r="197" spans="2:17" ht="15.75" thickBot="1" x14ac:dyDescent="0.3">
      <c r="B197" s="592"/>
      <c r="C197" s="594"/>
      <c r="D197" s="595"/>
      <c r="E197" s="596"/>
      <c r="F197" s="211"/>
      <c r="G197" s="212"/>
      <c r="H197" s="282">
        <f t="shared" ref="H197" si="86">P214</f>
        <v>1</v>
      </c>
      <c r="I197" s="213"/>
      <c r="J197" s="230">
        <f t="shared" ref="J197" si="87">(SUM(K201:K210))+(SUM(I215:I219))</f>
        <v>0</v>
      </c>
      <c r="K197" s="231">
        <f t="shared" ref="K197" si="88">IF(F198="No",Q197,Q196)</f>
        <v>0</v>
      </c>
      <c r="L197" s="232">
        <f t="shared" ref="L197" si="89">SUM(J197:K197)</f>
        <v>0</v>
      </c>
      <c r="M197" s="180"/>
      <c r="N197" s="281">
        <f t="shared" ref="N197" si="90">IF(ISNUMBER(L197),L197,0)</f>
        <v>0</v>
      </c>
      <c r="O197" s="275"/>
      <c r="P197" s="275" t="s">
        <v>192</v>
      </c>
      <c r="Q197" s="257">
        <f>IF(J197&gt;=SUTA_Max,((FUTA_Max*FUTA)+(SUTA_Max*I197)+(J197*FICA)+(J197*Medicare)),IF(J197&gt;=FUTA_Max,((FUTA_Max*FUTA)+(J197*I197)+(J197*FICA)+(J197*Medicare)),IF(J197&lt;FUTA_Max,(J197*(Total_Tax+I197)))))</f>
        <v>0</v>
      </c>
    </row>
    <row r="198" spans="2:17" ht="15.75" thickBot="1" x14ac:dyDescent="0.3">
      <c r="B198" s="592"/>
      <c r="C198" s="597" t="s">
        <v>193</v>
      </c>
      <c r="D198" s="598"/>
      <c r="E198" s="598"/>
      <c r="F198" s="644" t="s">
        <v>100</v>
      </c>
      <c r="G198" s="600"/>
      <c r="H198" s="233"/>
      <c r="I198" s="281"/>
      <c r="J198" s="271"/>
      <c r="K198" s="234"/>
      <c r="L198" s="235"/>
      <c r="M198" s="203"/>
      <c r="N198" s="275"/>
      <c r="O198" s="275"/>
      <c r="P198" s="275"/>
      <c r="Q198" s="275"/>
    </row>
    <row r="199" spans="2:17" ht="15.75" thickBot="1" x14ac:dyDescent="0.3">
      <c r="B199" s="592"/>
      <c r="C199" s="601"/>
      <c r="D199" s="602"/>
      <c r="E199" s="602"/>
      <c r="F199" s="602"/>
      <c r="G199" s="602"/>
      <c r="H199" s="602"/>
      <c r="I199" s="602"/>
      <c r="J199" s="602"/>
      <c r="K199" s="602"/>
      <c r="L199" s="603"/>
      <c r="M199" s="203"/>
      <c r="N199" s="275"/>
      <c r="O199" s="275"/>
      <c r="P199" s="275"/>
      <c r="Q199" s="275"/>
    </row>
    <row r="200" spans="2:17" ht="16.5" thickBot="1" x14ac:dyDescent="0.3">
      <c r="B200" s="592"/>
      <c r="C200" s="236" t="s">
        <v>194</v>
      </c>
      <c r="D200" s="193"/>
      <c r="E200" s="604"/>
      <c r="F200" s="605"/>
      <c r="G200" s="237" t="s">
        <v>195</v>
      </c>
      <c r="H200" s="238" t="s">
        <v>196</v>
      </c>
      <c r="I200" s="239" t="s">
        <v>197</v>
      </c>
      <c r="J200" s="239" t="s">
        <v>198</v>
      </c>
      <c r="K200" s="240" t="s">
        <v>199</v>
      </c>
      <c r="L200" s="235"/>
      <c r="M200" s="199"/>
      <c r="N200" s="275"/>
      <c r="O200" s="275"/>
      <c r="P200" s="275"/>
      <c r="Q200" s="275"/>
    </row>
    <row r="201" spans="2:17" ht="15.75" thickBot="1" x14ac:dyDescent="0.3">
      <c r="B201" s="592"/>
      <c r="C201" s="404"/>
      <c r="D201" s="405"/>
      <c r="E201" s="645" t="s">
        <v>104</v>
      </c>
      <c r="F201" s="646"/>
      <c r="G201" s="200"/>
      <c r="H201" s="253"/>
      <c r="I201" s="244">
        <f t="shared" ref="I201" si="91">H197</f>
        <v>1</v>
      </c>
      <c r="J201" s="245"/>
      <c r="K201" s="243">
        <f t="shared" ref="K201:K210" si="92">G201*H201*I201</f>
        <v>0</v>
      </c>
      <c r="L201" s="235"/>
      <c r="M201" s="210"/>
      <c r="N201" s="275"/>
      <c r="O201" s="275"/>
      <c r="P201" s="275"/>
      <c r="Q201" s="275"/>
    </row>
    <row r="202" spans="2:17" ht="15.75" thickBot="1" x14ac:dyDescent="0.3">
      <c r="B202" s="592"/>
      <c r="C202" s="404"/>
      <c r="D202" s="405"/>
      <c r="E202" s="645" t="s">
        <v>108</v>
      </c>
      <c r="F202" s="647"/>
      <c r="G202" s="200"/>
      <c r="H202" s="253"/>
      <c r="I202" s="244">
        <f t="shared" ref="I202" si="93">H197</f>
        <v>1</v>
      </c>
      <c r="J202" s="258"/>
      <c r="K202" s="243">
        <f t="shared" si="92"/>
        <v>0</v>
      </c>
      <c r="L202" s="235"/>
      <c r="M202" s="261"/>
      <c r="N202" s="275"/>
      <c r="O202" s="204"/>
      <c r="P202" s="275"/>
      <c r="Q202" s="275"/>
    </row>
    <row r="203" spans="2:17" ht="15.75" thickBot="1" x14ac:dyDescent="0.3">
      <c r="B203" s="592"/>
      <c r="C203" s="404"/>
      <c r="D203" s="405"/>
      <c r="E203" s="645" t="s">
        <v>111</v>
      </c>
      <c r="F203" s="647"/>
      <c r="G203" s="200"/>
      <c r="H203" s="253"/>
      <c r="I203" s="244">
        <f t="shared" ref="I203" si="94">H197</f>
        <v>1</v>
      </c>
      <c r="J203" s="258"/>
      <c r="K203" s="243">
        <f t="shared" si="92"/>
        <v>0</v>
      </c>
      <c r="L203" s="235"/>
      <c r="M203" s="261"/>
      <c r="N203" s="275"/>
      <c r="O203" s="204"/>
      <c r="P203" s="275"/>
      <c r="Q203" s="275"/>
    </row>
    <row r="204" spans="2:17" ht="15.75" thickBot="1" x14ac:dyDescent="0.3">
      <c r="B204" s="592"/>
      <c r="C204" s="404"/>
      <c r="D204" s="405"/>
      <c r="E204" s="645" t="s">
        <v>113</v>
      </c>
      <c r="F204" s="647"/>
      <c r="G204" s="200"/>
      <c r="H204" s="253"/>
      <c r="I204" s="244">
        <f t="shared" ref="I204" si="95">H197</f>
        <v>1</v>
      </c>
      <c r="J204" s="258"/>
      <c r="K204" s="243">
        <f t="shared" si="92"/>
        <v>0</v>
      </c>
      <c r="L204" s="235"/>
      <c r="M204" s="261"/>
      <c r="N204" s="275"/>
      <c r="O204" s="204"/>
      <c r="P204" s="275"/>
      <c r="Q204" s="275"/>
    </row>
    <row r="205" spans="2:17" ht="15.75" thickBot="1" x14ac:dyDescent="0.3">
      <c r="B205" s="592"/>
      <c r="C205" s="404"/>
      <c r="D205" s="405"/>
      <c r="E205" s="407"/>
      <c r="F205" s="406" t="s">
        <v>115</v>
      </c>
      <c r="G205" s="200"/>
      <c r="H205" s="253"/>
      <c r="I205" s="244">
        <f t="shared" ref="I205" si="96">H197</f>
        <v>1</v>
      </c>
      <c r="J205" s="258"/>
      <c r="K205" s="243">
        <f t="shared" si="92"/>
        <v>0</v>
      </c>
      <c r="L205" s="235"/>
      <c r="M205" s="261"/>
      <c r="N205" s="275"/>
      <c r="O205" s="204"/>
      <c r="P205" s="275"/>
      <c r="Q205" s="275"/>
    </row>
    <row r="206" spans="2:17" ht="15.75" thickBot="1" x14ac:dyDescent="0.3">
      <c r="B206" s="592"/>
      <c r="C206" s="404"/>
      <c r="D206" s="405"/>
      <c r="E206" s="645" t="s">
        <v>117</v>
      </c>
      <c r="F206" s="647"/>
      <c r="G206" s="200"/>
      <c r="H206" s="253"/>
      <c r="I206" s="244">
        <f t="shared" ref="I206" si="97">H197</f>
        <v>1</v>
      </c>
      <c r="J206" s="258"/>
      <c r="K206" s="243">
        <f t="shared" si="92"/>
        <v>0</v>
      </c>
      <c r="L206" s="235"/>
      <c r="M206" s="261"/>
      <c r="N206" s="275"/>
      <c r="O206" s="204"/>
      <c r="P206" s="275"/>
      <c r="Q206" s="275"/>
    </row>
    <row r="207" spans="2:17" ht="15.75" thickBot="1" x14ac:dyDescent="0.3">
      <c r="B207" s="592"/>
      <c r="C207" s="404"/>
      <c r="D207" s="405"/>
      <c r="E207" s="648" t="s">
        <v>120</v>
      </c>
      <c r="F207" s="647"/>
      <c r="G207" s="200"/>
      <c r="H207" s="253"/>
      <c r="I207" s="244">
        <f t="shared" ref="I207" si="98">H197</f>
        <v>1</v>
      </c>
      <c r="J207" s="259"/>
      <c r="K207" s="243">
        <f t="shared" si="92"/>
        <v>0</v>
      </c>
      <c r="L207" s="235"/>
      <c r="M207" s="261"/>
      <c r="N207" s="275"/>
      <c r="O207" s="204"/>
      <c r="P207" s="275"/>
      <c r="Q207" s="275"/>
    </row>
    <row r="208" spans="2:17" ht="15.75" thickBot="1" x14ac:dyDescent="0.3">
      <c r="B208" s="592"/>
      <c r="C208" s="404"/>
      <c r="D208" s="405"/>
      <c r="E208" s="648" t="s">
        <v>200</v>
      </c>
      <c r="F208" s="647"/>
      <c r="G208" s="200"/>
      <c r="H208" s="253"/>
      <c r="I208" s="244">
        <f t="shared" ref="I208" si="99">H197</f>
        <v>1</v>
      </c>
      <c r="J208" s="259"/>
      <c r="K208" s="243">
        <f t="shared" si="92"/>
        <v>0</v>
      </c>
      <c r="L208" s="235"/>
      <c r="M208" s="261"/>
      <c r="N208" s="275"/>
      <c r="O208" s="204"/>
      <c r="P208" s="275"/>
      <c r="Q208" s="275"/>
    </row>
    <row r="209" spans="2:17" ht="15.75" thickBot="1" x14ac:dyDescent="0.3">
      <c r="B209" s="592"/>
      <c r="C209" s="404"/>
      <c r="D209" s="405"/>
      <c r="E209" s="648" t="s">
        <v>275</v>
      </c>
      <c r="F209" s="647"/>
      <c r="G209" s="200"/>
      <c r="H209" s="253"/>
      <c r="I209" s="244">
        <f t="shared" ref="I209" si="100">H197</f>
        <v>1</v>
      </c>
      <c r="J209" s="259"/>
      <c r="K209" s="243">
        <f t="shared" si="92"/>
        <v>0</v>
      </c>
      <c r="L209" s="235"/>
      <c r="M209" s="261"/>
      <c r="N209" s="275"/>
      <c r="O209" s="204"/>
      <c r="P209" s="275"/>
      <c r="Q209" s="275"/>
    </row>
    <row r="210" spans="2:17" ht="15.75" thickBot="1" x14ac:dyDescent="0.3">
      <c r="B210" s="592"/>
      <c r="C210" s="404"/>
      <c r="D210" s="405"/>
      <c r="E210" s="608" t="s">
        <v>32</v>
      </c>
      <c r="F210" s="609"/>
      <c r="G210" s="200"/>
      <c r="H210" s="255"/>
      <c r="I210" s="200"/>
      <c r="J210" s="253"/>
      <c r="K210" s="243">
        <f t="shared" si="92"/>
        <v>0</v>
      </c>
      <c r="L210" s="235"/>
      <c r="M210" s="210"/>
      <c r="N210" s="275"/>
      <c r="O210" s="275"/>
      <c r="P210" s="275"/>
      <c r="Q210" s="275"/>
    </row>
    <row r="211" spans="2:17" x14ac:dyDescent="0.25">
      <c r="B211" s="592"/>
      <c r="C211" s="404"/>
      <c r="D211" s="610" t="s">
        <v>201</v>
      </c>
      <c r="E211" s="610"/>
      <c r="F211" s="610"/>
      <c r="G211" s="610"/>
      <c r="H211" s="610"/>
      <c r="I211" s="610"/>
      <c r="J211" s="610"/>
      <c r="K211" s="610"/>
      <c r="L211" s="246"/>
      <c r="M211" s="210"/>
      <c r="N211" s="275"/>
      <c r="O211" s="275"/>
      <c r="P211" s="275"/>
      <c r="Q211" s="275"/>
    </row>
    <row r="212" spans="2:17" x14ac:dyDescent="0.25">
      <c r="B212" s="592"/>
      <c r="C212" s="247"/>
      <c r="D212" s="610"/>
      <c r="E212" s="610"/>
      <c r="F212" s="610"/>
      <c r="G212" s="610"/>
      <c r="H212" s="610"/>
      <c r="I212" s="610"/>
      <c r="J212" s="610"/>
      <c r="K212" s="610"/>
      <c r="L212" s="246"/>
      <c r="M212" s="210"/>
      <c r="N212" s="180"/>
      <c r="O212" s="275"/>
      <c r="P212" s="275"/>
      <c r="Q212" s="275"/>
    </row>
    <row r="213" spans="2:17" ht="15.75" thickBot="1" x14ac:dyDescent="0.3">
      <c r="B213" s="592"/>
      <c r="C213" s="401"/>
      <c r="D213" s="402"/>
      <c r="E213" s="402"/>
      <c r="F213" s="402"/>
      <c r="G213" s="402"/>
      <c r="H213" s="402"/>
      <c r="I213" s="402"/>
      <c r="J213" s="402"/>
      <c r="K213" s="402"/>
      <c r="L213" s="248"/>
      <c r="M213" s="210"/>
      <c r="N213" s="180"/>
      <c r="O213" s="275"/>
      <c r="P213" s="275"/>
      <c r="Q213" s="275"/>
    </row>
    <row r="214" spans="2:17" ht="52.5" thickBot="1" x14ac:dyDescent="0.3">
      <c r="B214" s="592"/>
      <c r="C214" s="236" t="s">
        <v>202</v>
      </c>
      <c r="D214" s="193"/>
      <c r="E214" s="611"/>
      <c r="F214" s="612"/>
      <c r="G214" s="249" t="s">
        <v>203</v>
      </c>
      <c r="H214" s="250" t="s">
        <v>204</v>
      </c>
      <c r="I214" s="251" t="s">
        <v>199</v>
      </c>
      <c r="J214" s="405"/>
      <c r="K214" s="405"/>
      <c r="L214" s="235"/>
      <c r="M214" s="205"/>
      <c r="N214" s="290"/>
      <c r="O214" s="290">
        <f t="shared" ref="O214" si="101">G197-F197+1</f>
        <v>1</v>
      </c>
      <c r="P214" s="290">
        <f t="shared" ref="P214" si="102">IF(OR(O214=366,O214=365),52,(ROUNDUP(O214/7,0)))</f>
        <v>1</v>
      </c>
      <c r="Q214" s="275"/>
    </row>
    <row r="215" spans="2:17" ht="15.75" thickBot="1" x14ac:dyDescent="0.3">
      <c r="B215" s="592"/>
      <c r="C215" s="401"/>
      <c r="D215" s="405"/>
      <c r="E215" s="613" t="s">
        <v>205</v>
      </c>
      <c r="F215" s="614"/>
      <c r="G215" s="214"/>
      <c r="H215" s="215"/>
      <c r="I215" s="201">
        <f t="shared" ref="I215:I219" si="103">G215*H215</f>
        <v>0</v>
      </c>
      <c r="J215" s="405"/>
      <c r="K215" s="405"/>
      <c r="L215" s="235"/>
      <c r="M215" s="210"/>
      <c r="N215" s="180"/>
      <c r="O215" s="197"/>
      <c r="P215" s="275"/>
      <c r="Q215" s="275"/>
    </row>
    <row r="216" spans="2:17" ht="15.75" thickBot="1" x14ac:dyDescent="0.3">
      <c r="B216" s="592"/>
      <c r="C216" s="401"/>
      <c r="D216" s="405"/>
      <c r="E216" s="615" t="s">
        <v>206</v>
      </c>
      <c r="F216" s="616"/>
      <c r="G216" s="216"/>
      <c r="H216" s="217"/>
      <c r="I216" s="201">
        <f t="shared" si="103"/>
        <v>0</v>
      </c>
      <c r="J216" s="405"/>
      <c r="K216" s="405"/>
      <c r="L216" s="235"/>
      <c r="M216" s="180"/>
      <c r="N216" s="180"/>
      <c r="O216" s="275"/>
      <c r="P216" s="275"/>
      <c r="Q216" s="275"/>
    </row>
    <row r="217" spans="2:17" ht="15.75" thickBot="1" x14ac:dyDescent="0.3">
      <c r="B217" s="592"/>
      <c r="C217" s="401"/>
      <c r="D217" s="405"/>
      <c r="E217" s="615" t="s">
        <v>207</v>
      </c>
      <c r="F217" s="616"/>
      <c r="G217" s="216"/>
      <c r="H217" s="217"/>
      <c r="I217" s="201">
        <f t="shared" si="103"/>
        <v>0</v>
      </c>
      <c r="J217" s="405"/>
      <c r="K217" s="405"/>
      <c r="L217" s="235"/>
      <c r="M217" s="210"/>
      <c r="N217" s="275"/>
      <c r="O217" s="275"/>
      <c r="P217" s="275"/>
      <c r="Q217" s="275"/>
    </row>
    <row r="218" spans="2:17" ht="15.75" thickBot="1" x14ac:dyDescent="0.3">
      <c r="B218" s="592"/>
      <c r="C218" s="401"/>
      <c r="D218" s="405"/>
      <c r="E218" s="617" t="s">
        <v>208</v>
      </c>
      <c r="F218" s="618"/>
      <c r="G218" s="216"/>
      <c r="H218" s="217"/>
      <c r="I218" s="201">
        <f t="shared" si="103"/>
        <v>0</v>
      </c>
      <c r="J218" s="405"/>
      <c r="K218" s="405"/>
      <c r="L218" s="235"/>
      <c r="M218" s="210"/>
      <c r="N218" s="180"/>
      <c r="O218" s="275"/>
      <c r="P218" s="275"/>
      <c r="Q218" s="275"/>
    </row>
    <row r="219" spans="2:17" ht="15.75" thickBot="1" x14ac:dyDescent="0.3">
      <c r="B219" s="593"/>
      <c r="C219" s="371"/>
      <c r="D219" s="403"/>
      <c r="E219" s="619" t="s">
        <v>209</v>
      </c>
      <c r="F219" s="620"/>
      <c r="G219" s="372"/>
      <c r="H219" s="373"/>
      <c r="I219" s="374">
        <f t="shared" si="103"/>
        <v>0</v>
      </c>
      <c r="J219" s="403"/>
      <c r="K219" s="375"/>
      <c r="L219" s="232"/>
      <c r="M219" s="210"/>
      <c r="N219" s="275"/>
      <c r="O219" s="275"/>
      <c r="P219" s="275"/>
      <c r="Q219" s="275"/>
    </row>
  </sheetData>
  <sheetProtection password="E7F0" sheet="1" objects="1" scenarios="1"/>
  <mergeCells count="198">
    <mergeCell ref="D36:K37"/>
    <mergeCell ref="C49:L49"/>
    <mergeCell ref="E50:F50"/>
    <mergeCell ref="E56:F56"/>
    <mergeCell ref="D61:K62"/>
    <mergeCell ref="C46:E46"/>
    <mergeCell ref="E115:F115"/>
    <mergeCell ref="E116:F116"/>
    <mergeCell ref="E90:F90"/>
    <mergeCell ref="E91:F91"/>
    <mergeCell ref="E92:F92"/>
    <mergeCell ref="E93:F93"/>
    <mergeCell ref="E94:F94"/>
    <mergeCell ref="E66:F66"/>
    <mergeCell ref="E67:F67"/>
    <mergeCell ref="E68:F68"/>
    <mergeCell ref="E69:F69"/>
    <mergeCell ref="C48:E48"/>
    <mergeCell ref="E51:F51"/>
    <mergeCell ref="E52:F52"/>
    <mergeCell ref="E53:F53"/>
    <mergeCell ref="E54:F54"/>
    <mergeCell ref="E57:F57"/>
    <mergeCell ref="E117:F117"/>
    <mergeCell ref="E118:F118"/>
    <mergeCell ref="E119:F119"/>
    <mergeCell ref="B96:B119"/>
    <mergeCell ref="C97:E97"/>
    <mergeCell ref="C98:E98"/>
    <mergeCell ref="F98:G98"/>
    <mergeCell ref="C99:L99"/>
    <mergeCell ref="E100:F100"/>
    <mergeCell ref="E101:F101"/>
    <mergeCell ref="E102:F102"/>
    <mergeCell ref="E103:F103"/>
    <mergeCell ref="E104:F104"/>
    <mergeCell ref="E106:F106"/>
    <mergeCell ref="E107:F107"/>
    <mergeCell ref="E109:F109"/>
    <mergeCell ref="E110:F110"/>
    <mergeCell ref="D111:K112"/>
    <mergeCell ref="E114:F114"/>
    <mergeCell ref="E108:F108"/>
    <mergeCell ref="B71:B94"/>
    <mergeCell ref="C72:E72"/>
    <mergeCell ref="C73:E73"/>
    <mergeCell ref="F73:G73"/>
    <mergeCell ref="C74:L74"/>
    <mergeCell ref="E75:F75"/>
    <mergeCell ref="E76:F76"/>
    <mergeCell ref="E77:F77"/>
    <mergeCell ref="E78:F78"/>
    <mergeCell ref="E79:F79"/>
    <mergeCell ref="E81:F81"/>
    <mergeCell ref="E82:F82"/>
    <mergeCell ref="E84:F84"/>
    <mergeCell ref="E85:F85"/>
    <mergeCell ref="D86:K87"/>
    <mergeCell ref="E89:F89"/>
    <mergeCell ref="E83:F83"/>
    <mergeCell ref="E64:F64"/>
    <mergeCell ref="E34:F34"/>
    <mergeCell ref="E59:F59"/>
    <mergeCell ref="E60:F60"/>
    <mergeCell ref="E65:F65"/>
    <mergeCell ref="B46:B69"/>
    <mergeCell ref="C47:E47"/>
    <mergeCell ref="F48:G48"/>
    <mergeCell ref="O10:P10"/>
    <mergeCell ref="B10:L10"/>
    <mergeCell ref="H11:K12"/>
    <mergeCell ref="L11:L12"/>
    <mergeCell ref="B20:L20"/>
    <mergeCell ref="J17:L18"/>
    <mergeCell ref="B17:I18"/>
    <mergeCell ref="O11:P11"/>
    <mergeCell ref="B11:F11"/>
    <mergeCell ref="N19:P19"/>
    <mergeCell ref="J16:L16"/>
    <mergeCell ref="B16:I16"/>
    <mergeCell ref="E41:F41"/>
    <mergeCell ref="B21:B44"/>
    <mergeCell ref="E26:F26"/>
    <mergeCell ref="E35:F35"/>
    <mergeCell ref="E58:F58"/>
    <mergeCell ref="E33:F33"/>
    <mergeCell ref="B3:L3"/>
    <mergeCell ref="B2:L2"/>
    <mergeCell ref="B14:L14"/>
    <mergeCell ref="C5:F5"/>
    <mergeCell ref="C6:F6"/>
    <mergeCell ref="B12:F12"/>
    <mergeCell ref="J8:K8"/>
    <mergeCell ref="G8:H8"/>
    <mergeCell ref="C23:E23"/>
    <mergeCell ref="F23:G23"/>
    <mergeCell ref="E42:F42"/>
    <mergeCell ref="E43:F43"/>
    <mergeCell ref="E40:F40"/>
    <mergeCell ref="E27:F27"/>
    <mergeCell ref="E28:F28"/>
    <mergeCell ref="E29:F29"/>
    <mergeCell ref="E31:F31"/>
    <mergeCell ref="C22:E22"/>
    <mergeCell ref="C24:L24"/>
    <mergeCell ref="E25:F25"/>
    <mergeCell ref="E39:F39"/>
    <mergeCell ref="C21:E21"/>
    <mergeCell ref="E32:F32"/>
    <mergeCell ref="B121:B144"/>
    <mergeCell ref="C122:E122"/>
    <mergeCell ref="C123:E123"/>
    <mergeCell ref="F123:G123"/>
    <mergeCell ref="C124:L124"/>
    <mergeCell ref="E125:F125"/>
    <mergeCell ref="E126:F126"/>
    <mergeCell ref="E127:F127"/>
    <mergeCell ref="E128:F128"/>
    <mergeCell ref="E129:F129"/>
    <mergeCell ref="E131:F131"/>
    <mergeCell ref="E132:F132"/>
    <mergeCell ref="E133:F133"/>
    <mergeCell ref="E134:F134"/>
    <mergeCell ref="E135:F135"/>
    <mergeCell ref="D136:K137"/>
    <mergeCell ref="E139:F139"/>
    <mergeCell ref="E140:F140"/>
    <mergeCell ref="E141:F141"/>
    <mergeCell ref="E142:F142"/>
    <mergeCell ref="E143:F143"/>
    <mergeCell ref="E144:F144"/>
    <mergeCell ref="E44:F44"/>
    <mergeCell ref="B146:B169"/>
    <mergeCell ref="C147:E147"/>
    <mergeCell ref="C148:E148"/>
    <mergeCell ref="F148:G148"/>
    <mergeCell ref="C149:L149"/>
    <mergeCell ref="E150:F150"/>
    <mergeCell ref="E151:F151"/>
    <mergeCell ref="E152:F152"/>
    <mergeCell ref="E153:F153"/>
    <mergeCell ref="E154:F154"/>
    <mergeCell ref="E156:F156"/>
    <mergeCell ref="E157:F157"/>
    <mergeCell ref="E158:F158"/>
    <mergeCell ref="E159:F159"/>
    <mergeCell ref="E160:F160"/>
    <mergeCell ref="D161:K162"/>
    <mergeCell ref="E164:F164"/>
    <mergeCell ref="E165:F165"/>
    <mergeCell ref="E166:F166"/>
    <mergeCell ref="E167:F167"/>
    <mergeCell ref="E168:F168"/>
    <mergeCell ref="E169:F169"/>
    <mergeCell ref="B171:B194"/>
    <mergeCell ref="C172:E172"/>
    <mergeCell ref="C173:E173"/>
    <mergeCell ref="F173:G173"/>
    <mergeCell ref="C174:L174"/>
    <mergeCell ref="E175:F175"/>
    <mergeCell ref="E176:F176"/>
    <mergeCell ref="E177:F177"/>
    <mergeCell ref="E178:F178"/>
    <mergeCell ref="E179:F179"/>
    <mergeCell ref="E181:F181"/>
    <mergeCell ref="E182:F182"/>
    <mergeCell ref="E183:F183"/>
    <mergeCell ref="E184:F184"/>
    <mergeCell ref="E185:F185"/>
    <mergeCell ref="D186:K187"/>
    <mergeCell ref="E189:F189"/>
    <mergeCell ref="E190:F190"/>
    <mergeCell ref="E191:F191"/>
    <mergeCell ref="E192:F192"/>
    <mergeCell ref="E193:F193"/>
    <mergeCell ref="E194:F194"/>
    <mergeCell ref="B196:B219"/>
    <mergeCell ref="C197:E197"/>
    <mergeCell ref="C198:E198"/>
    <mergeCell ref="F198:G198"/>
    <mergeCell ref="C199:L199"/>
    <mergeCell ref="E200:F200"/>
    <mergeCell ref="E201:F201"/>
    <mergeCell ref="E202:F202"/>
    <mergeCell ref="E203:F203"/>
    <mergeCell ref="E204:F204"/>
    <mergeCell ref="E206:F206"/>
    <mergeCell ref="E207:F207"/>
    <mergeCell ref="E208:F208"/>
    <mergeCell ref="E209:F209"/>
    <mergeCell ref="E210:F210"/>
    <mergeCell ref="D211:K212"/>
    <mergeCell ref="E214:F214"/>
    <mergeCell ref="E215:F215"/>
    <mergeCell ref="E216:F216"/>
    <mergeCell ref="E217:F217"/>
    <mergeCell ref="E218:F218"/>
    <mergeCell ref="E219:F219"/>
  </mergeCells>
  <dataValidations count="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48:G48 F73:G73 F98:G98 F123:G123 F148:G148 F173:G173 F198:G198">
      <formula1>$P$2:$P$4</formula1>
    </dataValidation>
    <dataValidation type="custom" allowBlank="1" showInputMessage="1" showErrorMessage="1" errorTitle="Minimum Wage" error="The minimum allowed wage is $7.25." promptTitle="Pay Rate" prompt="Enter the hourly pay rate for this service." sqref="H26:H34 H51:H59 H76:H84 H101:H109 H126:H134 H151:H159 H176:H184 H201:H209">
      <formula1>IF(H26&gt;=7.25,H26,)</formula1>
    </dataValidation>
  </dataValidations>
  <pageMargins left="0.7" right="0.7" top="0.75" bottom="0.75" header="0.3" footer="0.3"/>
  <pageSetup scale="76" fitToHeight="10" orientation="portrait" r:id="rId1"/>
  <headerFooter>
    <oddHeader>&amp;LTexas Department of 
Aging and Disability Services&amp;RHCS CDS Budget
February 2015</oddHeader>
    <oddFooter>&amp;RDate and Time Created
&amp;D &amp;T</oddFooter>
  </headerFooter>
  <rowBreaks count="1" manualBreakCount="1">
    <brk id="45"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65" zoomScaleNormal="65" zoomScalePageLayoutView="55" workbookViewId="0">
      <selection activeCell="F146" sqref="F146:G146"/>
    </sheetView>
  </sheetViews>
  <sheetFormatPr defaultRowHeight="12.75" x14ac:dyDescent="0.2"/>
  <cols>
    <col min="1" max="1" width="3.7109375" style="99" customWidth="1"/>
    <col min="2" max="2" width="2.140625" style="67" customWidth="1"/>
    <col min="3" max="3" width="50.85546875" style="67" bestFit="1" customWidth="1"/>
    <col min="4" max="4" width="26.28515625" style="67" customWidth="1"/>
    <col min="5" max="5" width="17" style="67" customWidth="1"/>
    <col min="6" max="6" width="28.140625" style="67" bestFit="1" customWidth="1"/>
    <col min="7" max="7" width="26.28515625" style="67" customWidth="1"/>
    <col min="8" max="8" width="1.85546875" style="67" customWidth="1"/>
    <col min="9" max="9" width="13.28515625" style="99" hidden="1" customWidth="1"/>
    <col min="10" max="13" width="13.28515625" style="99" customWidth="1"/>
    <col min="14" max="16384" width="9.140625" style="67"/>
  </cols>
  <sheetData>
    <row r="1" spans="1:9" x14ac:dyDescent="0.2">
      <c r="A1" s="84"/>
      <c r="B1" s="76"/>
      <c r="C1" s="68"/>
      <c r="D1" s="68"/>
      <c r="E1" s="68"/>
      <c r="F1" s="68"/>
      <c r="G1" s="68"/>
    </row>
    <row r="2" spans="1:9" ht="20.25" x14ac:dyDescent="0.2">
      <c r="A2" s="84"/>
      <c r="B2" s="717" t="s">
        <v>0</v>
      </c>
      <c r="C2" s="717"/>
      <c r="D2" s="717"/>
      <c r="E2" s="717"/>
      <c r="F2" s="717"/>
      <c r="G2" s="717"/>
    </row>
    <row r="3" spans="1:9" ht="15" x14ac:dyDescent="0.25">
      <c r="A3" s="84"/>
      <c r="B3" s="718" t="s">
        <v>126</v>
      </c>
      <c r="C3" s="718"/>
      <c r="D3" s="718"/>
      <c r="E3" s="718"/>
      <c r="F3" s="718"/>
      <c r="G3" s="718"/>
    </row>
    <row r="4" spans="1:9" ht="15" x14ac:dyDescent="0.25">
      <c r="A4" s="84"/>
      <c r="B4" s="76"/>
      <c r="C4" s="71"/>
      <c r="D4" s="71"/>
      <c r="E4" s="71"/>
      <c r="F4" s="71"/>
      <c r="G4" s="71"/>
    </row>
    <row r="5" spans="1:9" ht="15.75" thickBot="1" x14ac:dyDescent="0.3">
      <c r="A5" s="84"/>
      <c r="B5" s="76"/>
      <c r="C5" s="72">
        <f>IndName</f>
        <v>0</v>
      </c>
      <c r="D5" s="77"/>
      <c r="E5" s="77"/>
      <c r="F5" s="72">
        <f>MedID</f>
        <v>0</v>
      </c>
      <c r="G5" s="77"/>
    </row>
    <row r="6" spans="1:9" ht="14.25" x14ac:dyDescent="0.2">
      <c r="A6" s="84"/>
      <c r="B6" s="76"/>
      <c r="C6" s="73" t="s">
        <v>86</v>
      </c>
      <c r="D6" s="73"/>
      <c r="E6" s="73"/>
      <c r="F6" s="78" t="s">
        <v>87</v>
      </c>
      <c r="G6" s="79"/>
    </row>
    <row r="7" spans="1:9" ht="15" thickBot="1" x14ac:dyDescent="0.25">
      <c r="A7" s="84"/>
      <c r="B7" s="76"/>
      <c r="C7" s="73"/>
      <c r="D7" s="73"/>
      <c r="E7" s="73"/>
      <c r="F7" s="79"/>
      <c r="G7" s="79"/>
    </row>
    <row r="8" spans="1:9" ht="15.75" thickBot="1" x14ac:dyDescent="0.3">
      <c r="A8" s="84"/>
      <c r="B8" s="76"/>
      <c r="C8" s="74" t="s">
        <v>127</v>
      </c>
      <c r="D8" s="92"/>
      <c r="E8" s="74" t="s">
        <v>89</v>
      </c>
      <c r="F8" s="92"/>
      <c r="G8" s="75"/>
      <c r="I8" s="99" t="s">
        <v>128</v>
      </c>
    </row>
    <row r="9" spans="1:9" ht="16.5" thickBot="1" x14ac:dyDescent="0.3">
      <c r="A9" s="149"/>
      <c r="B9" s="70"/>
      <c r="C9" s="74" t="s">
        <v>129</v>
      </c>
      <c r="D9" s="80"/>
      <c r="E9" s="85"/>
      <c r="F9" s="70"/>
      <c r="G9" s="68"/>
      <c r="I9" s="99" t="s">
        <v>130</v>
      </c>
    </row>
    <row r="10" spans="1:9" ht="8.25" customHeight="1" x14ac:dyDescent="0.25">
      <c r="A10" s="149"/>
      <c r="B10" s="70"/>
      <c r="C10" s="74"/>
      <c r="D10" s="82"/>
      <c r="E10" s="85"/>
      <c r="F10" s="70"/>
      <c r="G10" s="68"/>
      <c r="I10" s="99" t="s">
        <v>131</v>
      </c>
    </row>
    <row r="11" spans="1:9" ht="9.75" customHeight="1" x14ac:dyDescent="0.25">
      <c r="A11" s="149"/>
      <c r="B11" s="70"/>
      <c r="C11" s="89"/>
      <c r="D11" s="83"/>
      <c r="E11" s="85"/>
      <c r="F11" s="70"/>
      <c r="G11" s="68"/>
      <c r="I11" s="99" t="s">
        <v>132</v>
      </c>
    </row>
    <row r="12" spans="1:9" ht="15.75" x14ac:dyDescent="0.25">
      <c r="A12" s="149"/>
      <c r="B12" s="490" t="s">
        <v>133</v>
      </c>
      <c r="C12" s="490"/>
      <c r="D12" s="490"/>
      <c r="E12" s="490"/>
      <c r="F12" s="490"/>
      <c r="G12" s="490"/>
    </row>
    <row r="13" spans="1:9" ht="6.75" customHeight="1" thickBot="1" x14ac:dyDescent="0.25">
      <c r="A13" s="149"/>
      <c r="B13" s="70"/>
      <c r="C13" s="70"/>
      <c r="D13" s="70"/>
      <c r="E13" s="70"/>
      <c r="F13" s="70"/>
      <c r="G13" s="68"/>
    </row>
    <row r="14" spans="1:9" ht="19.5" thickBot="1" x14ac:dyDescent="0.35">
      <c r="A14" s="149"/>
      <c r="B14" s="86"/>
      <c r="C14" s="87"/>
      <c r="D14" s="87"/>
      <c r="E14" s="87"/>
      <c r="F14" s="87"/>
      <c r="G14" s="88"/>
      <c r="H14" s="103"/>
    </row>
    <row r="15" spans="1:9" ht="18.75" thickBot="1" x14ac:dyDescent="0.3">
      <c r="A15" s="149"/>
      <c r="B15" s="90"/>
      <c r="C15" s="703" t="s">
        <v>274</v>
      </c>
      <c r="D15" s="704"/>
      <c r="E15" s="704"/>
      <c r="F15" s="704"/>
      <c r="G15" s="705"/>
      <c r="H15" s="104"/>
    </row>
    <row r="16" spans="1:9" ht="15" thickBot="1" x14ac:dyDescent="0.25">
      <c r="A16" s="84"/>
      <c r="B16" s="90"/>
      <c r="C16" s="116"/>
      <c r="D16" s="117" t="s">
        <v>134</v>
      </c>
      <c r="E16" s="118" t="s">
        <v>135</v>
      </c>
      <c r="F16" s="117" t="s">
        <v>136</v>
      </c>
      <c r="G16" s="119" t="s">
        <v>137</v>
      </c>
      <c r="H16" s="104"/>
    </row>
    <row r="17" spans="1:8" ht="15" thickBot="1" x14ac:dyDescent="0.25">
      <c r="A17" s="84"/>
      <c r="B17" s="90"/>
      <c r="C17" s="120" t="s">
        <v>138</v>
      </c>
      <c r="D17" s="121">
        <f>AuthCFC/4</f>
        <v>0</v>
      </c>
      <c r="E17" s="122"/>
      <c r="F17" s="123">
        <f>(AuthCFC*CFCRate)/4</f>
        <v>0</v>
      </c>
      <c r="G17" s="124">
        <f>E17*CFCRate</f>
        <v>0</v>
      </c>
      <c r="H17" s="104"/>
    </row>
    <row r="18" spans="1:8" ht="15" thickBot="1" x14ac:dyDescent="0.25">
      <c r="A18" s="84"/>
      <c r="B18" s="90"/>
      <c r="C18" s="120" t="s">
        <v>139</v>
      </c>
      <c r="D18" s="121">
        <f>AuthCFC/4</f>
        <v>0</v>
      </c>
      <c r="E18" s="122"/>
      <c r="F18" s="123">
        <f>(AuthCFC*CFCRate)/4</f>
        <v>0</v>
      </c>
      <c r="G18" s="386">
        <f>E18*CFCRate</f>
        <v>0</v>
      </c>
      <c r="H18" s="104"/>
    </row>
    <row r="19" spans="1:8" ht="15" thickBot="1" x14ac:dyDescent="0.25">
      <c r="A19" s="84"/>
      <c r="B19" s="90"/>
      <c r="C19" s="120" t="s">
        <v>140</v>
      </c>
      <c r="D19" s="121">
        <f>AuthCFC/4</f>
        <v>0</v>
      </c>
      <c r="E19" s="122"/>
      <c r="F19" s="123">
        <f>(AuthCFC*CFCRate)/4</f>
        <v>0</v>
      </c>
      <c r="G19" s="386">
        <f>E19*CFCRate</f>
        <v>0</v>
      </c>
      <c r="H19" s="104"/>
    </row>
    <row r="20" spans="1:8" ht="15" thickBot="1" x14ac:dyDescent="0.25">
      <c r="A20" s="84"/>
      <c r="B20" s="90"/>
      <c r="C20" s="125" t="s">
        <v>141</v>
      </c>
      <c r="D20" s="121">
        <f>AuthCFC/4</f>
        <v>0</v>
      </c>
      <c r="E20" s="126"/>
      <c r="F20" s="123">
        <f>(AuthCFC*CFCRate)/4</f>
        <v>0</v>
      </c>
      <c r="G20" s="386">
        <f>E20*CFCRate</f>
        <v>0</v>
      </c>
      <c r="H20" s="104"/>
    </row>
    <row r="21" spans="1:8" ht="4.5" customHeight="1" thickBot="1" x14ac:dyDescent="0.25">
      <c r="A21" s="84"/>
      <c r="B21" s="90"/>
      <c r="C21" s="709"/>
      <c r="D21" s="710"/>
      <c r="E21" s="710"/>
      <c r="F21" s="710"/>
      <c r="G21" s="716"/>
      <c r="H21" s="104"/>
    </row>
    <row r="22" spans="1:8" ht="15" x14ac:dyDescent="0.25">
      <c r="A22" s="84"/>
      <c r="B22" s="90"/>
      <c r="C22" s="127" t="s">
        <v>142</v>
      </c>
      <c r="D22" s="128">
        <f>SUM(D17:D20)</f>
        <v>0</v>
      </c>
      <c r="E22" s="128">
        <f>SUM(E17:E20)</f>
        <v>0</v>
      </c>
      <c r="F22" s="129">
        <f>SUM(F17:F20)</f>
        <v>0</v>
      </c>
      <c r="G22" s="130">
        <f>SUM(G17:G20)</f>
        <v>0</v>
      </c>
      <c r="H22" s="104"/>
    </row>
    <row r="23" spans="1:8" ht="15.75" thickBot="1" x14ac:dyDescent="0.3">
      <c r="A23" s="84"/>
      <c r="B23" s="90"/>
      <c r="C23" s="131" t="s">
        <v>143</v>
      </c>
      <c r="D23" s="132">
        <f>D22-E22</f>
        <v>0</v>
      </c>
      <c r="E23" s="132"/>
      <c r="F23" s="133">
        <f>F22-G22</f>
        <v>0</v>
      </c>
      <c r="G23" s="134"/>
      <c r="H23" s="104"/>
    </row>
    <row r="24" spans="1:8" ht="15" thickBot="1" x14ac:dyDescent="0.25">
      <c r="A24" s="84"/>
      <c r="B24" s="90"/>
      <c r="C24" s="105"/>
      <c r="D24" s="105"/>
      <c r="E24" s="105"/>
      <c r="F24" s="105"/>
      <c r="G24" s="105"/>
      <c r="H24" s="104"/>
    </row>
    <row r="25" spans="1:8" ht="18.75" thickBot="1" x14ac:dyDescent="0.3">
      <c r="A25" s="84"/>
      <c r="B25" s="90"/>
      <c r="C25" s="703" t="s">
        <v>104</v>
      </c>
      <c r="D25" s="704"/>
      <c r="E25" s="704"/>
      <c r="F25" s="704"/>
      <c r="G25" s="705"/>
      <c r="H25" s="104"/>
    </row>
    <row r="26" spans="1:8" ht="15" thickBot="1" x14ac:dyDescent="0.25">
      <c r="A26" s="84"/>
      <c r="B26" s="90"/>
      <c r="C26" s="116"/>
      <c r="D26" s="117" t="s">
        <v>134</v>
      </c>
      <c r="E26" s="118" t="s">
        <v>135</v>
      </c>
      <c r="F26" s="117" t="s">
        <v>136</v>
      </c>
      <c r="G26" s="119" t="s">
        <v>137</v>
      </c>
      <c r="H26" s="104"/>
    </row>
    <row r="27" spans="1:8" ht="15" thickBot="1" x14ac:dyDescent="0.25">
      <c r="A27" s="84"/>
      <c r="B27" s="90"/>
      <c r="C27" s="120" t="s">
        <v>138</v>
      </c>
      <c r="D27" s="121">
        <f>AuthRespite/4</f>
        <v>0</v>
      </c>
      <c r="E27" s="122"/>
      <c r="F27" s="123">
        <f>(AuthRespite*RespiteRate)/4</f>
        <v>0</v>
      </c>
      <c r="G27" s="124">
        <f>E27*RespiteRate</f>
        <v>0</v>
      </c>
      <c r="H27" s="104"/>
    </row>
    <row r="28" spans="1:8" ht="15" thickBot="1" x14ac:dyDescent="0.25">
      <c r="A28" s="84"/>
      <c r="B28" s="90"/>
      <c r="C28" s="120" t="s">
        <v>139</v>
      </c>
      <c r="D28" s="121">
        <f>AuthRespite/4</f>
        <v>0</v>
      </c>
      <c r="E28" s="122"/>
      <c r="F28" s="123">
        <f>(AuthRespite*RespiteRate)/4</f>
        <v>0</v>
      </c>
      <c r="G28" s="386">
        <f>E28*RespiteRate</f>
        <v>0</v>
      </c>
      <c r="H28" s="104"/>
    </row>
    <row r="29" spans="1:8" ht="15" thickBot="1" x14ac:dyDescent="0.25">
      <c r="A29" s="84"/>
      <c r="B29" s="90"/>
      <c r="C29" s="120" t="s">
        <v>140</v>
      </c>
      <c r="D29" s="121">
        <f>AuthRespite/4</f>
        <v>0</v>
      </c>
      <c r="E29" s="122"/>
      <c r="F29" s="123">
        <f>(AuthRespite*RespiteRate)/4</f>
        <v>0</v>
      </c>
      <c r="G29" s="386">
        <f>E29*RespiteRate</f>
        <v>0</v>
      </c>
      <c r="H29" s="104"/>
    </row>
    <row r="30" spans="1:8" ht="15" thickBot="1" x14ac:dyDescent="0.25">
      <c r="A30" s="84"/>
      <c r="B30" s="90"/>
      <c r="C30" s="125" t="s">
        <v>141</v>
      </c>
      <c r="D30" s="121">
        <f>AuthRespite/4</f>
        <v>0</v>
      </c>
      <c r="E30" s="126"/>
      <c r="F30" s="123">
        <f>(AuthRespite*RespiteRate)/4</f>
        <v>0</v>
      </c>
      <c r="G30" s="386">
        <f>E30*RespiteRate</f>
        <v>0</v>
      </c>
      <c r="H30" s="104"/>
    </row>
    <row r="31" spans="1:8" ht="4.5" customHeight="1" thickBot="1" x14ac:dyDescent="0.25">
      <c r="A31" s="84"/>
      <c r="B31" s="90"/>
      <c r="C31" s="709"/>
      <c r="D31" s="710"/>
      <c r="E31" s="710"/>
      <c r="F31" s="710"/>
      <c r="G31" s="716"/>
      <c r="H31" s="104"/>
    </row>
    <row r="32" spans="1:8" ht="15" x14ac:dyDescent="0.25">
      <c r="A32" s="84"/>
      <c r="B32" s="90"/>
      <c r="C32" s="127" t="s">
        <v>142</v>
      </c>
      <c r="D32" s="128">
        <f>SUM(D27:D30)</f>
        <v>0</v>
      </c>
      <c r="E32" s="128">
        <f>SUM(E27:E30)</f>
        <v>0</v>
      </c>
      <c r="F32" s="129">
        <f>SUM(F27:F30)</f>
        <v>0</v>
      </c>
      <c r="G32" s="130">
        <f>SUM(G27:G30)</f>
        <v>0</v>
      </c>
      <c r="H32" s="104"/>
    </row>
    <row r="33" spans="1:13" ht="15.75" thickBot="1" x14ac:dyDescent="0.3">
      <c r="A33" s="84"/>
      <c r="B33" s="90"/>
      <c r="C33" s="131" t="s">
        <v>143</v>
      </c>
      <c r="D33" s="132">
        <f>D32-E32</f>
        <v>0</v>
      </c>
      <c r="E33" s="132"/>
      <c r="F33" s="133">
        <f>F32-G32</f>
        <v>0</v>
      </c>
      <c r="G33" s="134"/>
      <c r="H33" s="104"/>
    </row>
    <row r="34" spans="1:13" ht="15" customHeight="1" thickBot="1" x14ac:dyDescent="0.25">
      <c r="A34" s="84"/>
      <c r="B34" s="90"/>
      <c r="C34" s="105"/>
      <c r="D34" s="105"/>
      <c r="E34" s="105"/>
      <c r="F34" s="105"/>
      <c r="G34" s="105"/>
      <c r="H34" s="104"/>
    </row>
    <row r="35" spans="1:13" ht="15.75" thickBot="1" x14ac:dyDescent="0.3">
      <c r="B35" s="173"/>
      <c r="C35" s="700" t="s">
        <v>108</v>
      </c>
      <c r="D35" s="701"/>
      <c r="E35" s="701"/>
      <c r="F35" s="701"/>
      <c r="G35" s="702"/>
      <c r="H35" s="104"/>
      <c r="I35" s="67"/>
      <c r="J35" s="67"/>
      <c r="K35" s="67"/>
      <c r="L35" s="67"/>
      <c r="M35" s="67"/>
    </row>
    <row r="36" spans="1:13" ht="15" thickBot="1" x14ac:dyDescent="0.25">
      <c r="B36" s="173"/>
      <c r="C36" s="153"/>
      <c r="D36" s="170" t="s">
        <v>144</v>
      </c>
      <c r="E36" s="154" t="s">
        <v>145</v>
      </c>
      <c r="F36" s="155" t="s">
        <v>146</v>
      </c>
      <c r="G36" s="156" t="s">
        <v>147</v>
      </c>
      <c r="H36" s="104"/>
      <c r="I36" s="67"/>
      <c r="J36" s="67"/>
      <c r="K36" s="67"/>
      <c r="L36" s="67"/>
      <c r="M36" s="67"/>
    </row>
    <row r="37" spans="1:13" ht="15" thickBot="1" x14ac:dyDescent="0.25">
      <c r="B37" s="173"/>
      <c r="C37" s="177" t="s">
        <v>148</v>
      </c>
      <c r="D37" s="171">
        <f>AuthRN/4</f>
        <v>0</v>
      </c>
      <c r="E37" s="157"/>
      <c r="F37" s="158">
        <f>(AuthRN*RNRate)/4</f>
        <v>0</v>
      </c>
      <c r="G37" s="159"/>
      <c r="H37" s="104"/>
      <c r="I37" s="67"/>
      <c r="J37" s="67"/>
      <c r="K37" s="67"/>
      <c r="L37" s="67"/>
      <c r="M37" s="67"/>
    </row>
    <row r="38" spans="1:13" ht="15" thickBot="1" x14ac:dyDescent="0.25">
      <c r="B38" s="173"/>
      <c r="C38" s="177" t="s">
        <v>149</v>
      </c>
      <c r="D38" s="171">
        <f>AuthRN/4</f>
        <v>0</v>
      </c>
      <c r="E38" s="157"/>
      <c r="F38" s="158">
        <f>(AuthRN*RNRate)/4</f>
        <v>0</v>
      </c>
      <c r="G38" s="159"/>
      <c r="H38" s="104"/>
      <c r="I38" s="67"/>
      <c r="J38" s="67"/>
      <c r="K38" s="67"/>
      <c r="L38" s="67"/>
      <c r="M38" s="67"/>
    </row>
    <row r="39" spans="1:13" ht="15" thickBot="1" x14ac:dyDescent="0.25">
      <c r="B39" s="173"/>
      <c r="C39" s="177" t="s">
        <v>150</v>
      </c>
      <c r="D39" s="171">
        <f>AuthRN/4</f>
        <v>0</v>
      </c>
      <c r="E39" s="157"/>
      <c r="F39" s="158">
        <f>(AuthRN*RNRate)/4</f>
        <v>0</v>
      </c>
      <c r="G39" s="159"/>
      <c r="H39" s="104"/>
      <c r="I39" s="67"/>
      <c r="J39" s="67"/>
      <c r="K39" s="67"/>
      <c r="L39" s="67"/>
      <c r="M39" s="67"/>
    </row>
    <row r="40" spans="1:13" ht="15" thickBot="1" x14ac:dyDescent="0.25">
      <c r="B40" s="173"/>
      <c r="C40" s="177" t="s">
        <v>151</v>
      </c>
      <c r="D40" s="171">
        <f>AuthRN/4</f>
        <v>0</v>
      </c>
      <c r="E40" s="157"/>
      <c r="F40" s="158">
        <f>(AuthRN*RNRate)/4</f>
        <v>0</v>
      </c>
      <c r="G40" s="160"/>
      <c r="H40" s="104"/>
      <c r="I40" s="67"/>
      <c r="J40" s="67"/>
      <c r="K40" s="67"/>
      <c r="L40" s="67"/>
      <c r="M40" s="67"/>
    </row>
    <row r="41" spans="1:13" ht="15.75" thickBot="1" x14ac:dyDescent="0.3">
      <c r="B41" s="173"/>
      <c r="C41" s="161" t="s">
        <v>152</v>
      </c>
      <c r="D41" s="172">
        <f>SUM(D37:D40)</f>
        <v>0</v>
      </c>
      <c r="E41" s="162">
        <f>SUM(E37:E40)</f>
        <v>0</v>
      </c>
      <c r="F41" s="163">
        <f>SUM(F37:F40)</f>
        <v>0</v>
      </c>
      <c r="G41" s="164">
        <f>SUM(G37:G40)</f>
        <v>0</v>
      </c>
      <c r="H41" s="104"/>
      <c r="I41" s="67"/>
      <c r="J41" s="67"/>
      <c r="K41" s="67"/>
      <c r="L41" s="67"/>
      <c r="M41" s="67"/>
    </row>
    <row r="42" spans="1:13" ht="15.75" thickBot="1" x14ac:dyDescent="0.3">
      <c r="B42" s="173"/>
      <c r="C42" s="698" t="s">
        <v>153</v>
      </c>
      <c r="D42" s="699"/>
      <c r="E42" s="165">
        <f>D41-E41</f>
        <v>0</v>
      </c>
      <c r="F42" s="166"/>
      <c r="G42" s="167">
        <f>F41-G41</f>
        <v>0</v>
      </c>
      <c r="H42" s="104"/>
      <c r="I42" s="67"/>
      <c r="J42" s="67"/>
      <c r="K42" s="67"/>
      <c r="L42" s="67"/>
      <c r="M42" s="67"/>
    </row>
    <row r="43" spans="1:13" ht="15.75" thickBot="1" x14ac:dyDescent="0.3">
      <c r="B43" s="173"/>
      <c r="C43" s="102"/>
      <c r="D43" s="102"/>
      <c r="E43" s="98"/>
      <c r="F43" s="101"/>
      <c r="G43" s="101"/>
      <c r="H43" s="104"/>
      <c r="I43" s="67"/>
      <c r="J43" s="67"/>
      <c r="K43" s="67"/>
      <c r="L43" s="67"/>
      <c r="M43" s="67"/>
    </row>
    <row r="44" spans="1:13" ht="15.75" thickBot="1" x14ac:dyDescent="0.3">
      <c r="B44" s="173"/>
      <c r="C44" s="700" t="s">
        <v>111</v>
      </c>
      <c r="D44" s="701"/>
      <c r="E44" s="701"/>
      <c r="F44" s="701"/>
      <c r="G44" s="702"/>
      <c r="H44" s="104"/>
      <c r="I44" s="67"/>
      <c r="J44" s="67"/>
      <c r="K44" s="67"/>
      <c r="L44" s="67"/>
      <c r="M44" s="67"/>
    </row>
    <row r="45" spans="1:13" ht="15" thickBot="1" x14ac:dyDescent="0.25">
      <c r="B45" s="173"/>
      <c r="C45" s="153"/>
      <c r="D45" s="170" t="s">
        <v>144</v>
      </c>
      <c r="E45" s="154" t="s">
        <v>145</v>
      </c>
      <c r="F45" s="155" t="s">
        <v>146</v>
      </c>
      <c r="G45" s="156" t="s">
        <v>147</v>
      </c>
      <c r="H45" s="104"/>
      <c r="I45" s="67"/>
      <c r="J45" s="67"/>
      <c r="K45" s="67"/>
      <c r="L45" s="67"/>
      <c r="M45" s="67"/>
    </row>
    <row r="46" spans="1:13" ht="15" thickBot="1" x14ac:dyDescent="0.25">
      <c r="B46" s="173"/>
      <c r="C46" s="177" t="s">
        <v>148</v>
      </c>
      <c r="D46" s="171">
        <f>AuthLVN/4</f>
        <v>0</v>
      </c>
      <c r="E46" s="157"/>
      <c r="F46" s="158">
        <f>(AuthLVN*LVNRate)/4</f>
        <v>0</v>
      </c>
      <c r="G46" s="159"/>
      <c r="H46" s="104"/>
      <c r="I46" s="67"/>
      <c r="J46" s="67"/>
      <c r="K46" s="67"/>
      <c r="L46" s="67"/>
      <c r="M46" s="67"/>
    </row>
    <row r="47" spans="1:13" ht="15" thickBot="1" x14ac:dyDescent="0.25">
      <c r="B47" s="173"/>
      <c r="C47" s="177" t="s">
        <v>149</v>
      </c>
      <c r="D47" s="171">
        <f>AuthLVN/4</f>
        <v>0</v>
      </c>
      <c r="E47" s="157"/>
      <c r="F47" s="158">
        <f>(AuthLVN*LVNRate)/4</f>
        <v>0</v>
      </c>
      <c r="G47" s="159"/>
      <c r="H47" s="104"/>
      <c r="I47" s="67"/>
      <c r="J47" s="67"/>
      <c r="K47" s="67"/>
      <c r="L47" s="67"/>
      <c r="M47" s="67"/>
    </row>
    <row r="48" spans="1:13" ht="15" thickBot="1" x14ac:dyDescent="0.25">
      <c r="B48" s="173"/>
      <c r="C48" s="177" t="s">
        <v>150</v>
      </c>
      <c r="D48" s="171">
        <f>AuthLVN/4</f>
        <v>0</v>
      </c>
      <c r="E48" s="157"/>
      <c r="F48" s="158">
        <f>(AuthLVN*LVNRate)/4</f>
        <v>0</v>
      </c>
      <c r="G48" s="159"/>
      <c r="H48" s="104"/>
      <c r="I48" s="67"/>
      <c r="J48" s="67"/>
      <c r="K48" s="67"/>
      <c r="L48" s="67"/>
      <c r="M48" s="67"/>
    </row>
    <row r="49" spans="2:13" ht="15" thickBot="1" x14ac:dyDescent="0.25">
      <c r="B49" s="173"/>
      <c r="C49" s="177" t="s">
        <v>151</v>
      </c>
      <c r="D49" s="171">
        <f>AuthLVN/4</f>
        <v>0</v>
      </c>
      <c r="E49" s="157"/>
      <c r="F49" s="158">
        <f>(AuthLVN*LVNRate)/4</f>
        <v>0</v>
      </c>
      <c r="G49" s="160"/>
      <c r="H49" s="104"/>
      <c r="I49" s="67"/>
      <c r="J49" s="67"/>
      <c r="K49" s="67"/>
      <c r="L49" s="67"/>
      <c r="M49" s="67"/>
    </row>
    <row r="50" spans="2:13" ht="15.75" thickBot="1" x14ac:dyDescent="0.3">
      <c r="B50" s="173"/>
      <c r="C50" s="161" t="s">
        <v>152</v>
      </c>
      <c r="D50" s="172">
        <f>SUM(D46:D49)</f>
        <v>0</v>
      </c>
      <c r="E50" s="162">
        <f>SUM(E46:E49)</f>
        <v>0</v>
      </c>
      <c r="F50" s="163">
        <f>SUM(F46:F49)</f>
        <v>0</v>
      </c>
      <c r="G50" s="164">
        <f>SUM(G46:G49)</f>
        <v>0</v>
      </c>
      <c r="H50" s="104"/>
      <c r="I50" s="67"/>
      <c r="J50" s="67"/>
      <c r="K50" s="67"/>
      <c r="L50" s="67"/>
      <c r="M50" s="67"/>
    </row>
    <row r="51" spans="2:13" ht="15.75" thickBot="1" x14ac:dyDescent="0.3">
      <c r="B51" s="173"/>
      <c r="C51" s="698" t="s">
        <v>153</v>
      </c>
      <c r="D51" s="699"/>
      <c r="E51" s="165">
        <f>D50-E50</f>
        <v>0</v>
      </c>
      <c r="F51" s="166"/>
      <c r="G51" s="167">
        <f>F50-G50</f>
        <v>0</v>
      </c>
      <c r="H51" s="104"/>
      <c r="I51" s="67"/>
      <c r="J51" s="67"/>
      <c r="K51" s="67"/>
      <c r="L51" s="67"/>
      <c r="M51" s="67"/>
    </row>
    <row r="52" spans="2:13" ht="15.75" thickBot="1" x14ac:dyDescent="0.3">
      <c r="B52" s="173"/>
      <c r="C52" s="102"/>
      <c r="D52" s="102"/>
      <c r="E52" s="98"/>
      <c r="F52" s="101"/>
      <c r="G52" s="101"/>
      <c r="H52" s="104"/>
      <c r="I52" s="67"/>
      <c r="J52" s="67"/>
      <c r="K52" s="67"/>
      <c r="L52" s="67"/>
      <c r="M52" s="67"/>
    </row>
    <row r="53" spans="2:13" ht="15.75" thickBot="1" x14ac:dyDescent="0.3">
      <c r="B53" s="173"/>
      <c r="C53" s="700" t="s">
        <v>113</v>
      </c>
      <c r="D53" s="701"/>
      <c r="E53" s="701"/>
      <c r="F53" s="701"/>
      <c r="G53" s="702"/>
      <c r="H53" s="104"/>
      <c r="I53" s="67"/>
      <c r="J53" s="67"/>
      <c r="K53" s="67"/>
      <c r="L53" s="67"/>
      <c r="M53" s="67"/>
    </row>
    <row r="54" spans="2:13" ht="15" thickBot="1" x14ac:dyDescent="0.25">
      <c r="B54" s="173"/>
      <c r="C54" s="153"/>
      <c r="D54" s="170" t="s">
        <v>144</v>
      </c>
      <c r="E54" s="154" t="s">
        <v>145</v>
      </c>
      <c r="F54" s="155" t="s">
        <v>146</v>
      </c>
      <c r="G54" s="156" t="s">
        <v>147</v>
      </c>
      <c r="H54" s="104"/>
      <c r="I54" s="67"/>
      <c r="J54" s="67"/>
      <c r="K54" s="67"/>
      <c r="L54" s="67"/>
      <c r="M54" s="67"/>
    </row>
    <row r="55" spans="2:13" ht="15" thickBot="1" x14ac:dyDescent="0.25">
      <c r="B55" s="173"/>
      <c r="C55" s="177" t="s">
        <v>148</v>
      </c>
      <c r="D55" s="171">
        <f>AuthSpRN/4</f>
        <v>0</v>
      </c>
      <c r="E55" s="157"/>
      <c r="F55" s="158">
        <f>(AuthSpRN*SpecRNRate)/4</f>
        <v>0</v>
      </c>
      <c r="G55" s="159"/>
      <c r="H55" s="104"/>
      <c r="I55" s="67"/>
      <c r="J55" s="67"/>
      <c r="K55" s="67"/>
      <c r="L55" s="67"/>
      <c r="M55" s="67"/>
    </row>
    <row r="56" spans="2:13" ht="15" thickBot="1" x14ac:dyDescent="0.25">
      <c r="B56" s="173"/>
      <c r="C56" s="177" t="s">
        <v>149</v>
      </c>
      <c r="D56" s="171">
        <f>AuthSpRN/4</f>
        <v>0</v>
      </c>
      <c r="E56" s="157"/>
      <c r="F56" s="158">
        <f>(AuthSpRN*SpecRNRate)/4</f>
        <v>0</v>
      </c>
      <c r="G56" s="159"/>
      <c r="H56" s="104"/>
      <c r="I56" s="67"/>
      <c r="J56" s="67"/>
      <c r="K56" s="67"/>
      <c r="L56" s="67"/>
      <c r="M56" s="67"/>
    </row>
    <row r="57" spans="2:13" ht="15" thickBot="1" x14ac:dyDescent="0.25">
      <c r="B57" s="173"/>
      <c r="C57" s="177" t="s">
        <v>150</v>
      </c>
      <c r="D57" s="171">
        <f>AuthSpRN/4</f>
        <v>0</v>
      </c>
      <c r="E57" s="157"/>
      <c r="F57" s="158">
        <f>(AuthSpRN*SpecRNRate)/4</f>
        <v>0</v>
      </c>
      <c r="G57" s="159"/>
      <c r="H57" s="104"/>
      <c r="I57" s="67"/>
      <c r="J57" s="67"/>
      <c r="K57" s="67"/>
      <c r="L57" s="67"/>
      <c r="M57" s="67"/>
    </row>
    <row r="58" spans="2:13" ht="15" thickBot="1" x14ac:dyDescent="0.25">
      <c r="B58" s="173"/>
      <c r="C58" s="177" t="s">
        <v>151</v>
      </c>
      <c r="D58" s="171">
        <f>AuthSpRN/4</f>
        <v>0</v>
      </c>
      <c r="E58" s="157"/>
      <c r="F58" s="158">
        <v>0</v>
      </c>
      <c r="G58" s="160"/>
      <c r="H58" s="104"/>
      <c r="I58" s="67"/>
      <c r="J58" s="67"/>
      <c r="K58" s="67"/>
      <c r="L58" s="67"/>
      <c r="M58" s="67"/>
    </row>
    <row r="59" spans="2:13" ht="15.75" thickBot="1" x14ac:dyDescent="0.3">
      <c r="B59" s="173"/>
      <c r="C59" s="161" t="s">
        <v>152</v>
      </c>
      <c r="D59" s="172">
        <f>SUM(D55:D58)</f>
        <v>0</v>
      </c>
      <c r="E59" s="162">
        <f>SUM(E55:E58)</f>
        <v>0</v>
      </c>
      <c r="F59" s="163">
        <f>SUM(F55:F58)</f>
        <v>0</v>
      </c>
      <c r="G59" s="164">
        <f>SUM(G55:G58)</f>
        <v>0</v>
      </c>
      <c r="H59" s="104"/>
      <c r="I59" s="67"/>
      <c r="J59" s="67"/>
      <c r="K59" s="67"/>
      <c r="L59" s="67"/>
      <c r="M59" s="67"/>
    </row>
    <row r="60" spans="2:13" ht="15.75" thickBot="1" x14ac:dyDescent="0.3">
      <c r="B60" s="173"/>
      <c r="C60" s="698" t="s">
        <v>153</v>
      </c>
      <c r="D60" s="699"/>
      <c r="E60" s="165">
        <f>D59-E59</f>
        <v>0</v>
      </c>
      <c r="F60" s="166"/>
      <c r="G60" s="167">
        <f>F59-G59</f>
        <v>0</v>
      </c>
      <c r="H60" s="104"/>
      <c r="I60" s="67"/>
      <c r="J60" s="67"/>
      <c r="K60" s="67"/>
      <c r="L60" s="67"/>
      <c r="M60" s="67"/>
    </row>
    <row r="61" spans="2:13" ht="15.75" thickBot="1" x14ac:dyDescent="0.3">
      <c r="B61" s="173"/>
      <c r="C61" s="102"/>
      <c r="D61" s="102"/>
      <c r="E61" s="98"/>
      <c r="F61" s="101"/>
      <c r="G61" s="101"/>
      <c r="H61" s="104"/>
      <c r="I61" s="67"/>
      <c r="J61" s="67"/>
      <c r="K61" s="67"/>
      <c r="L61" s="67"/>
      <c r="M61" s="67"/>
    </row>
    <row r="62" spans="2:13" ht="15.75" thickBot="1" x14ac:dyDescent="0.3">
      <c r="B62" s="173"/>
      <c r="C62" s="700" t="s">
        <v>115</v>
      </c>
      <c r="D62" s="701"/>
      <c r="E62" s="701"/>
      <c r="F62" s="701"/>
      <c r="G62" s="702"/>
      <c r="H62" s="104"/>
      <c r="I62" s="67"/>
      <c r="J62" s="67"/>
      <c r="K62" s="67"/>
      <c r="L62" s="67"/>
      <c r="M62" s="67"/>
    </row>
    <row r="63" spans="2:13" ht="15" thickBot="1" x14ac:dyDescent="0.25">
      <c r="B63" s="173"/>
      <c r="C63" s="153"/>
      <c r="D63" s="170" t="s">
        <v>144</v>
      </c>
      <c r="E63" s="154" t="s">
        <v>145</v>
      </c>
      <c r="F63" s="155" t="s">
        <v>146</v>
      </c>
      <c r="G63" s="156" t="s">
        <v>147</v>
      </c>
      <c r="H63" s="104"/>
      <c r="I63" s="67"/>
      <c r="J63" s="67"/>
      <c r="K63" s="67"/>
      <c r="L63" s="67"/>
      <c r="M63" s="67"/>
    </row>
    <row r="64" spans="2:13" ht="15" thickBot="1" x14ac:dyDescent="0.25">
      <c r="B64" s="173"/>
      <c r="C64" s="177" t="s">
        <v>148</v>
      </c>
      <c r="D64" s="171">
        <f>AuthSpLVN/4</f>
        <v>0</v>
      </c>
      <c r="E64" s="157"/>
      <c r="F64" s="158">
        <f>(AuthSpLVN*SpecLVNRate)/4</f>
        <v>0</v>
      </c>
      <c r="G64" s="159"/>
      <c r="H64" s="104"/>
      <c r="I64" s="67"/>
      <c r="J64" s="67"/>
      <c r="K64" s="67"/>
      <c r="L64" s="67"/>
      <c r="M64" s="67"/>
    </row>
    <row r="65" spans="2:13" ht="15" thickBot="1" x14ac:dyDescent="0.25">
      <c r="B65" s="173"/>
      <c r="C65" s="177" t="s">
        <v>149</v>
      </c>
      <c r="D65" s="171">
        <f>AuthSpLVN/4</f>
        <v>0</v>
      </c>
      <c r="E65" s="157"/>
      <c r="F65" s="158">
        <f>(AuthSpLVN*SpecLVNRate)/4</f>
        <v>0</v>
      </c>
      <c r="G65" s="159"/>
      <c r="H65" s="104"/>
      <c r="I65" s="67"/>
      <c r="J65" s="67"/>
      <c r="K65" s="67"/>
      <c r="L65" s="67"/>
      <c r="M65" s="67"/>
    </row>
    <row r="66" spans="2:13" ht="15" thickBot="1" x14ac:dyDescent="0.25">
      <c r="B66" s="173"/>
      <c r="C66" s="177" t="s">
        <v>150</v>
      </c>
      <c r="D66" s="171">
        <f>AuthSpLVN/4</f>
        <v>0</v>
      </c>
      <c r="E66" s="157"/>
      <c r="F66" s="158">
        <f>(AuthSpLVN*SpecLVNRate)/4</f>
        <v>0</v>
      </c>
      <c r="G66" s="159"/>
      <c r="H66" s="104"/>
      <c r="I66" s="67"/>
      <c r="J66" s="67"/>
      <c r="K66" s="67"/>
      <c r="L66" s="67"/>
      <c r="M66" s="67"/>
    </row>
    <row r="67" spans="2:13" ht="15" thickBot="1" x14ac:dyDescent="0.25">
      <c r="B67" s="173"/>
      <c r="C67" s="177" t="s">
        <v>151</v>
      </c>
      <c r="D67" s="171">
        <f>AuthSpLVN/4</f>
        <v>0</v>
      </c>
      <c r="E67" s="157"/>
      <c r="F67" s="158">
        <f>(AuthSpLVN*SpecLVNRate)/4</f>
        <v>0</v>
      </c>
      <c r="G67" s="160"/>
      <c r="H67" s="104"/>
      <c r="I67" s="67"/>
      <c r="J67" s="67"/>
      <c r="K67" s="67"/>
      <c r="L67" s="67"/>
      <c r="M67" s="67"/>
    </row>
    <row r="68" spans="2:13" ht="15.75" thickBot="1" x14ac:dyDescent="0.3">
      <c r="B68" s="173"/>
      <c r="C68" s="161" t="s">
        <v>152</v>
      </c>
      <c r="D68" s="172">
        <f>SUM(D64:D67)</f>
        <v>0</v>
      </c>
      <c r="E68" s="162">
        <f>SUM(E64:E67)</f>
        <v>0</v>
      </c>
      <c r="F68" s="163">
        <f>SUM(F64:F67)</f>
        <v>0</v>
      </c>
      <c r="G68" s="164">
        <f>SUM(G64:G67)</f>
        <v>0</v>
      </c>
      <c r="H68" s="104"/>
      <c r="I68" s="67"/>
      <c r="J68" s="67"/>
      <c r="K68" s="67"/>
      <c r="L68" s="67"/>
      <c r="M68" s="67"/>
    </row>
    <row r="69" spans="2:13" ht="15.75" thickBot="1" x14ac:dyDescent="0.3">
      <c r="B69" s="173"/>
      <c r="C69" s="698" t="s">
        <v>153</v>
      </c>
      <c r="D69" s="699"/>
      <c r="E69" s="165">
        <f>D68-E68</f>
        <v>0</v>
      </c>
      <c r="F69" s="166"/>
      <c r="G69" s="167">
        <f>F68-G68</f>
        <v>0</v>
      </c>
      <c r="H69" s="104"/>
      <c r="I69" s="67"/>
      <c r="J69" s="67"/>
      <c r="K69" s="67"/>
      <c r="L69" s="67"/>
      <c r="M69" s="67"/>
    </row>
    <row r="70" spans="2:13" ht="13.5" thickBot="1" x14ac:dyDescent="0.25">
      <c r="B70" s="173"/>
      <c r="C70" s="69"/>
      <c r="D70" s="69"/>
      <c r="E70" s="69"/>
      <c r="F70" s="69"/>
      <c r="G70" s="69"/>
      <c r="H70" s="104"/>
      <c r="I70" s="67"/>
      <c r="J70" s="67"/>
      <c r="K70" s="67"/>
      <c r="L70" s="67"/>
      <c r="M70" s="67"/>
    </row>
    <row r="71" spans="2:13" ht="15.75" thickBot="1" x14ac:dyDescent="0.3">
      <c r="B71" s="173"/>
      <c r="C71" s="700" t="s">
        <v>117</v>
      </c>
      <c r="D71" s="701"/>
      <c r="E71" s="701"/>
      <c r="F71" s="701"/>
      <c r="G71" s="702"/>
      <c r="H71" s="104"/>
      <c r="I71" s="67"/>
      <c r="J71" s="67"/>
      <c r="K71" s="67"/>
      <c r="L71" s="67"/>
      <c r="M71" s="67"/>
    </row>
    <row r="72" spans="2:13" ht="15" thickBot="1" x14ac:dyDescent="0.25">
      <c r="B72" s="173"/>
      <c r="C72" s="153"/>
      <c r="D72" s="170" t="s">
        <v>144</v>
      </c>
      <c r="E72" s="154" t="s">
        <v>145</v>
      </c>
      <c r="F72" s="155" t="s">
        <v>146</v>
      </c>
      <c r="G72" s="156" t="s">
        <v>147</v>
      </c>
      <c r="H72" s="104"/>
      <c r="I72" s="67"/>
      <c r="J72" s="67"/>
      <c r="K72" s="67"/>
      <c r="L72" s="67"/>
      <c r="M72" s="67"/>
    </row>
    <row r="73" spans="2:13" ht="15" thickBot="1" x14ac:dyDescent="0.25">
      <c r="B73" s="173"/>
      <c r="C73" s="177" t="s">
        <v>148</v>
      </c>
      <c r="D73" s="171">
        <f>AuthSE/4</f>
        <v>0</v>
      </c>
      <c r="E73" s="157"/>
      <c r="F73" s="158">
        <f>(AuthSE*SERate)/4</f>
        <v>0</v>
      </c>
      <c r="G73" s="159"/>
      <c r="H73" s="104"/>
      <c r="I73" s="67"/>
      <c r="J73" s="67"/>
      <c r="K73" s="67"/>
      <c r="L73" s="67"/>
      <c r="M73" s="67"/>
    </row>
    <row r="74" spans="2:13" ht="15" thickBot="1" x14ac:dyDescent="0.25">
      <c r="B74" s="173"/>
      <c r="C74" s="177" t="s">
        <v>149</v>
      </c>
      <c r="D74" s="171">
        <f>AuthSE/4</f>
        <v>0</v>
      </c>
      <c r="E74" s="157"/>
      <c r="F74" s="158">
        <f>(AuthSE*SERate)/4</f>
        <v>0</v>
      </c>
      <c r="G74" s="159"/>
      <c r="H74" s="104"/>
      <c r="I74" s="67"/>
      <c r="J74" s="67"/>
      <c r="K74" s="67"/>
      <c r="L74" s="67"/>
      <c r="M74" s="67"/>
    </row>
    <row r="75" spans="2:13" ht="15" thickBot="1" x14ac:dyDescent="0.25">
      <c r="B75" s="173"/>
      <c r="C75" s="177" t="s">
        <v>150</v>
      </c>
      <c r="D75" s="171">
        <f>AuthSE/4</f>
        <v>0</v>
      </c>
      <c r="E75" s="157"/>
      <c r="F75" s="158">
        <f>(AuthSE*SERate)/4</f>
        <v>0</v>
      </c>
      <c r="G75" s="159"/>
      <c r="H75" s="104"/>
      <c r="I75" s="67"/>
      <c r="J75" s="67"/>
      <c r="K75" s="67"/>
      <c r="L75" s="67"/>
      <c r="M75" s="67"/>
    </row>
    <row r="76" spans="2:13" ht="15" thickBot="1" x14ac:dyDescent="0.25">
      <c r="B76" s="173"/>
      <c r="C76" s="177" t="s">
        <v>151</v>
      </c>
      <c r="D76" s="171">
        <f>AuthSE/4</f>
        <v>0</v>
      </c>
      <c r="E76" s="157"/>
      <c r="F76" s="158">
        <f>(AuthSE*SERate)/4</f>
        <v>0</v>
      </c>
      <c r="G76" s="160"/>
      <c r="H76" s="104"/>
      <c r="I76" s="67"/>
      <c r="J76" s="67"/>
      <c r="K76" s="67"/>
      <c r="L76" s="67"/>
      <c r="M76" s="67"/>
    </row>
    <row r="77" spans="2:13" ht="15.75" thickBot="1" x14ac:dyDescent="0.3">
      <c r="B77" s="173"/>
      <c r="C77" s="161" t="s">
        <v>152</v>
      </c>
      <c r="D77" s="172">
        <f>SUM(D73:D76)</f>
        <v>0</v>
      </c>
      <c r="E77" s="162">
        <f>SUM(E73:E76)</f>
        <v>0</v>
      </c>
      <c r="F77" s="163">
        <f>SUM(F73:F76)</f>
        <v>0</v>
      </c>
      <c r="G77" s="164">
        <f>SUM(G73:G76)</f>
        <v>0</v>
      </c>
      <c r="H77" s="104"/>
      <c r="I77" s="67"/>
      <c r="J77" s="67"/>
      <c r="K77" s="67"/>
      <c r="L77" s="67"/>
      <c r="M77" s="67"/>
    </row>
    <row r="78" spans="2:13" ht="15.75" thickBot="1" x14ac:dyDescent="0.3">
      <c r="B78" s="173"/>
      <c r="C78" s="698" t="s">
        <v>153</v>
      </c>
      <c r="D78" s="699"/>
      <c r="E78" s="165">
        <f>D77-E77</f>
        <v>0</v>
      </c>
      <c r="F78" s="166"/>
      <c r="G78" s="167">
        <f>F77-G77</f>
        <v>0</v>
      </c>
      <c r="H78" s="104"/>
      <c r="I78" s="67"/>
      <c r="J78" s="67"/>
      <c r="K78" s="67"/>
      <c r="L78" s="67"/>
      <c r="M78" s="67"/>
    </row>
    <row r="79" spans="2:13" ht="15.75" thickBot="1" x14ac:dyDescent="0.3">
      <c r="B79" s="173"/>
      <c r="C79" s="168"/>
      <c r="D79" s="168"/>
      <c r="E79" s="162"/>
      <c r="F79" s="169"/>
      <c r="G79" s="169"/>
      <c r="H79" s="104"/>
      <c r="I79" s="67"/>
      <c r="J79" s="67"/>
      <c r="K79" s="67"/>
      <c r="L79" s="67"/>
      <c r="M79" s="67"/>
    </row>
    <row r="80" spans="2:13" ht="15.75" thickBot="1" x14ac:dyDescent="0.3">
      <c r="B80" s="173"/>
      <c r="C80" s="700" t="s">
        <v>120</v>
      </c>
      <c r="D80" s="701"/>
      <c r="E80" s="701"/>
      <c r="F80" s="701"/>
      <c r="G80" s="702"/>
      <c r="H80" s="104"/>
      <c r="I80" s="67"/>
      <c r="J80" s="67"/>
      <c r="K80" s="67"/>
      <c r="L80" s="67"/>
      <c r="M80" s="67"/>
    </row>
    <row r="81" spans="2:13" ht="15" thickBot="1" x14ac:dyDescent="0.25">
      <c r="B81" s="173"/>
      <c r="C81" s="153"/>
      <c r="D81" s="170" t="s">
        <v>144</v>
      </c>
      <c r="E81" s="154" t="s">
        <v>145</v>
      </c>
      <c r="F81" s="155" t="s">
        <v>146</v>
      </c>
      <c r="G81" s="156" t="s">
        <v>147</v>
      </c>
      <c r="H81" s="104"/>
      <c r="I81" s="67"/>
      <c r="J81" s="67"/>
      <c r="K81" s="67"/>
      <c r="L81" s="67"/>
      <c r="M81" s="67"/>
    </row>
    <row r="82" spans="2:13" ht="15" thickBot="1" x14ac:dyDescent="0.25">
      <c r="B82" s="173"/>
      <c r="C82" s="177" t="s">
        <v>148</v>
      </c>
      <c r="D82" s="171">
        <f>AuthEA/4</f>
        <v>0</v>
      </c>
      <c r="E82" s="157"/>
      <c r="F82" s="158">
        <f>(AuthEA*EARate)/4</f>
        <v>0</v>
      </c>
      <c r="G82" s="159"/>
      <c r="H82" s="104"/>
      <c r="I82" s="67"/>
      <c r="J82" s="67"/>
      <c r="K82" s="67"/>
      <c r="L82" s="67"/>
      <c r="M82" s="67"/>
    </row>
    <row r="83" spans="2:13" ht="15" thickBot="1" x14ac:dyDescent="0.25">
      <c r="B83" s="173"/>
      <c r="C83" s="177" t="s">
        <v>149</v>
      </c>
      <c r="D83" s="171">
        <f>AuthEA/4</f>
        <v>0</v>
      </c>
      <c r="E83" s="157"/>
      <c r="F83" s="158">
        <f>(AuthEA*EARate)/4</f>
        <v>0</v>
      </c>
      <c r="G83" s="159"/>
      <c r="H83" s="104"/>
      <c r="I83" s="67"/>
      <c r="J83" s="67"/>
      <c r="K83" s="67"/>
      <c r="L83" s="67"/>
      <c r="M83" s="67"/>
    </row>
    <row r="84" spans="2:13" ht="15" thickBot="1" x14ac:dyDescent="0.25">
      <c r="B84" s="173"/>
      <c r="C84" s="177" t="s">
        <v>150</v>
      </c>
      <c r="D84" s="171">
        <f>AuthEA/4</f>
        <v>0</v>
      </c>
      <c r="E84" s="157"/>
      <c r="F84" s="158">
        <f>(AuthEA*EARate)/4</f>
        <v>0</v>
      </c>
      <c r="G84" s="159"/>
      <c r="H84" s="104"/>
      <c r="I84" s="67"/>
      <c r="J84" s="67"/>
      <c r="K84" s="67"/>
      <c r="L84" s="67"/>
      <c r="M84" s="67"/>
    </row>
    <row r="85" spans="2:13" ht="15" thickBot="1" x14ac:dyDescent="0.25">
      <c r="B85" s="173"/>
      <c r="C85" s="177" t="s">
        <v>151</v>
      </c>
      <c r="D85" s="171">
        <f>AuthEA/4</f>
        <v>0</v>
      </c>
      <c r="E85" s="157"/>
      <c r="F85" s="158">
        <f>(AuthEA*EARate)/4</f>
        <v>0</v>
      </c>
      <c r="G85" s="160"/>
      <c r="H85" s="104"/>
      <c r="I85" s="67"/>
      <c r="J85" s="67"/>
      <c r="K85" s="67"/>
      <c r="L85" s="67"/>
      <c r="M85" s="67"/>
    </row>
    <row r="86" spans="2:13" ht="15.75" thickBot="1" x14ac:dyDescent="0.3">
      <c r="B86" s="173"/>
      <c r="C86" s="161" t="s">
        <v>152</v>
      </c>
      <c r="D86" s="172">
        <f>SUM(D82:D85)</f>
        <v>0</v>
      </c>
      <c r="E86" s="162">
        <f>SUM(E82:E85)</f>
        <v>0</v>
      </c>
      <c r="F86" s="163">
        <f>SUM(F82:F85)</f>
        <v>0</v>
      </c>
      <c r="G86" s="164">
        <f>SUM(G82:G85)</f>
        <v>0</v>
      </c>
      <c r="H86" s="104"/>
      <c r="I86" s="67"/>
      <c r="J86" s="67"/>
      <c r="K86" s="67"/>
      <c r="L86" s="67"/>
      <c r="M86" s="67"/>
    </row>
    <row r="87" spans="2:13" ht="15.75" thickBot="1" x14ac:dyDescent="0.3">
      <c r="B87" s="173"/>
      <c r="C87" s="698" t="s">
        <v>153</v>
      </c>
      <c r="D87" s="699"/>
      <c r="E87" s="165">
        <f>D86-E86</f>
        <v>0</v>
      </c>
      <c r="F87" s="166"/>
      <c r="G87" s="167">
        <f>F86-G86</f>
        <v>0</v>
      </c>
      <c r="H87" s="104"/>
      <c r="I87" s="67"/>
      <c r="J87" s="67"/>
      <c r="K87" s="67"/>
      <c r="L87" s="67"/>
      <c r="M87" s="67"/>
    </row>
    <row r="88" spans="2:13" ht="15.75" thickBot="1" x14ac:dyDescent="0.3">
      <c r="B88" s="173"/>
      <c r="C88" s="168"/>
      <c r="D88" s="168"/>
      <c r="E88" s="162"/>
      <c r="F88" s="169"/>
      <c r="G88" s="169"/>
      <c r="H88" s="104"/>
      <c r="I88" s="67"/>
      <c r="J88" s="67"/>
      <c r="K88" s="67"/>
      <c r="L88" s="67"/>
      <c r="M88" s="67"/>
    </row>
    <row r="89" spans="2:13" ht="15.75" thickBot="1" x14ac:dyDescent="0.3">
      <c r="B89" s="173"/>
      <c r="C89" s="700" t="s">
        <v>123</v>
      </c>
      <c r="D89" s="701"/>
      <c r="E89" s="701"/>
      <c r="F89" s="701"/>
      <c r="G89" s="702"/>
      <c r="H89" s="104"/>
      <c r="I89" s="67"/>
      <c r="J89" s="67"/>
      <c r="K89" s="67"/>
      <c r="L89" s="67"/>
      <c r="M89" s="67"/>
    </row>
    <row r="90" spans="2:13" ht="15" thickBot="1" x14ac:dyDescent="0.25">
      <c r="B90" s="173"/>
      <c r="C90" s="153"/>
      <c r="D90" s="170" t="s">
        <v>144</v>
      </c>
      <c r="E90" s="154" t="s">
        <v>145</v>
      </c>
      <c r="F90" s="155" t="s">
        <v>146</v>
      </c>
      <c r="G90" s="156" t="s">
        <v>147</v>
      </c>
      <c r="H90" s="104"/>
      <c r="I90" s="67"/>
      <c r="J90" s="67"/>
      <c r="K90" s="67"/>
      <c r="L90" s="67"/>
      <c r="M90" s="67"/>
    </row>
    <row r="91" spans="2:13" ht="15" thickBot="1" x14ac:dyDescent="0.25">
      <c r="B91" s="173"/>
      <c r="C91" s="177" t="s">
        <v>148</v>
      </c>
      <c r="D91" s="171">
        <f>AuthCRT/4</f>
        <v>0</v>
      </c>
      <c r="E91" s="157"/>
      <c r="F91" s="158">
        <f>(AuthCRT*CRTRAte)/4</f>
        <v>0</v>
      </c>
      <c r="G91" s="159"/>
      <c r="H91" s="104"/>
      <c r="I91" s="67"/>
      <c r="J91" s="67"/>
      <c r="K91" s="67"/>
      <c r="L91" s="67"/>
      <c r="M91" s="67"/>
    </row>
    <row r="92" spans="2:13" ht="15" thickBot="1" x14ac:dyDescent="0.25">
      <c r="B92" s="173"/>
      <c r="C92" s="177" t="s">
        <v>149</v>
      </c>
      <c r="D92" s="171">
        <f>AuthCRT/4</f>
        <v>0</v>
      </c>
      <c r="E92" s="157"/>
      <c r="F92" s="158">
        <f>(AuthCRT*CRTRAte)/4</f>
        <v>0</v>
      </c>
      <c r="G92" s="159"/>
      <c r="H92" s="104"/>
      <c r="I92" s="67"/>
      <c r="J92" s="67"/>
      <c r="K92" s="67"/>
      <c r="L92" s="67"/>
      <c r="M92" s="67"/>
    </row>
    <row r="93" spans="2:13" ht="15" thickBot="1" x14ac:dyDescent="0.25">
      <c r="B93" s="173"/>
      <c r="C93" s="177" t="s">
        <v>150</v>
      </c>
      <c r="D93" s="171">
        <f>AuthCRT/4</f>
        <v>0</v>
      </c>
      <c r="E93" s="157"/>
      <c r="F93" s="158">
        <f>(AuthCRT*CRTRAte)/4</f>
        <v>0</v>
      </c>
      <c r="G93" s="159"/>
      <c r="H93" s="104"/>
      <c r="I93" s="67"/>
      <c r="J93" s="67"/>
      <c r="K93" s="67"/>
      <c r="L93" s="67"/>
      <c r="M93" s="67"/>
    </row>
    <row r="94" spans="2:13" ht="15" thickBot="1" x14ac:dyDescent="0.25">
      <c r="B94" s="173"/>
      <c r="C94" s="177" t="s">
        <v>151</v>
      </c>
      <c r="D94" s="171">
        <f>AuthCRT/4</f>
        <v>0</v>
      </c>
      <c r="E94" s="157"/>
      <c r="F94" s="158">
        <f>(AuthCRT*CRTRAte)/4</f>
        <v>0</v>
      </c>
      <c r="G94" s="160"/>
      <c r="H94" s="104"/>
      <c r="I94" s="67"/>
      <c r="J94" s="67"/>
      <c r="K94" s="67"/>
      <c r="L94" s="67"/>
      <c r="M94" s="67"/>
    </row>
    <row r="95" spans="2:13" ht="15.75" thickBot="1" x14ac:dyDescent="0.3">
      <c r="B95" s="173"/>
      <c r="C95" s="161" t="s">
        <v>152</v>
      </c>
      <c r="D95" s="172">
        <f>SUM(D91:D94)</f>
        <v>0</v>
      </c>
      <c r="E95" s="162">
        <f>SUM(E91:E94)</f>
        <v>0</v>
      </c>
      <c r="F95" s="163">
        <f>SUM(F91:F94)</f>
        <v>0</v>
      </c>
      <c r="G95" s="164">
        <f>SUM(G91:G94)</f>
        <v>0</v>
      </c>
      <c r="H95" s="104"/>
      <c r="I95" s="67"/>
      <c r="J95" s="67"/>
      <c r="K95" s="67"/>
      <c r="L95" s="67"/>
      <c r="M95" s="67"/>
    </row>
    <row r="96" spans="2:13" ht="15.75" thickBot="1" x14ac:dyDescent="0.3">
      <c r="B96" s="173"/>
      <c r="C96" s="698" t="s">
        <v>153</v>
      </c>
      <c r="D96" s="699"/>
      <c r="E96" s="165">
        <f>D95-E95</f>
        <v>0</v>
      </c>
      <c r="F96" s="166"/>
      <c r="G96" s="167">
        <f>F95-G95</f>
        <v>0</v>
      </c>
      <c r="H96" s="104"/>
      <c r="I96" s="67"/>
      <c r="J96" s="67"/>
      <c r="K96" s="67"/>
      <c r="L96" s="67"/>
      <c r="M96" s="67"/>
    </row>
    <row r="97" spans="1:13" ht="15.75" thickBot="1" x14ac:dyDescent="0.3">
      <c r="B97" s="173"/>
      <c r="C97" s="102"/>
      <c r="D97" s="102"/>
      <c r="E97" s="400"/>
      <c r="F97" s="409"/>
      <c r="G97" s="408"/>
      <c r="H97" s="104"/>
      <c r="I97" s="67"/>
      <c r="J97" s="67"/>
      <c r="K97" s="67"/>
      <c r="L97" s="67"/>
      <c r="M97" s="67"/>
    </row>
    <row r="98" spans="1:13" ht="15.75" thickBot="1" x14ac:dyDescent="0.3">
      <c r="B98" s="173"/>
      <c r="C98" s="700" t="s">
        <v>275</v>
      </c>
      <c r="D98" s="701"/>
      <c r="E98" s="701"/>
      <c r="F98" s="701"/>
      <c r="G98" s="702"/>
      <c r="H98" s="104"/>
      <c r="I98" s="67"/>
      <c r="J98" s="67"/>
      <c r="K98" s="67"/>
      <c r="L98" s="67"/>
      <c r="M98" s="67"/>
    </row>
    <row r="99" spans="1:13" ht="15" thickBot="1" x14ac:dyDescent="0.25">
      <c r="B99" s="173"/>
      <c r="C99" s="173"/>
      <c r="D99" s="170" t="s">
        <v>144</v>
      </c>
      <c r="E99" s="154" t="s">
        <v>145</v>
      </c>
      <c r="F99" s="155" t="s">
        <v>146</v>
      </c>
      <c r="G99" s="410" t="s">
        <v>147</v>
      </c>
      <c r="H99" s="104"/>
      <c r="I99" s="67"/>
      <c r="J99" s="67"/>
      <c r="K99" s="67"/>
      <c r="L99" s="67"/>
      <c r="M99" s="67"/>
    </row>
    <row r="100" spans="1:13" ht="15" thickBot="1" x14ac:dyDescent="0.25">
      <c r="B100" s="173"/>
      <c r="C100" s="177" t="s">
        <v>148</v>
      </c>
      <c r="D100" s="171">
        <f>'Authorized Units &amp; Budget'!$B$66:$D$66/4</f>
        <v>0</v>
      </c>
      <c r="E100" s="157"/>
      <c r="F100" s="158">
        <f>'Authorized Units &amp; Budget'!$B$68/4</f>
        <v>0</v>
      </c>
      <c r="G100" s="411"/>
      <c r="H100" s="104"/>
      <c r="I100" s="67"/>
      <c r="J100" s="67"/>
      <c r="K100" s="67"/>
      <c r="L100" s="67"/>
      <c r="M100" s="67"/>
    </row>
    <row r="101" spans="1:13" ht="15" thickBot="1" x14ac:dyDescent="0.25">
      <c r="B101" s="173"/>
      <c r="C101" s="177" t="s">
        <v>149</v>
      </c>
      <c r="D101" s="171">
        <f>'Authorized Units &amp; Budget'!$B$66:$D$66/4</f>
        <v>0</v>
      </c>
      <c r="E101" s="157"/>
      <c r="F101" s="158">
        <f>'Authorized Units &amp; Budget'!$B$68/4</f>
        <v>0</v>
      </c>
      <c r="G101" s="411"/>
      <c r="H101" s="104"/>
      <c r="I101" s="67"/>
      <c r="J101" s="67"/>
      <c r="K101" s="67"/>
      <c r="L101" s="67"/>
      <c r="M101" s="67"/>
    </row>
    <row r="102" spans="1:13" ht="15" thickBot="1" x14ac:dyDescent="0.25">
      <c r="B102" s="173"/>
      <c r="C102" s="177" t="s">
        <v>150</v>
      </c>
      <c r="D102" s="171">
        <f>'Authorized Units &amp; Budget'!$B$66:$D$66/4</f>
        <v>0</v>
      </c>
      <c r="E102" s="157"/>
      <c r="F102" s="158">
        <f>'Authorized Units &amp; Budget'!$B$68/4</f>
        <v>0</v>
      </c>
      <c r="G102" s="411"/>
      <c r="H102" s="104"/>
      <c r="I102" s="67"/>
      <c r="J102" s="67"/>
      <c r="K102" s="67"/>
      <c r="L102" s="67"/>
      <c r="M102" s="67"/>
    </row>
    <row r="103" spans="1:13" ht="15" thickBot="1" x14ac:dyDescent="0.25">
      <c r="B103" s="173"/>
      <c r="C103" s="177" t="s">
        <v>151</v>
      </c>
      <c r="D103" s="171">
        <f>'Authorized Units &amp; Budget'!$B$66:$D$66/4</f>
        <v>0</v>
      </c>
      <c r="E103" s="157"/>
      <c r="F103" s="158">
        <f>'Authorized Units &amp; Budget'!$B$68/4</f>
        <v>0</v>
      </c>
      <c r="G103" s="412"/>
      <c r="H103" s="104"/>
      <c r="I103" s="67"/>
      <c r="J103" s="67"/>
      <c r="K103" s="67"/>
      <c r="L103" s="67"/>
      <c r="M103" s="67"/>
    </row>
    <row r="104" spans="1:13" ht="15.75" thickBot="1" x14ac:dyDescent="0.3">
      <c r="B104" s="173"/>
      <c r="C104" s="161" t="s">
        <v>278</v>
      </c>
      <c r="D104" s="172">
        <f>SUM(D100:D103)</f>
        <v>0</v>
      </c>
      <c r="E104" s="172">
        <f t="shared" ref="E104:G104" si="0">SUM(E100:E103)</f>
        <v>0</v>
      </c>
      <c r="F104" s="172">
        <f t="shared" si="0"/>
        <v>0</v>
      </c>
      <c r="G104" s="413">
        <f t="shared" si="0"/>
        <v>0</v>
      </c>
      <c r="H104" s="104"/>
      <c r="I104" s="67"/>
      <c r="J104" s="67"/>
      <c r="K104" s="67"/>
      <c r="L104" s="67"/>
      <c r="M104" s="67"/>
    </row>
    <row r="105" spans="1:13" ht="15.75" thickBot="1" x14ac:dyDescent="0.3">
      <c r="B105" s="173"/>
      <c r="C105" s="698" t="s">
        <v>153</v>
      </c>
      <c r="D105" s="699"/>
      <c r="E105" s="165">
        <f>D104-E104</f>
        <v>0</v>
      </c>
      <c r="F105" s="166"/>
      <c r="G105" s="167">
        <f>F104-G104</f>
        <v>0</v>
      </c>
      <c r="H105" s="104"/>
      <c r="I105" s="67"/>
      <c r="J105" s="67"/>
      <c r="K105" s="67"/>
      <c r="L105" s="67"/>
      <c r="M105" s="67"/>
    </row>
    <row r="106" spans="1:13" ht="15" customHeight="1" thickBot="1" x14ac:dyDescent="0.3">
      <c r="A106" s="84"/>
      <c r="B106" s="90"/>
      <c r="C106" s="137"/>
      <c r="D106" s="137"/>
      <c r="E106" s="137"/>
      <c r="F106" s="138"/>
      <c r="G106" s="138"/>
      <c r="H106" s="104"/>
    </row>
    <row r="107" spans="1:13" ht="15" customHeight="1" thickBot="1" x14ac:dyDescent="0.3">
      <c r="A107" s="84"/>
      <c r="B107" s="90"/>
      <c r="C107" s="703" t="s">
        <v>154</v>
      </c>
      <c r="D107" s="704"/>
      <c r="E107" s="704"/>
      <c r="F107" s="704"/>
      <c r="G107" s="705"/>
      <c r="H107" s="104"/>
    </row>
    <row r="108" spans="1:13" ht="15" thickBot="1" x14ac:dyDescent="0.25">
      <c r="A108" s="84"/>
      <c r="B108" s="90"/>
      <c r="C108" s="116"/>
      <c r="D108" s="141" t="s">
        <v>134</v>
      </c>
      <c r="E108" s="142" t="s">
        <v>135</v>
      </c>
      <c r="F108" s="117" t="s">
        <v>136</v>
      </c>
      <c r="G108" s="119" t="s">
        <v>137</v>
      </c>
      <c r="H108" s="104"/>
    </row>
    <row r="109" spans="1:13" ht="15" thickBot="1" x14ac:dyDescent="0.25">
      <c r="A109" s="84"/>
      <c r="B109" s="90"/>
      <c r="C109" s="120" t="s">
        <v>138</v>
      </c>
      <c r="D109" s="143"/>
      <c r="E109" s="144"/>
      <c r="F109" s="123">
        <f>ESSPurchases/4</f>
        <v>0</v>
      </c>
      <c r="G109" s="139"/>
      <c r="H109" s="104"/>
    </row>
    <row r="110" spans="1:13" ht="15" thickBot="1" x14ac:dyDescent="0.25">
      <c r="A110" s="84"/>
      <c r="B110" s="90"/>
      <c r="C110" s="120" t="s">
        <v>139</v>
      </c>
      <c r="D110" s="143"/>
      <c r="E110" s="144"/>
      <c r="F110" s="123">
        <f>ESSPurchases/4</f>
        <v>0</v>
      </c>
      <c r="G110" s="139"/>
      <c r="H110" s="104"/>
    </row>
    <row r="111" spans="1:13" ht="15" thickBot="1" x14ac:dyDescent="0.25">
      <c r="A111" s="84"/>
      <c r="B111" s="90"/>
      <c r="C111" s="120" t="s">
        <v>140</v>
      </c>
      <c r="D111" s="143"/>
      <c r="E111" s="144"/>
      <c r="F111" s="123">
        <f>ESSPurchases/4</f>
        <v>0</v>
      </c>
      <c r="G111" s="139"/>
      <c r="H111" s="104"/>
    </row>
    <row r="112" spans="1:13" ht="15" thickBot="1" x14ac:dyDescent="0.25">
      <c r="A112" s="84"/>
      <c r="B112" s="90"/>
      <c r="C112" s="125" t="s">
        <v>141</v>
      </c>
      <c r="D112" s="145"/>
      <c r="E112" s="146"/>
      <c r="F112" s="123">
        <f>ESSPurchases/4</f>
        <v>0</v>
      </c>
      <c r="G112" s="139"/>
      <c r="H112" s="104"/>
    </row>
    <row r="113" spans="1:8" ht="4.5" customHeight="1" thickBot="1" x14ac:dyDescent="0.25">
      <c r="A113" s="84"/>
      <c r="B113" s="90"/>
      <c r="C113" s="706"/>
      <c r="D113" s="707"/>
      <c r="E113" s="707"/>
      <c r="F113" s="707"/>
      <c r="G113" s="708"/>
      <c r="H113" s="104"/>
    </row>
    <row r="114" spans="1:8" ht="15" x14ac:dyDescent="0.25">
      <c r="A114" s="84"/>
      <c r="B114" s="90"/>
      <c r="C114" s="127" t="s">
        <v>142</v>
      </c>
      <c r="D114" s="128">
        <f>SUM(D109:D112)</f>
        <v>0</v>
      </c>
      <c r="E114" s="128">
        <f>SUM(E109:E112)</f>
        <v>0</v>
      </c>
      <c r="F114" s="129">
        <f>SUM(F109:F112)</f>
        <v>0</v>
      </c>
      <c r="G114" s="130">
        <f>SUM(G109:G112)</f>
        <v>0</v>
      </c>
      <c r="H114" s="104"/>
    </row>
    <row r="115" spans="1:8" ht="15.75" thickBot="1" x14ac:dyDescent="0.3">
      <c r="A115" s="84"/>
      <c r="B115" s="90"/>
      <c r="C115" s="131" t="s">
        <v>143</v>
      </c>
      <c r="D115" s="132">
        <f>D114-E114</f>
        <v>0</v>
      </c>
      <c r="E115" s="132"/>
      <c r="F115" s="133">
        <f>F114-G114</f>
        <v>0</v>
      </c>
      <c r="G115" s="134"/>
      <c r="H115" s="104"/>
    </row>
    <row r="116" spans="1:8" ht="15.75" thickBot="1" x14ac:dyDescent="0.3">
      <c r="A116" s="84"/>
      <c r="B116" s="90"/>
      <c r="C116" s="137"/>
      <c r="D116" s="137"/>
      <c r="E116" s="137"/>
      <c r="F116" s="138"/>
      <c r="G116" s="138"/>
      <c r="H116" s="104"/>
    </row>
    <row r="117" spans="1:8" ht="18.75" thickBot="1" x14ac:dyDescent="0.3">
      <c r="A117" s="84"/>
      <c r="B117" s="90"/>
      <c r="C117" s="703" t="s">
        <v>155</v>
      </c>
      <c r="D117" s="704"/>
      <c r="E117" s="704"/>
      <c r="F117" s="704"/>
      <c r="G117" s="705"/>
      <c r="H117" s="104"/>
    </row>
    <row r="118" spans="1:8" ht="15" thickBot="1" x14ac:dyDescent="0.25">
      <c r="A118" s="84"/>
      <c r="B118" s="90"/>
      <c r="C118" s="116"/>
      <c r="D118" s="117" t="s">
        <v>134</v>
      </c>
      <c r="E118" s="118" t="s">
        <v>135</v>
      </c>
      <c r="F118" s="117" t="s">
        <v>136</v>
      </c>
      <c r="G118" s="148" t="s">
        <v>137</v>
      </c>
      <c r="H118" s="104"/>
    </row>
    <row r="119" spans="1:8" ht="15" thickBot="1" x14ac:dyDescent="0.25">
      <c r="A119" s="84"/>
      <c r="B119" s="90"/>
      <c r="C119" s="120" t="s">
        <v>138</v>
      </c>
      <c r="D119" s="121">
        <f>AuthSCS/4</f>
        <v>0</v>
      </c>
      <c r="E119" s="122"/>
      <c r="F119" s="123">
        <f>TotalSCSCosts/4</f>
        <v>0</v>
      </c>
      <c r="G119" s="147">
        <f>E119*SCSRate</f>
        <v>0</v>
      </c>
      <c r="H119" s="104"/>
    </row>
    <row r="120" spans="1:8" ht="15" thickBot="1" x14ac:dyDescent="0.25">
      <c r="A120" s="84"/>
      <c r="B120" s="90"/>
      <c r="C120" s="120" t="s">
        <v>139</v>
      </c>
      <c r="D120" s="121">
        <f>AuthSCS/4</f>
        <v>0</v>
      </c>
      <c r="E120" s="122"/>
      <c r="F120" s="123">
        <f>TotalSCSCosts/4</f>
        <v>0</v>
      </c>
      <c r="G120" s="147">
        <f>E120*SCSRate</f>
        <v>0</v>
      </c>
      <c r="H120" s="104"/>
    </row>
    <row r="121" spans="1:8" ht="15" thickBot="1" x14ac:dyDescent="0.25">
      <c r="A121" s="84"/>
      <c r="B121" s="90"/>
      <c r="C121" s="120" t="s">
        <v>140</v>
      </c>
      <c r="D121" s="121">
        <f>AuthSCS/4</f>
        <v>0</v>
      </c>
      <c r="E121" s="122"/>
      <c r="F121" s="123">
        <f>TotalSCSCosts/4</f>
        <v>0</v>
      </c>
      <c r="G121" s="147">
        <f>E121*SCSRate</f>
        <v>0</v>
      </c>
      <c r="H121" s="104"/>
    </row>
    <row r="122" spans="1:8" ht="15" thickBot="1" x14ac:dyDescent="0.25">
      <c r="A122" s="84"/>
      <c r="B122" s="90"/>
      <c r="C122" s="125" t="s">
        <v>141</v>
      </c>
      <c r="D122" s="121">
        <f>AuthSCS/4</f>
        <v>0</v>
      </c>
      <c r="E122" s="122"/>
      <c r="F122" s="123">
        <f>TotalSCSCosts/4</f>
        <v>0</v>
      </c>
      <c r="G122" s="147">
        <f>E122*SCSRate</f>
        <v>0</v>
      </c>
      <c r="H122" s="104"/>
    </row>
    <row r="123" spans="1:8" ht="4.5" customHeight="1" thickBot="1" x14ac:dyDescent="0.25">
      <c r="A123" s="84"/>
      <c r="B123" s="90"/>
      <c r="C123" s="709"/>
      <c r="D123" s="710"/>
      <c r="E123" s="707"/>
      <c r="F123" s="710"/>
      <c r="G123" s="708"/>
      <c r="H123" s="104"/>
    </row>
    <row r="124" spans="1:8" ht="15" x14ac:dyDescent="0.25">
      <c r="A124" s="84"/>
      <c r="B124" s="90"/>
      <c r="C124" s="127" t="s">
        <v>142</v>
      </c>
      <c r="D124" s="128">
        <f>SUM(D119:D122)</f>
        <v>0</v>
      </c>
      <c r="E124" s="128">
        <f>SUM(E119:E122)</f>
        <v>0</v>
      </c>
      <c r="F124" s="129">
        <f>SUM(F119:F122)</f>
        <v>0</v>
      </c>
      <c r="G124" s="130">
        <f>SUM(G119:G122)</f>
        <v>0</v>
      </c>
      <c r="H124" s="104"/>
    </row>
    <row r="125" spans="1:8" ht="15.75" thickBot="1" x14ac:dyDescent="0.3">
      <c r="A125" s="84"/>
      <c r="B125" s="90"/>
      <c r="C125" s="131" t="s">
        <v>143</v>
      </c>
      <c r="D125" s="132">
        <f>D124-E124</f>
        <v>0</v>
      </c>
      <c r="E125" s="132"/>
      <c r="F125" s="133">
        <f>F124-G124</f>
        <v>0</v>
      </c>
      <c r="G125" s="134"/>
      <c r="H125" s="104"/>
    </row>
    <row r="126" spans="1:8" ht="15.75" thickBot="1" x14ac:dyDescent="0.3">
      <c r="A126" s="84"/>
      <c r="B126" s="90"/>
      <c r="C126" s="137"/>
      <c r="D126" s="137"/>
      <c r="E126" s="137"/>
      <c r="F126" s="138"/>
      <c r="G126" s="138"/>
      <c r="H126" s="104"/>
    </row>
    <row r="127" spans="1:8" ht="18.75" thickBot="1" x14ac:dyDescent="0.3">
      <c r="A127" s="84"/>
      <c r="B127" s="90"/>
      <c r="C127" s="703" t="s">
        <v>156</v>
      </c>
      <c r="D127" s="711"/>
      <c r="E127" s="711"/>
      <c r="F127" s="704"/>
      <c r="G127" s="705"/>
      <c r="H127" s="104"/>
    </row>
    <row r="128" spans="1:8" ht="15" thickBot="1" x14ac:dyDescent="0.25">
      <c r="A128" s="84"/>
      <c r="B128" s="90"/>
      <c r="C128" s="116"/>
      <c r="D128" s="144" t="s">
        <v>134</v>
      </c>
      <c r="E128" s="144" t="s">
        <v>135</v>
      </c>
      <c r="F128" s="140" t="s">
        <v>136</v>
      </c>
      <c r="G128" s="119" t="s">
        <v>137</v>
      </c>
      <c r="H128" s="104"/>
    </row>
    <row r="129" spans="1:13" ht="15" thickBot="1" x14ac:dyDescent="0.25">
      <c r="A129" s="84"/>
      <c r="B129" s="90"/>
      <c r="C129" s="120" t="s">
        <v>138</v>
      </c>
      <c r="D129" s="144"/>
      <c r="E129" s="144"/>
      <c r="F129" s="123">
        <f>NonTaxableCosts/4</f>
        <v>0</v>
      </c>
      <c r="G129" s="139"/>
      <c r="H129" s="104"/>
    </row>
    <row r="130" spans="1:13" ht="15" thickBot="1" x14ac:dyDescent="0.25">
      <c r="A130" s="84"/>
      <c r="B130" s="90"/>
      <c r="C130" s="120" t="s">
        <v>139</v>
      </c>
      <c r="D130" s="144"/>
      <c r="E130" s="144"/>
      <c r="F130" s="123">
        <f>NonTaxableCosts/4</f>
        <v>0</v>
      </c>
      <c r="G130" s="139"/>
      <c r="H130" s="104"/>
    </row>
    <row r="131" spans="1:13" ht="15" thickBot="1" x14ac:dyDescent="0.25">
      <c r="A131" s="84"/>
      <c r="B131" s="90"/>
      <c r="C131" s="120" t="s">
        <v>140</v>
      </c>
      <c r="D131" s="144"/>
      <c r="E131" s="144"/>
      <c r="F131" s="123">
        <f>NonTaxableCosts/4</f>
        <v>0</v>
      </c>
      <c r="G131" s="139"/>
      <c r="H131" s="104"/>
    </row>
    <row r="132" spans="1:13" ht="15" thickBot="1" x14ac:dyDescent="0.25">
      <c r="A132" s="84"/>
      <c r="B132" s="90"/>
      <c r="C132" s="125" t="s">
        <v>141</v>
      </c>
      <c r="D132" s="146"/>
      <c r="E132" s="146"/>
      <c r="F132" s="123">
        <f>NonTaxableCosts/4</f>
        <v>0</v>
      </c>
      <c r="G132" s="139"/>
      <c r="H132" s="104"/>
    </row>
    <row r="133" spans="1:13" ht="4.5" customHeight="1" thickBot="1" x14ac:dyDescent="0.25">
      <c r="A133" s="84"/>
      <c r="B133" s="90"/>
      <c r="C133" s="709"/>
      <c r="D133" s="707"/>
      <c r="E133" s="707"/>
      <c r="F133" s="710"/>
      <c r="G133" s="708"/>
      <c r="H133" s="104"/>
    </row>
    <row r="134" spans="1:13" ht="15" x14ac:dyDescent="0.25">
      <c r="A134" s="84"/>
      <c r="B134" s="90"/>
      <c r="C134" s="127" t="s">
        <v>142</v>
      </c>
      <c r="D134" s="128">
        <f>SUM(D129:D132)</f>
        <v>0</v>
      </c>
      <c r="E134" s="128">
        <f>SUM(E129:E132)</f>
        <v>0</v>
      </c>
      <c r="F134" s="129">
        <f>SUM(F129:F132)</f>
        <v>0</v>
      </c>
      <c r="G134" s="130">
        <f>SUM(G129:G132)</f>
        <v>0</v>
      </c>
      <c r="H134" s="104"/>
    </row>
    <row r="135" spans="1:13" ht="15.75" thickBot="1" x14ac:dyDescent="0.3">
      <c r="A135" s="84"/>
      <c r="B135" s="90"/>
      <c r="C135" s="131" t="s">
        <v>143</v>
      </c>
      <c r="D135" s="132">
        <f>D134-E134</f>
        <v>0</v>
      </c>
      <c r="E135" s="132"/>
      <c r="F135" s="133">
        <f>F134-G134</f>
        <v>0</v>
      </c>
      <c r="G135" s="134"/>
      <c r="H135" s="104"/>
    </row>
    <row r="136" spans="1:13" ht="15.75" thickBot="1" x14ac:dyDescent="0.3">
      <c r="A136" s="84"/>
      <c r="B136" s="90"/>
      <c r="C136" s="102"/>
      <c r="D136" s="712"/>
      <c r="E136" s="712"/>
      <c r="F136" s="98"/>
      <c r="G136" s="69"/>
      <c r="H136" s="104"/>
    </row>
    <row r="137" spans="1:13" ht="21" thickBot="1" x14ac:dyDescent="0.35">
      <c r="A137" s="84"/>
      <c r="B137" s="90"/>
      <c r="C137" s="713" t="s">
        <v>157</v>
      </c>
      <c r="D137" s="714"/>
      <c r="E137" s="714"/>
      <c r="F137" s="714"/>
      <c r="G137" s="715"/>
      <c r="H137" s="104"/>
    </row>
    <row r="138" spans="1:13" ht="14.25" x14ac:dyDescent="0.2">
      <c r="A138" s="84"/>
      <c r="B138" s="90"/>
      <c r="C138" s="135"/>
      <c r="D138" s="695" t="s">
        <v>136</v>
      </c>
      <c r="E138" s="695"/>
      <c r="F138" s="696" t="s">
        <v>137</v>
      </c>
      <c r="G138" s="697"/>
      <c r="H138" s="107"/>
      <c r="L138" s="67"/>
      <c r="M138" s="67"/>
    </row>
    <row r="139" spans="1:13" ht="14.25" x14ac:dyDescent="0.2">
      <c r="A139" s="84"/>
      <c r="B139" s="90"/>
      <c r="C139" s="120" t="s">
        <v>138</v>
      </c>
      <c r="D139" s="688">
        <f>F17+F27+F37+F46+F55+F64+F73+F82+F91+F109+F119+F129+F100</f>
        <v>0</v>
      </c>
      <c r="E139" s="689"/>
      <c r="F139" s="688">
        <f>G17+G27+G37+G46+G55+G64+G73+G82+G91+G109+G119+G129+G100</f>
        <v>0</v>
      </c>
      <c r="G139" s="689"/>
      <c r="H139" s="107"/>
      <c r="L139" s="67"/>
      <c r="M139" s="67"/>
    </row>
    <row r="140" spans="1:13" ht="14.25" x14ac:dyDescent="0.2">
      <c r="A140" s="84"/>
      <c r="B140" s="90"/>
      <c r="C140" s="120" t="s">
        <v>139</v>
      </c>
      <c r="D140" s="688">
        <f t="shared" ref="D140:D141" si="1">F18+F28+F38+F47+F56+F65+F74+F83+F92+F110+F120+F130+F101</f>
        <v>0</v>
      </c>
      <c r="E140" s="689"/>
      <c r="F140" s="688">
        <f t="shared" ref="F140:F141" si="2">G18+G28+G38+G47+G56+G65+G74+G83+G92+G110+G120+G130+G101</f>
        <v>0</v>
      </c>
      <c r="G140" s="689"/>
      <c r="H140" s="107"/>
      <c r="L140" s="67"/>
      <c r="M140" s="67"/>
    </row>
    <row r="141" spans="1:13" ht="14.25" x14ac:dyDescent="0.2">
      <c r="A141" s="84"/>
      <c r="B141" s="90"/>
      <c r="C141" s="120" t="s">
        <v>140</v>
      </c>
      <c r="D141" s="688">
        <f t="shared" si="1"/>
        <v>0</v>
      </c>
      <c r="E141" s="689"/>
      <c r="F141" s="688">
        <f t="shared" si="2"/>
        <v>0</v>
      </c>
      <c r="G141" s="689"/>
      <c r="H141" s="107"/>
      <c r="L141" s="67"/>
      <c r="M141" s="67"/>
    </row>
    <row r="142" spans="1:13" ht="15" thickBot="1" x14ac:dyDescent="0.25">
      <c r="A142" s="84"/>
      <c r="B142" s="90"/>
      <c r="C142" s="125" t="s">
        <v>141</v>
      </c>
      <c r="D142" s="688">
        <f>F20+F30+F40+F49+F58+F67+F76+F85+F94+F112+F122+F132+F103</f>
        <v>0</v>
      </c>
      <c r="E142" s="689"/>
      <c r="F142" s="688">
        <f>G20+G30+G40+G49+G58+G67+G76+G85+G94+G112+G122+G132+G103</f>
        <v>0</v>
      </c>
      <c r="G142" s="689"/>
      <c r="H142" s="107"/>
      <c r="L142" s="67"/>
      <c r="M142" s="67"/>
    </row>
    <row r="143" spans="1:13" ht="4.5" customHeight="1" thickBot="1" x14ac:dyDescent="0.25">
      <c r="A143" s="84"/>
      <c r="B143" s="90"/>
      <c r="C143" s="690"/>
      <c r="D143" s="691"/>
      <c r="E143" s="691"/>
      <c r="F143" s="691"/>
      <c r="G143" s="692"/>
      <c r="H143" s="104"/>
    </row>
    <row r="144" spans="1:13" ht="15.75" thickBot="1" x14ac:dyDescent="0.3">
      <c r="A144" s="84"/>
      <c r="B144" s="90"/>
      <c r="C144" s="136" t="s">
        <v>142</v>
      </c>
      <c r="D144" s="693">
        <f>SUM(D139:D142)</f>
        <v>0</v>
      </c>
      <c r="E144" s="693"/>
      <c r="F144" s="693">
        <f>SUM(F139:F142)</f>
        <v>0</v>
      </c>
      <c r="G144" s="694"/>
      <c r="H144" s="104"/>
    </row>
    <row r="145" spans="1:13" ht="4.5" customHeight="1" thickBot="1" x14ac:dyDescent="0.3">
      <c r="A145" s="84"/>
      <c r="B145" s="90"/>
      <c r="C145" s="685"/>
      <c r="D145" s="686"/>
      <c r="E145" s="686"/>
      <c r="F145" s="686"/>
      <c r="G145" s="687"/>
      <c r="H145" s="104"/>
    </row>
    <row r="146" spans="1:13" s="111" customFormat="1" ht="15.75" thickBot="1" x14ac:dyDescent="0.25">
      <c r="A146" s="174"/>
      <c r="B146" s="108"/>
      <c r="C146" s="672" t="s">
        <v>158</v>
      </c>
      <c r="D146" s="673"/>
      <c r="E146" s="674"/>
      <c r="F146" s="675">
        <f>D144-F144</f>
        <v>0</v>
      </c>
      <c r="G146" s="676"/>
      <c r="H146" s="109"/>
      <c r="I146" s="110"/>
      <c r="J146" s="110"/>
      <c r="K146" s="110"/>
      <c r="L146" s="110"/>
      <c r="M146" s="110"/>
    </row>
    <row r="147" spans="1:13" ht="15.75" thickBot="1" x14ac:dyDescent="0.3">
      <c r="A147" s="84"/>
      <c r="B147" s="90"/>
      <c r="C147" s="102"/>
      <c r="D147" s="98"/>
      <c r="E147" s="98"/>
      <c r="F147" s="98"/>
      <c r="G147" s="69"/>
      <c r="H147" s="104"/>
    </row>
    <row r="148" spans="1:13" s="115" customFormat="1" ht="36" customHeight="1" x14ac:dyDescent="0.25">
      <c r="A148" s="175"/>
      <c r="B148" s="112"/>
      <c r="C148" s="677" t="s">
        <v>159</v>
      </c>
      <c r="D148" s="678"/>
      <c r="E148" s="678"/>
      <c r="F148" s="679">
        <f>F146</f>
        <v>0</v>
      </c>
      <c r="G148" s="680"/>
      <c r="H148" s="113"/>
      <c r="I148" s="114"/>
      <c r="J148" s="114"/>
      <c r="K148" s="114"/>
      <c r="L148" s="114"/>
      <c r="M148" s="114"/>
    </row>
    <row r="149" spans="1:13" s="115" customFormat="1" ht="36" customHeight="1" thickBot="1" x14ac:dyDescent="0.3">
      <c r="A149" s="175"/>
      <c r="B149" s="112"/>
      <c r="C149" s="681" t="s">
        <v>160</v>
      </c>
      <c r="D149" s="682"/>
      <c r="E149" s="682"/>
      <c r="F149" s="683" t="e">
        <f>F144/D144</f>
        <v>#DIV/0!</v>
      </c>
      <c r="G149" s="684"/>
      <c r="H149" s="113"/>
      <c r="I149" s="114"/>
      <c r="J149" s="114"/>
      <c r="K149" s="114"/>
      <c r="L149" s="114"/>
      <c r="M149" s="114"/>
    </row>
    <row r="150" spans="1:13" ht="31.5" customHeight="1" thickBot="1" x14ac:dyDescent="0.25">
      <c r="A150" s="84"/>
      <c r="B150" s="91"/>
      <c r="C150" s="661" t="s">
        <v>161</v>
      </c>
      <c r="D150" s="661"/>
      <c r="E150" s="661"/>
      <c r="F150" s="661"/>
      <c r="G150" s="661"/>
      <c r="H150" s="106"/>
    </row>
    <row r="151" spans="1:13" ht="14.25" x14ac:dyDescent="0.2">
      <c r="A151" s="176"/>
      <c r="B151" s="73"/>
      <c r="C151" s="73"/>
      <c r="D151" s="73"/>
      <c r="E151" s="73"/>
      <c r="F151" s="73"/>
      <c r="G151" s="79"/>
    </row>
    <row r="152" spans="1:13" ht="12.75" customHeight="1" x14ac:dyDescent="0.2">
      <c r="A152" s="84"/>
      <c r="B152" s="68"/>
      <c r="C152" s="662" t="s">
        <v>162</v>
      </c>
      <c r="D152" s="662"/>
      <c r="E152" s="662"/>
      <c r="F152" s="662"/>
      <c r="G152" s="662"/>
    </row>
    <row r="153" spans="1:13" x14ac:dyDescent="0.2">
      <c r="A153" s="84"/>
      <c r="B153" s="68"/>
      <c r="C153" s="662"/>
      <c r="D153" s="662"/>
      <c r="E153" s="662"/>
      <c r="F153" s="662"/>
      <c r="G153" s="662"/>
    </row>
    <row r="154" spans="1:13" x14ac:dyDescent="0.2">
      <c r="A154" s="84"/>
      <c r="B154" s="68"/>
      <c r="C154" s="68"/>
      <c r="D154" s="68"/>
      <c r="E154" s="68"/>
      <c r="F154" s="68"/>
      <c r="G154" s="68"/>
    </row>
    <row r="155" spans="1:13" ht="13.5" thickBot="1" x14ac:dyDescent="0.25">
      <c r="A155" s="84"/>
      <c r="B155" s="68"/>
      <c r="C155" s="68"/>
      <c r="D155" s="68"/>
      <c r="E155" s="68"/>
      <c r="F155" s="68"/>
      <c r="G155" s="68"/>
    </row>
    <row r="156" spans="1:13" x14ac:dyDescent="0.2">
      <c r="A156" s="84"/>
      <c r="B156" s="68"/>
      <c r="C156" s="663"/>
      <c r="D156" s="664"/>
      <c r="E156" s="68"/>
      <c r="F156" s="667"/>
      <c r="G156" s="668"/>
    </row>
    <row r="157" spans="1:13" ht="13.5" thickBot="1" x14ac:dyDescent="0.25">
      <c r="A157" s="84"/>
      <c r="B157" s="68"/>
      <c r="C157" s="665"/>
      <c r="D157" s="666"/>
      <c r="E157" s="68"/>
      <c r="F157" s="669"/>
      <c r="G157" s="670"/>
    </row>
    <row r="158" spans="1:13" x14ac:dyDescent="0.2">
      <c r="A158" s="84"/>
      <c r="B158" s="68"/>
      <c r="C158" s="660" t="s">
        <v>163</v>
      </c>
      <c r="D158" s="660"/>
      <c r="E158" s="68"/>
      <c r="F158" s="671" t="s">
        <v>164</v>
      </c>
      <c r="G158" s="671"/>
    </row>
    <row r="159" spans="1:13" x14ac:dyDescent="0.2">
      <c r="A159" s="84"/>
      <c r="B159" s="68"/>
      <c r="C159" s="68"/>
      <c r="D159" s="68"/>
      <c r="E159" s="68"/>
      <c r="F159" s="662"/>
      <c r="G159" s="662"/>
    </row>
    <row r="160" spans="1:13" x14ac:dyDescent="0.2">
      <c r="A160" s="84"/>
      <c r="B160" s="68"/>
      <c r="C160" s="68"/>
      <c r="D160" s="68"/>
      <c r="E160" s="68"/>
      <c r="F160" s="68"/>
      <c r="G160" s="68"/>
    </row>
    <row r="161" spans="1:7" x14ac:dyDescent="0.2">
      <c r="A161" s="84"/>
      <c r="B161" s="68"/>
      <c r="C161" s="68"/>
      <c r="D161" s="68"/>
      <c r="E161" s="68"/>
      <c r="F161" s="68"/>
      <c r="G161" s="68"/>
    </row>
    <row r="162" spans="1:7" ht="13.5" thickBot="1" x14ac:dyDescent="0.25">
      <c r="A162" s="84"/>
      <c r="B162" s="68"/>
      <c r="C162" s="68"/>
      <c r="D162" s="68"/>
      <c r="E162" s="68"/>
      <c r="F162" s="659"/>
      <c r="G162" s="659"/>
    </row>
    <row r="163" spans="1:7" x14ac:dyDescent="0.2">
      <c r="A163" s="84"/>
      <c r="B163" s="68"/>
      <c r="C163" s="660" t="s">
        <v>165</v>
      </c>
      <c r="D163" s="660"/>
      <c r="E163" s="68"/>
      <c r="F163" s="68" t="s">
        <v>82</v>
      </c>
      <c r="G163" s="68"/>
    </row>
  </sheetData>
  <sheetProtection password="E7F0" sheet="1" objects="1" scenarios="1"/>
  <mergeCells count="59">
    <mergeCell ref="C25:G25"/>
    <mergeCell ref="B2:G2"/>
    <mergeCell ref="B3:G3"/>
    <mergeCell ref="B12:G12"/>
    <mergeCell ref="C15:G15"/>
    <mergeCell ref="C21:G21"/>
    <mergeCell ref="C80:G80"/>
    <mergeCell ref="C31:G31"/>
    <mergeCell ref="C35:G35"/>
    <mergeCell ref="C42:D42"/>
    <mergeCell ref="C44:G44"/>
    <mergeCell ref="C51:D51"/>
    <mergeCell ref="C53:G53"/>
    <mergeCell ref="C60:D60"/>
    <mergeCell ref="C62:G62"/>
    <mergeCell ref="C69:D69"/>
    <mergeCell ref="C71:G71"/>
    <mergeCell ref="C78:D78"/>
    <mergeCell ref="D138:E138"/>
    <mergeCell ref="F138:G138"/>
    <mergeCell ref="C87:D87"/>
    <mergeCell ref="C89:G89"/>
    <mergeCell ref="C96:D96"/>
    <mergeCell ref="C107:G107"/>
    <mergeCell ref="C113:G113"/>
    <mergeCell ref="C117:G117"/>
    <mergeCell ref="C123:G123"/>
    <mergeCell ref="C127:G127"/>
    <mergeCell ref="C133:G133"/>
    <mergeCell ref="D136:E136"/>
    <mergeCell ref="C137:G137"/>
    <mergeCell ref="C98:G98"/>
    <mergeCell ref="C105:D105"/>
    <mergeCell ref="C145:G145"/>
    <mergeCell ref="D139:E139"/>
    <mergeCell ref="F139:G139"/>
    <mergeCell ref="D140:E140"/>
    <mergeCell ref="F140:G140"/>
    <mergeCell ref="D141:E141"/>
    <mergeCell ref="F141:G141"/>
    <mergeCell ref="D142:E142"/>
    <mergeCell ref="F142:G142"/>
    <mergeCell ref="C143:G143"/>
    <mergeCell ref="D144:E144"/>
    <mergeCell ref="F144:G144"/>
    <mergeCell ref="C146:E146"/>
    <mergeCell ref="F146:G146"/>
    <mergeCell ref="C148:E148"/>
    <mergeCell ref="F148:G148"/>
    <mergeCell ref="C149:E149"/>
    <mergeCell ref="F149:G149"/>
    <mergeCell ref="F162:G162"/>
    <mergeCell ref="C163:D163"/>
    <mergeCell ref="C150:G150"/>
    <mergeCell ref="C152:G153"/>
    <mergeCell ref="C156:D157"/>
    <mergeCell ref="F156:G157"/>
    <mergeCell ref="C158:D158"/>
    <mergeCell ref="F158:G159"/>
  </mergeCells>
  <dataValidations count="3">
    <dataValidation type="list" allowBlank="1" showInputMessage="1" showErrorMessage="1" promptTitle="Quarter Number" prompt="Select the appropriate Quarter Number from the drop-down list.  Be sure to change the number for each quarterly report." sqref="D9">
      <formula1>$I$8:$I$11</formula1>
    </dataValidation>
    <dataValidation allowBlank="1" showInputMessage="1" showErrorMessage="1" promptTitle="Quarterly Report- To Date" prompt="Enter the end date for the period of this quarterly report.  Be sure to change the date for each quarterly report." sqref="F8"/>
    <dataValidation allowBlank="1" showInputMessage="1" showErrorMessage="1" promptTitle="Quarterly Report - From Date" prompt="Enter the begin date for the period of this quarterly report.  Be sure to change the date for each quarterly report." sqref="D8"/>
  </dataValidations>
  <printOptions horizontalCentered="1"/>
  <pageMargins left="0.17" right="0.17" top="0.46" bottom="0.37" header="0.17" footer="0.17"/>
  <pageSetup scale="68" fitToHeight="3" orientation="portrait" r:id="rId1"/>
  <headerFooter alignWithMargins="0">
    <oddHeader xml:space="preserve">&amp;L&amp;8Texas Department of 
Aging and Disability Services&amp;R&amp;8HCS CDS Budget
February 2015
</oddHeader>
    <oddFooter>&amp;R&amp;8Date and Time Created
&amp;D &amp;T</oddFooter>
  </headerFooter>
  <rowBreaks count="2" manualBreakCount="2">
    <brk id="69" max="16383" man="1"/>
    <brk id="1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7" workbookViewId="0">
      <selection activeCell="E23" sqref="E23:F23"/>
    </sheetView>
  </sheetViews>
  <sheetFormatPr defaultRowHeight="15" x14ac:dyDescent="0.25"/>
  <cols>
    <col min="1" max="1" width="3.85546875" customWidth="1"/>
    <col min="2" max="2" width="4.7109375" customWidth="1"/>
    <col min="3" max="3" width="34.7109375" customWidth="1"/>
    <col min="4" max="4" width="6" customWidth="1"/>
    <col min="5" max="5" width="4.7109375" customWidth="1"/>
    <col min="6" max="6" width="34.7109375" customWidth="1"/>
  </cols>
  <sheetData>
    <row r="1" spans="1:6" x14ac:dyDescent="0.25">
      <c r="A1" s="17"/>
      <c r="B1" s="18"/>
      <c r="C1" s="18"/>
      <c r="D1" s="18"/>
      <c r="E1" s="17"/>
      <c r="F1" s="17"/>
    </row>
    <row r="2" spans="1:6" ht="20.25" x14ac:dyDescent="0.25">
      <c r="A2" s="16"/>
      <c r="B2" s="719" t="s">
        <v>0</v>
      </c>
      <c r="C2" s="719"/>
      <c r="D2" s="719"/>
      <c r="E2" s="719"/>
      <c r="F2" s="719"/>
    </row>
    <row r="3" spans="1:6" ht="15.75" x14ac:dyDescent="0.25">
      <c r="A3" s="16"/>
      <c r="B3" s="720" t="s">
        <v>23</v>
      </c>
      <c r="C3" s="720"/>
      <c r="D3" s="720"/>
      <c r="E3" s="720"/>
      <c r="F3" s="720"/>
    </row>
    <row r="4" spans="1:6" ht="15.75" x14ac:dyDescent="0.25">
      <c r="A4" s="16"/>
      <c r="B4" s="18"/>
      <c r="C4" s="22"/>
      <c r="D4" s="22"/>
      <c r="E4" s="16"/>
      <c r="F4" s="16"/>
    </row>
    <row r="5" spans="1:6" ht="15.75" x14ac:dyDescent="0.25">
      <c r="A5" s="16"/>
      <c r="B5" s="721" t="s">
        <v>24</v>
      </c>
      <c r="C5" s="721"/>
      <c r="D5" s="721"/>
      <c r="E5" s="721"/>
      <c r="F5" s="721"/>
    </row>
    <row r="6" spans="1:6" ht="15.75" x14ac:dyDescent="0.25">
      <c r="A6" s="16"/>
      <c r="B6" s="23"/>
      <c r="C6" s="23"/>
      <c r="D6" s="23"/>
      <c r="E6" s="23"/>
      <c r="F6" s="23"/>
    </row>
    <row r="7" spans="1:6" ht="15.75" x14ac:dyDescent="0.25">
      <c r="A7" s="16"/>
      <c r="B7" s="23"/>
      <c r="C7" s="23"/>
      <c r="D7" s="23"/>
      <c r="E7" s="23"/>
      <c r="F7" s="23"/>
    </row>
    <row r="8" spans="1:6" ht="15.75" x14ac:dyDescent="0.25">
      <c r="A8" s="16"/>
      <c r="B8" s="23"/>
      <c r="C8" s="23"/>
      <c r="D8" s="23"/>
      <c r="E8" s="23"/>
      <c r="F8" s="23"/>
    </row>
    <row r="9" spans="1:6" ht="15.75" x14ac:dyDescent="0.25">
      <c r="A9" s="16"/>
      <c r="B9" s="720" t="s">
        <v>25</v>
      </c>
      <c r="C9" s="720"/>
      <c r="D9" s="720"/>
      <c r="E9" s="720"/>
      <c r="F9" s="720"/>
    </row>
    <row r="10" spans="1:6" x14ac:dyDescent="0.25">
      <c r="A10" s="16"/>
      <c r="B10" s="18"/>
      <c r="C10" s="18"/>
      <c r="D10" s="18"/>
      <c r="E10" s="21"/>
      <c r="F10" s="16"/>
    </row>
    <row r="11" spans="1:6" x14ac:dyDescent="0.25">
      <c r="A11" s="24"/>
      <c r="B11" s="722" t="s">
        <v>26</v>
      </c>
      <c r="C11" s="722"/>
      <c r="D11" s="24"/>
      <c r="E11" s="722" t="s">
        <v>27</v>
      </c>
      <c r="F11" s="722"/>
    </row>
    <row r="12" spans="1:6" x14ac:dyDescent="0.25">
      <c r="A12" s="24"/>
      <c r="B12" s="727" t="s">
        <v>28</v>
      </c>
      <c r="C12" s="727"/>
      <c r="D12" s="19"/>
      <c r="E12" s="723" t="s">
        <v>29</v>
      </c>
      <c r="F12" s="723"/>
    </row>
    <row r="13" spans="1:6" x14ac:dyDescent="0.25">
      <c r="A13" s="24"/>
      <c r="B13" s="24"/>
      <c r="C13" s="24" t="s">
        <v>30</v>
      </c>
      <c r="D13" s="24"/>
      <c r="E13" s="24"/>
      <c r="F13" s="24" t="s">
        <v>31</v>
      </c>
    </row>
    <row r="14" spans="1:6" x14ac:dyDescent="0.25">
      <c r="A14" s="24"/>
      <c r="B14" s="24"/>
      <c r="C14" s="24" t="s">
        <v>32</v>
      </c>
      <c r="D14" s="24"/>
      <c r="E14" s="16"/>
      <c r="F14" s="16"/>
    </row>
    <row r="15" spans="1:6" x14ac:dyDescent="0.25">
      <c r="A15" s="24"/>
      <c r="B15" s="24"/>
      <c r="C15" s="24" t="s">
        <v>33</v>
      </c>
      <c r="D15" s="24"/>
      <c r="E15" s="16"/>
      <c r="F15" s="16"/>
    </row>
    <row r="16" spans="1:6" x14ac:dyDescent="0.25">
      <c r="A16" s="24"/>
      <c r="B16" s="24"/>
      <c r="C16" s="24" t="s">
        <v>34</v>
      </c>
      <c r="D16" s="24"/>
      <c r="E16" s="16"/>
      <c r="F16" s="16"/>
    </row>
    <row r="17" spans="1:6" x14ac:dyDescent="0.25">
      <c r="A17" s="24"/>
      <c r="B17" s="24"/>
      <c r="C17" s="24" t="s">
        <v>35</v>
      </c>
      <c r="D17" s="24"/>
      <c r="E17" s="16"/>
      <c r="F17" s="16"/>
    </row>
    <row r="18" spans="1:6" x14ac:dyDescent="0.25">
      <c r="A18" s="24"/>
      <c r="B18" s="24"/>
      <c r="C18" s="24" t="s">
        <v>36</v>
      </c>
      <c r="D18" s="24"/>
      <c r="E18" s="16"/>
      <c r="F18" s="16"/>
    </row>
    <row r="19" spans="1:6" x14ac:dyDescent="0.25">
      <c r="A19" s="24"/>
      <c r="B19" s="24"/>
      <c r="C19" s="24"/>
      <c r="D19" s="24"/>
      <c r="E19" s="16"/>
      <c r="F19" s="16"/>
    </row>
    <row r="20" spans="1:6" x14ac:dyDescent="0.25">
      <c r="A20" s="24"/>
      <c r="B20" s="24"/>
      <c r="C20" s="24"/>
      <c r="D20" s="19"/>
      <c r="E20" s="16"/>
      <c r="F20" s="16"/>
    </row>
    <row r="21" spans="1:6" ht="15.75" x14ac:dyDescent="0.25">
      <c r="A21" s="16"/>
      <c r="B21" s="720" t="s">
        <v>37</v>
      </c>
      <c r="C21" s="720"/>
      <c r="D21" s="720"/>
      <c r="E21" s="720"/>
      <c r="F21" s="720"/>
    </row>
    <row r="22" spans="1:6" x14ac:dyDescent="0.25">
      <c r="A22" s="24"/>
      <c r="B22" s="24"/>
      <c r="C22" s="24"/>
      <c r="D22" s="19"/>
      <c r="E22" s="16"/>
      <c r="F22" s="16"/>
    </row>
    <row r="23" spans="1:6" x14ac:dyDescent="0.25">
      <c r="A23" s="24"/>
      <c r="B23" s="725" t="s">
        <v>38</v>
      </c>
      <c r="C23" s="725"/>
      <c r="D23" s="24"/>
      <c r="E23" s="722" t="s">
        <v>27</v>
      </c>
      <c r="F23" s="722"/>
    </row>
    <row r="24" spans="1:6" ht="30.75" customHeight="1" x14ac:dyDescent="0.25">
      <c r="A24" s="24"/>
      <c r="B24" s="24"/>
      <c r="C24" s="24" t="s">
        <v>39</v>
      </c>
      <c r="D24" s="24"/>
      <c r="E24" s="726" t="s">
        <v>40</v>
      </c>
      <c r="F24" s="726"/>
    </row>
    <row r="25" spans="1:6" x14ac:dyDescent="0.25">
      <c r="A25" s="24"/>
      <c r="B25" s="24"/>
      <c r="C25" s="24" t="s">
        <v>41</v>
      </c>
      <c r="D25" s="24"/>
      <c r="E25" s="726" t="s">
        <v>42</v>
      </c>
      <c r="F25" s="726"/>
    </row>
    <row r="26" spans="1:6" x14ac:dyDescent="0.25">
      <c r="A26" s="24"/>
      <c r="B26" s="24"/>
      <c r="C26" s="24" t="s">
        <v>43</v>
      </c>
      <c r="D26" s="24"/>
      <c r="E26" s="25"/>
      <c r="F26" s="24" t="s">
        <v>44</v>
      </c>
    </row>
    <row r="27" spans="1:6" x14ac:dyDescent="0.25">
      <c r="A27" s="24"/>
      <c r="B27" s="24"/>
      <c r="C27" s="24" t="s">
        <v>45</v>
      </c>
      <c r="D27" s="24"/>
      <c r="E27" s="25"/>
      <c r="F27" s="24" t="s">
        <v>46</v>
      </c>
    </row>
    <row r="28" spans="1:6" x14ac:dyDescent="0.25">
      <c r="A28" s="24"/>
      <c r="B28" s="24"/>
      <c r="C28" s="24" t="s">
        <v>47</v>
      </c>
      <c r="D28" s="24"/>
      <c r="E28" s="25"/>
      <c r="F28" s="24" t="s">
        <v>48</v>
      </c>
    </row>
    <row r="29" spans="1:6" x14ac:dyDescent="0.25">
      <c r="A29" s="24"/>
      <c r="B29" s="24"/>
      <c r="C29" s="24" t="s">
        <v>49</v>
      </c>
      <c r="D29" s="24"/>
      <c r="E29" s="24"/>
      <c r="F29" s="24"/>
    </row>
    <row r="30" spans="1:6" x14ac:dyDescent="0.25">
      <c r="A30" s="24"/>
      <c r="B30" s="24"/>
      <c r="C30" s="24" t="s">
        <v>50</v>
      </c>
      <c r="D30" s="24"/>
      <c r="E30" s="722" t="s">
        <v>51</v>
      </c>
      <c r="F30" s="722"/>
    </row>
    <row r="31" spans="1:6" x14ac:dyDescent="0.25">
      <c r="A31" s="24"/>
      <c r="B31" s="24"/>
      <c r="C31" s="24" t="s">
        <v>52</v>
      </c>
      <c r="D31" s="24"/>
      <c r="E31" s="16"/>
      <c r="F31" s="24" t="s">
        <v>53</v>
      </c>
    </row>
    <row r="32" spans="1:6" x14ac:dyDescent="0.25">
      <c r="A32" s="24"/>
      <c r="B32" s="24"/>
      <c r="C32" s="24"/>
      <c r="D32" s="24"/>
      <c r="E32" s="16"/>
      <c r="F32" s="24" t="s">
        <v>54</v>
      </c>
    </row>
    <row r="33" spans="1:6" x14ac:dyDescent="0.25">
      <c r="A33" s="24"/>
      <c r="B33" s="722" t="s">
        <v>55</v>
      </c>
      <c r="C33" s="722"/>
      <c r="D33" s="24"/>
      <c r="E33" s="16"/>
      <c r="F33" s="24" t="s">
        <v>56</v>
      </c>
    </row>
    <row r="34" spans="1:6" x14ac:dyDescent="0.25">
      <c r="A34" s="24"/>
      <c r="B34" s="16"/>
      <c r="C34" s="24" t="s">
        <v>57</v>
      </c>
      <c r="D34" s="24"/>
      <c r="E34" s="16"/>
      <c r="F34" s="24" t="s">
        <v>58</v>
      </c>
    </row>
    <row r="35" spans="1:6" x14ac:dyDescent="0.25">
      <c r="A35" s="24"/>
      <c r="B35" s="16"/>
      <c r="C35" s="24" t="s">
        <v>59</v>
      </c>
      <c r="D35" s="24"/>
      <c r="E35" s="16"/>
      <c r="F35" s="16"/>
    </row>
    <row r="36" spans="1:6" x14ac:dyDescent="0.25">
      <c r="A36" s="24"/>
      <c r="B36" s="16"/>
      <c r="C36" s="24" t="s">
        <v>60</v>
      </c>
      <c r="D36" s="24"/>
      <c r="E36" s="724" t="s">
        <v>61</v>
      </c>
      <c r="F36" s="724"/>
    </row>
    <row r="37" spans="1:6" x14ac:dyDescent="0.25">
      <c r="A37" s="16"/>
      <c r="B37" s="16"/>
      <c r="C37" s="24" t="s">
        <v>62</v>
      </c>
      <c r="D37" s="24"/>
      <c r="E37" s="723" t="s">
        <v>63</v>
      </c>
      <c r="F37" s="723"/>
    </row>
    <row r="38" spans="1:6" x14ac:dyDescent="0.25">
      <c r="A38" s="24"/>
      <c r="B38" s="24"/>
      <c r="C38" s="24" t="s">
        <v>64</v>
      </c>
      <c r="D38" s="24"/>
      <c r="E38" s="16"/>
      <c r="F38" s="20" t="s">
        <v>65</v>
      </c>
    </row>
    <row r="39" spans="1:6" x14ac:dyDescent="0.25">
      <c r="A39" s="24"/>
      <c r="B39" s="25"/>
      <c r="C39" s="24"/>
      <c r="D39" s="24"/>
      <c r="E39" s="16"/>
      <c r="F39" s="20" t="s">
        <v>66</v>
      </c>
    </row>
    <row r="40" spans="1:6" x14ac:dyDescent="0.25">
      <c r="A40" s="16"/>
      <c r="B40" s="16"/>
      <c r="C40" s="16"/>
      <c r="D40" s="24"/>
      <c r="E40" s="16"/>
      <c r="F40" s="16"/>
    </row>
  </sheetData>
  <sheetProtection password="E7F0" sheet="1" objects="1" scenarios="1"/>
  <mergeCells count="17">
    <mergeCell ref="E37:F37"/>
    <mergeCell ref="E36:F36"/>
    <mergeCell ref="B33:C33"/>
    <mergeCell ref="B23:C23"/>
    <mergeCell ref="E12:F12"/>
    <mergeCell ref="E23:F23"/>
    <mergeCell ref="E25:F25"/>
    <mergeCell ref="E30:F30"/>
    <mergeCell ref="B21:F21"/>
    <mergeCell ref="B12:C12"/>
    <mergeCell ref="E24:F24"/>
    <mergeCell ref="B2:F2"/>
    <mergeCell ref="B3:F3"/>
    <mergeCell ref="B5:F5"/>
    <mergeCell ref="E11:F11"/>
    <mergeCell ref="B9:F9"/>
    <mergeCell ref="B11:C11"/>
  </mergeCells>
  <pageMargins left="0.7" right="0.7" top="0.75" bottom="0.75" header="0.3" footer="0.3"/>
  <pageSetup orientation="portrait" r:id="rId1"/>
  <headerFooter>
    <oddHeader>&amp;LTexas Department of 
Aging and Disability Services&amp;RHCS CDS Budget
February 2015</oddHeader>
    <oddFooter>&amp;RDate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45</vt:i4>
      </vt:variant>
    </vt:vector>
  </HeadingPairs>
  <TitlesOfParts>
    <vt:vector size="54" baseType="lpstr">
      <vt:lpstr>General Information</vt:lpstr>
      <vt:lpstr>Consumer Information &amp; Approval</vt:lpstr>
      <vt:lpstr>Notes</vt:lpstr>
      <vt:lpstr>Authorized Units &amp; Budget</vt:lpstr>
      <vt:lpstr>ESS &amp; Non-Taxable</vt:lpstr>
      <vt:lpstr>CFC Taxable Wage &amp; Comp</vt:lpstr>
      <vt:lpstr>Non-CFC Taxable Wage &amp; Comp</vt:lpstr>
      <vt:lpstr>Quarterly Report</vt:lpstr>
      <vt:lpstr>Definitions</vt:lpstr>
      <vt:lpstr>AuthCFC</vt:lpstr>
      <vt:lpstr>AuthCRT</vt:lpstr>
      <vt:lpstr>AuthEA</vt:lpstr>
      <vt:lpstr>AuthLVN</vt:lpstr>
      <vt:lpstr>AuthRespite</vt:lpstr>
      <vt:lpstr>AuthRN</vt:lpstr>
      <vt:lpstr>AuthSCS</vt:lpstr>
      <vt:lpstr>AuthSE</vt:lpstr>
      <vt:lpstr>AuthSHL</vt:lpstr>
      <vt:lpstr>AuthSpLVN</vt:lpstr>
      <vt:lpstr>AuthSpRN</vt:lpstr>
      <vt:lpstr>CFCBudget</vt:lpstr>
      <vt:lpstr>CFCRate</vt:lpstr>
      <vt:lpstr>Consumer_Name</vt:lpstr>
      <vt:lpstr>CRTRAte</vt:lpstr>
      <vt:lpstr>DR_LAR</vt:lpstr>
      <vt:lpstr>EARate</vt:lpstr>
      <vt:lpstr>ESSPurchases</vt:lpstr>
      <vt:lpstr>FICA</vt:lpstr>
      <vt:lpstr>From</vt:lpstr>
      <vt:lpstr>FUTA</vt:lpstr>
      <vt:lpstr>FUTA_Max</vt:lpstr>
      <vt:lpstr>IndName</vt:lpstr>
      <vt:lpstr>LVNRate</vt:lpstr>
      <vt:lpstr>Medicaid_Number</vt:lpstr>
      <vt:lpstr>Medicare</vt:lpstr>
      <vt:lpstr>MedID</vt:lpstr>
      <vt:lpstr>NONCFCBudget</vt:lpstr>
      <vt:lpstr>NonTaxableCosts</vt:lpstr>
      <vt:lpstr>'CFC Taxable Wage &amp; Comp'!Print_Area</vt:lpstr>
      <vt:lpstr>'Non-CFC Taxable Wage &amp; Comp'!Print_Area</vt:lpstr>
      <vt:lpstr>'Quarterly Report'!Print_Area</vt:lpstr>
      <vt:lpstr>'Quarterly Report'!Print_Titles</vt:lpstr>
      <vt:lpstr>RespiteRate</vt:lpstr>
      <vt:lpstr>RNRate</vt:lpstr>
      <vt:lpstr>SCSRate</vt:lpstr>
      <vt:lpstr>SERate</vt:lpstr>
      <vt:lpstr>SpecLVNRate</vt:lpstr>
      <vt:lpstr>SpecRNRate</vt:lpstr>
      <vt:lpstr>SUTA_Max</vt:lpstr>
      <vt:lpstr>To</vt:lpstr>
      <vt:lpstr>Total_Budget</vt:lpstr>
      <vt:lpstr>Total_Tax</vt:lpstr>
      <vt:lpstr>TotalSCSCosts</vt:lpstr>
      <vt:lpstr>Weeks</vt:lpstr>
    </vt:vector>
  </TitlesOfParts>
  <Company>Texas Department on Ageing and Disability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Webb,Suzanne W (DADS)</dc:creator>
  <cp:lastModifiedBy>Garcia,Tish (DADS)</cp:lastModifiedBy>
  <cp:lastPrinted>2015-07-22T19:37:13Z</cp:lastPrinted>
  <dcterms:created xsi:type="dcterms:W3CDTF">2015-01-29T18:07:42Z</dcterms:created>
  <dcterms:modified xsi:type="dcterms:W3CDTF">2015-10-05T17:18:11Z</dcterms:modified>
</cp:coreProperties>
</file>