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munications Office\Web_Work\HHSC-7600-7699\HHSC-7608\"/>
    </mc:Choice>
  </mc:AlternateContent>
  <bookViews>
    <workbookView xWindow="0" yWindow="0" windowWidth="23040" windowHeight="9540" activeTab="4"/>
  </bookViews>
  <sheets>
    <sheet name="TRA TRF TRY" sheetId="1" r:id="rId1"/>
    <sheet name="PPW" sheetId="2" r:id="rId2"/>
    <sheet name="LBHA" sheetId="3" r:id="rId3"/>
    <sheet name="OTS Services" sheetId="4" r:id="rId4"/>
    <sheet name="OTS-V &amp; OBT" sheetId="5" r:id="rId5"/>
  </sheets>
  <definedNames>
    <definedName name="Days" localSheetId="4">'OTS-V &amp; OBT'!$M$7</definedName>
    <definedName name="Days">LBHA!$M$7</definedName>
    <definedName name="Match" localSheetId="4">'OTS-V &amp; OBT'!$M$4</definedName>
    <definedName name="Match">LBHA!$M$4</definedName>
    <definedName name="_xlnm.Print_Area" localSheetId="2">LBHA!$A$1:$O$87</definedName>
    <definedName name="_xlnm.Print_Area" localSheetId="3">'OTS Services'!$A$1:$O$60</definedName>
    <definedName name="_xlnm.Print_Area" localSheetId="4">'OTS-V &amp; OBT'!$A$1:$O$45</definedName>
    <definedName name="_xlnm.Print_Area" localSheetId="0">'TRA TRF TRY'!$A$1:$O$78</definedName>
    <definedName name="Psychiatrist" localSheetId="4">'OTS-V &amp; OBT'!#REF!</definedName>
    <definedName name="Psychiatrist">LBHA!$J$47</definedName>
    <definedName name="YouthOutpatient" localSheetId="4">'OTS-V &amp; OBT'!#REF!</definedName>
    <definedName name="YouthOutpatient">LBHA!$I$42</definedName>
    <definedName name="Z_46DAEA1C_9AA2_41AF_B0D5_8FF77AE3DFC9_.wvu.PrintArea" localSheetId="2" hidden="1">LBHA!$A$1:$O$76</definedName>
    <definedName name="Z_46DAEA1C_9AA2_41AF_B0D5_8FF77AE3DFC9_.wvu.PrintArea" localSheetId="3" hidden="1">'OTS Services'!$A$1:$O$60</definedName>
    <definedName name="Z_46DAEA1C_9AA2_41AF_B0D5_8FF77AE3DFC9_.wvu.PrintArea" localSheetId="4" hidden="1">'OTS-V &amp; OBT'!$A$1:$O$36</definedName>
    <definedName name="Z_46DAEA1C_9AA2_41AF_B0D5_8FF77AE3DFC9_.wvu.PrintArea" localSheetId="0" hidden="1">'TRA TRF TRY'!$A$1:$O$78</definedName>
    <definedName name="Z_C6420BFA_ED47_4663_9C57_378E7F6357AD_.wvu.PrintArea" localSheetId="2" hidden="1">LBHA!$A$1:$O$76</definedName>
    <definedName name="Z_C6420BFA_ED47_4663_9C57_378E7F6357AD_.wvu.PrintArea" localSheetId="3" hidden="1">'OTS Services'!$A$1:$O$60</definedName>
    <definedName name="Z_C6420BFA_ED47_4663_9C57_378E7F6357AD_.wvu.PrintArea" localSheetId="4" hidden="1">'OTS-V &amp; OBT'!$A$1:$O$36</definedName>
    <definedName name="Z_C6420BFA_ED47_4663_9C57_378E7F6357AD_.wvu.PrintArea" localSheetId="0" hidden="1">'TRA TRF TRY'!$A$1:$O$78</definedName>
    <definedName name="Z_E1836566_5413_4CEC_8A51_C2FC60CADFC0_.wvu.PrintArea" localSheetId="2" hidden="1">LBHA!$A$1:$O$76</definedName>
    <definedName name="Z_E1836566_5413_4CEC_8A51_C2FC60CADFC0_.wvu.PrintArea" localSheetId="3" hidden="1">'OTS Services'!$A$1:$O$60</definedName>
    <definedName name="Z_E1836566_5413_4CEC_8A51_C2FC60CADFC0_.wvu.PrintArea" localSheetId="4" hidden="1">'OTS-V &amp; OBT'!$A$1:$O$36</definedName>
    <definedName name="Z_E1836566_5413_4CEC_8A51_C2FC60CADFC0_.wvu.PrintArea" localSheetId="0" hidden="1">'TRA TRF TRY'!$A$1:$O$78</definedName>
  </definedNames>
  <calcPr calcId="171027"/>
  <customWorkbookViews>
    <customWorkbookView name="Sullivant,Duane (DSHS) - Personal View" guid="{C6420BFA-ED47-4663-9C57-378E7F6357AD}" mergeInterval="0" personalView="1" maximized="1" xWindow="1912" yWindow="22" windowWidth="1696" windowHeight="1066" activeSheetId="1" showComments="commIndAndComment"/>
    <customWorkbookView name="Molenaar,Jennifer (HHSC/DSHS) - Personal View" guid="{46DAEA1C-9AA2-41AF-B0D5-8FF77AE3DFC9}" mergeInterval="0" personalView="1" xWindow="1943" yWindow="34" windowWidth="1579" windowHeight="953" activeSheetId="5"/>
    <customWorkbookView name="Salazar,Jane (HHSC) - Personal View" guid="{E1836566-5413-4CEC-8A51-C2FC60CADFC0}" mergeInterval="0" personalView="1" maximized="1" xWindow="1912" yWindow="-8" windowWidth="1936" windowHeight="1056" activeSheetId="1" showComments="commIndAndComment"/>
  </customWorkbookViews>
</workbook>
</file>

<file path=xl/calcChain.xml><?xml version="1.0" encoding="utf-8"?>
<calcChain xmlns="http://schemas.openxmlformats.org/spreadsheetml/2006/main">
  <c r="M35" i="3" l="1"/>
  <c r="H35" i="3"/>
  <c r="L35" i="3" l="1"/>
  <c r="K64" i="3"/>
  <c r="M11" i="1" l="1"/>
  <c r="M12" i="1"/>
  <c r="M39" i="5" l="1"/>
  <c r="M38" i="5"/>
  <c r="M43" i="5"/>
  <c r="H44" i="5"/>
  <c r="H43" i="5"/>
  <c r="M42" i="5"/>
  <c r="H42" i="5"/>
  <c r="H40" i="5"/>
  <c r="H39" i="5"/>
  <c r="H38" i="5"/>
  <c r="M45" i="5" l="1"/>
  <c r="M22" i="1"/>
  <c r="M28" i="2" l="1"/>
  <c r="M59" i="3"/>
  <c r="M15" i="4"/>
  <c r="M42" i="4"/>
  <c r="M24" i="2" l="1"/>
  <c r="M55" i="3"/>
  <c r="M11" i="4"/>
  <c r="M38" i="4"/>
  <c r="M37" i="4" s="1"/>
  <c r="M23" i="2" l="1"/>
  <c r="M54" i="3"/>
  <c r="M10" i="4"/>
  <c r="J36" i="5"/>
  <c r="M6" i="4"/>
  <c r="N6" i="4" s="1"/>
  <c r="M21" i="1" l="1"/>
  <c r="M34" i="1"/>
  <c r="M25" i="1"/>
  <c r="M78" i="3" l="1"/>
  <c r="H81" i="3"/>
  <c r="M80" i="3"/>
  <c r="H80" i="3"/>
  <c r="L80" i="3" l="1"/>
  <c r="N80" i="3"/>
  <c r="M40" i="2"/>
  <c r="M14" i="5" l="1"/>
  <c r="H14" i="5"/>
  <c r="H41" i="4"/>
  <c r="M40" i="4"/>
  <c r="H40" i="4"/>
  <c r="H14" i="4"/>
  <c r="M13" i="4"/>
  <c r="H13" i="4"/>
  <c r="H58" i="3"/>
  <c r="M57" i="3"/>
  <c r="H57" i="3"/>
  <c r="H27" i="2"/>
  <c r="M26" i="2"/>
  <c r="H26" i="2"/>
  <c r="M23" i="1"/>
  <c r="H23" i="1"/>
  <c r="L40" i="4" l="1"/>
  <c r="N40" i="4" s="1"/>
  <c r="L13" i="4"/>
  <c r="N13" i="4" s="1"/>
  <c r="M7" i="1"/>
  <c r="M7" i="2"/>
  <c r="N7" i="2" s="1"/>
  <c r="L26" i="2" s="1"/>
  <c r="N26" i="2" s="1"/>
  <c r="N7" i="1" l="1"/>
  <c r="H15" i="5"/>
  <c r="H24" i="1"/>
  <c r="L23" i="1" l="1"/>
  <c r="N23" i="1" s="1"/>
  <c r="M79" i="3"/>
  <c r="M82" i="3" s="1"/>
  <c r="H79" i="3"/>
  <c r="H78" i="3"/>
  <c r="M69" i="3"/>
  <c r="M76" i="3" s="1"/>
  <c r="K68" i="3"/>
  <c r="K62" i="3"/>
  <c r="K63" i="3"/>
  <c r="K61" i="3"/>
  <c r="K60" i="3"/>
  <c r="K66" i="3"/>
  <c r="K59" i="3"/>
  <c r="H56" i="3"/>
  <c r="H55" i="3"/>
  <c r="H54" i="3" l="1"/>
  <c r="K52" i="4"/>
  <c r="M29" i="5"/>
  <c r="M18" i="5"/>
  <c r="M11" i="5" l="1"/>
  <c r="M36" i="5" s="1"/>
  <c r="M53" i="4" l="1"/>
  <c r="M60" i="4" s="1"/>
  <c r="M28" i="4" l="1"/>
  <c r="M35" i="4" s="1"/>
  <c r="H39" i="4" l="1"/>
  <c r="H38" i="4"/>
  <c r="H37" i="4" l="1"/>
  <c r="L37" i="4" s="1"/>
  <c r="N37" i="4" s="1"/>
  <c r="K42" i="4"/>
  <c r="H12" i="4" l="1"/>
  <c r="H11" i="4"/>
  <c r="H10" i="4" s="1"/>
  <c r="L10" i="4" s="1"/>
  <c r="N10" i="4" s="1"/>
  <c r="K28" i="5" l="1"/>
  <c r="K27" i="5"/>
  <c r="K22" i="5"/>
  <c r="K23" i="5"/>
  <c r="K21" i="5"/>
  <c r="K20" i="5"/>
  <c r="K24" i="5"/>
  <c r="K26" i="5"/>
  <c r="H18" i="5"/>
  <c r="H17" i="5"/>
  <c r="H16" i="5"/>
  <c r="H13" i="5"/>
  <c r="H12" i="5"/>
  <c r="M7" i="5"/>
  <c r="N7" i="5" l="1"/>
  <c r="L38" i="5"/>
  <c r="N38" i="5" s="1"/>
  <c r="L42" i="5"/>
  <c r="N42" i="5" s="1"/>
  <c r="H11" i="5"/>
  <c r="L11" i="5" s="1"/>
  <c r="N11" i="5" s="1"/>
  <c r="K46" i="2"/>
  <c r="K45" i="2"/>
  <c r="K44" i="2"/>
  <c r="K42" i="2"/>
  <c r="H40" i="1"/>
  <c r="H39" i="1"/>
  <c r="H38" i="1"/>
  <c r="L14" i="5" l="1"/>
  <c r="N14" i="5" s="1"/>
  <c r="L43" i="5"/>
  <c r="N43" i="5" s="1"/>
  <c r="L39" i="5"/>
  <c r="N39" i="5" s="1"/>
  <c r="H36" i="1"/>
  <c r="H37" i="1"/>
  <c r="H35" i="1"/>
  <c r="O85" i="3" l="1"/>
  <c r="O84" i="3"/>
  <c r="L43" i="3"/>
  <c r="N43" i="3" s="1"/>
  <c r="M44" i="3"/>
  <c r="M45" i="3"/>
  <c r="M46" i="3"/>
  <c r="M47" i="3"/>
  <c r="M43" i="3"/>
  <c r="M22" i="3"/>
  <c r="H22" i="3"/>
  <c r="M21" i="3"/>
  <c r="H21" i="3"/>
  <c r="M13" i="3"/>
  <c r="M12" i="3"/>
  <c r="H13" i="3"/>
  <c r="H12" i="3"/>
  <c r="M11" i="2"/>
  <c r="M7" i="3"/>
  <c r="N35" i="3" s="1"/>
  <c r="M29" i="3"/>
  <c r="M25" i="3"/>
  <c r="M23" i="3"/>
  <c r="M28" i="3"/>
  <c r="K39" i="2"/>
  <c r="K35" i="2"/>
  <c r="K33" i="2"/>
  <c r="K30" i="2"/>
  <c r="K29" i="2"/>
  <c r="K28" i="2"/>
  <c r="H25" i="2"/>
  <c r="L25" i="2" s="1"/>
  <c r="N25" i="2" s="1"/>
  <c r="H24" i="2"/>
  <c r="L24" i="2" s="1"/>
  <c r="N24" i="2" s="1"/>
  <c r="H22" i="2"/>
  <c r="H21" i="2"/>
  <c r="H20" i="2"/>
  <c r="L20" i="2" s="1"/>
  <c r="M19" i="2"/>
  <c r="H18" i="2"/>
  <c r="H17" i="2"/>
  <c r="H16" i="2"/>
  <c r="H15" i="2"/>
  <c r="L15" i="2" s="1"/>
  <c r="M14" i="2"/>
  <c r="H13" i="2"/>
  <c r="L13" i="2" s="1"/>
  <c r="H12" i="2"/>
  <c r="L12" i="2" s="1"/>
  <c r="K50" i="4"/>
  <c r="K45" i="4"/>
  <c r="K46" i="4"/>
  <c r="K44" i="4"/>
  <c r="K43" i="4"/>
  <c r="K47" i="4"/>
  <c r="K49" i="4"/>
  <c r="K15" i="4"/>
  <c r="K27" i="4"/>
  <c r="K18" i="4"/>
  <c r="K19" i="4"/>
  <c r="K17" i="4"/>
  <c r="K16" i="4"/>
  <c r="K20" i="4"/>
  <c r="K22" i="4"/>
  <c r="H52" i="3"/>
  <c r="H51" i="3"/>
  <c r="H50" i="3"/>
  <c r="H49" i="3"/>
  <c r="H48" i="3"/>
  <c r="H47" i="3"/>
  <c r="H46" i="3"/>
  <c r="H45" i="3"/>
  <c r="H44" i="3"/>
  <c r="H43" i="3"/>
  <c r="H40" i="3"/>
  <c r="M39" i="3"/>
  <c r="H39" i="3"/>
  <c r="H32" i="3"/>
  <c r="H31" i="3"/>
  <c r="H30" i="3"/>
  <c r="H29" i="3"/>
  <c r="H27" i="3"/>
  <c r="H26" i="3"/>
  <c r="H25" i="3"/>
  <c r="H24" i="3"/>
  <c r="H23" i="3"/>
  <c r="H18" i="3"/>
  <c r="H17" i="3"/>
  <c r="M16" i="3"/>
  <c r="H16" i="3"/>
  <c r="H15" i="3"/>
  <c r="M14" i="3"/>
  <c r="H14" i="3"/>
  <c r="M13" i="1"/>
  <c r="H11" i="1"/>
  <c r="L11" i="1" s="1"/>
  <c r="H12" i="1"/>
  <c r="L12" i="1" s="1"/>
  <c r="H13" i="1"/>
  <c r="H14" i="1"/>
  <c r="H15" i="1"/>
  <c r="H16" i="1"/>
  <c r="M16" i="1"/>
  <c r="H17" i="1"/>
  <c r="M17" i="1"/>
  <c r="H18" i="1"/>
  <c r="M18" i="1"/>
  <c r="H19" i="1"/>
  <c r="H21" i="1"/>
  <c r="L21" i="1" s="1"/>
  <c r="N21" i="1" s="1"/>
  <c r="H22" i="1"/>
  <c r="L22" i="1" s="1"/>
  <c r="N22" i="1" s="1"/>
  <c r="H43" i="1"/>
  <c r="M43" i="1"/>
  <c r="H44" i="1"/>
  <c r="M44" i="1"/>
  <c r="H45" i="1"/>
  <c r="M45" i="1"/>
  <c r="L45" i="1" s="1"/>
  <c r="H46" i="1"/>
  <c r="H47" i="1"/>
  <c r="H48" i="1"/>
  <c r="M48" i="1"/>
  <c r="H49" i="1"/>
  <c r="M49" i="1"/>
  <c r="H50" i="1"/>
  <c r="H51" i="1"/>
  <c r="H52" i="1"/>
  <c r="M52" i="1"/>
  <c r="H53" i="1"/>
  <c r="M53" i="1"/>
  <c r="M56" i="1"/>
  <c r="L56" i="1" s="1"/>
  <c r="O58" i="1"/>
  <c r="H60" i="1"/>
  <c r="M60" i="1"/>
  <c r="M62" i="1" s="1"/>
  <c r="O62" i="1" s="1"/>
  <c r="H64" i="1"/>
  <c r="M64" i="1"/>
  <c r="H65" i="1"/>
  <c r="M66" i="1"/>
  <c r="L66" i="1" s="1"/>
  <c r="H68" i="1"/>
  <c r="M68" i="1"/>
  <c r="H69" i="1"/>
  <c r="M69" i="1"/>
  <c r="H70" i="1"/>
  <c r="M70" i="1"/>
  <c r="H71" i="1"/>
  <c r="M71" i="1"/>
  <c r="H72" i="1"/>
  <c r="H73" i="1"/>
  <c r="L68" i="1" s="1"/>
  <c r="H74" i="1"/>
  <c r="H75" i="1"/>
  <c r="H76" i="1"/>
  <c r="H77" i="1"/>
  <c r="M47" i="2" l="1"/>
  <c r="L16" i="1"/>
  <c r="N16" i="1" s="1"/>
  <c r="L18" i="1"/>
  <c r="N18" i="1" s="1"/>
  <c r="L44" i="1"/>
  <c r="N44" i="1" s="1"/>
  <c r="L17" i="1"/>
  <c r="N17" i="1" s="1"/>
  <c r="L64" i="1"/>
  <c r="N64" i="1" s="1"/>
  <c r="L48" i="1"/>
  <c r="N48" i="1" s="1"/>
  <c r="L43" i="1"/>
  <c r="N43" i="1" s="1"/>
  <c r="L13" i="1"/>
  <c r="N13" i="1" s="1"/>
  <c r="N45" i="1"/>
  <c r="N66" i="1"/>
  <c r="N7" i="3"/>
  <c r="L57" i="3" s="1"/>
  <c r="N57" i="3" s="1"/>
  <c r="L54" i="3"/>
  <c r="N54" i="3" s="1"/>
  <c r="L53" i="1"/>
  <c r="N53" i="1" s="1"/>
  <c r="M41" i="1"/>
  <c r="O41" i="1" s="1"/>
  <c r="O47" i="2"/>
  <c r="N12" i="1"/>
  <c r="L12" i="3"/>
  <c r="N12" i="3" s="1"/>
  <c r="M11" i="3"/>
  <c r="M19" i="3" s="1"/>
  <c r="O19" i="3" s="1"/>
  <c r="L39" i="3"/>
  <c r="N39" i="3" s="1"/>
  <c r="M37" i="3"/>
  <c r="O37" i="3" s="1"/>
  <c r="L25" i="3"/>
  <c r="N25" i="3" s="1"/>
  <c r="L16" i="3"/>
  <c r="N16" i="3" s="1"/>
  <c r="L78" i="3"/>
  <c r="N78" i="3" s="1"/>
  <c r="L79" i="3"/>
  <c r="N79" i="3" s="1"/>
  <c r="L29" i="3"/>
  <c r="L28" i="3" s="1"/>
  <c r="L21" i="3"/>
  <c r="N21" i="3" s="1"/>
  <c r="L22" i="3"/>
  <c r="N22" i="3" s="1"/>
  <c r="L14" i="3"/>
  <c r="N14" i="3" s="1"/>
  <c r="L13" i="3"/>
  <c r="N13" i="3" s="1"/>
  <c r="M20" i="3"/>
  <c r="M33" i="3" s="1"/>
  <c r="O33" i="3" s="1"/>
  <c r="L23" i="3"/>
  <c r="N11" i="1"/>
  <c r="M72" i="1"/>
  <c r="N72" i="1" s="1"/>
  <c r="M38" i="3"/>
  <c r="M53" i="3" s="1"/>
  <c r="N15" i="2"/>
  <c r="N56" i="1"/>
  <c r="N12" i="2"/>
  <c r="L16" i="2"/>
  <c r="N16" i="2" s="1"/>
  <c r="N13" i="2"/>
  <c r="N20" i="2"/>
  <c r="L49" i="1"/>
  <c r="N49" i="1" s="1"/>
  <c r="P72" i="1"/>
  <c r="N68" i="1"/>
  <c r="L52" i="1"/>
  <c r="N52" i="1" s="1"/>
  <c r="L60" i="1"/>
  <c r="N60" i="1" s="1"/>
  <c r="M54" i="1"/>
  <c r="O54" i="1" s="1"/>
  <c r="M78" i="1" l="1"/>
  <c r="O78" i="1" s="1"/>
  <c r="L11" i="3"/>
  <c r="N29" i="3"/>
  <c r="L38" i="3"/>
  <c r="L20" i="3"/>
  <c r="N23" i="3"/>
  <c r="O53" i="3"/>
  <c r="O83" i="3" s="1"/>
  <c r="O87" i="3" s="1"/>
  <c r="M83" i="3" l="1"/>
  <c r="M87" i="3" s="1"/>
</calcChain>
</file>

<file path=xl/comments1.xml><?xml version="1.0" encoding="utf-8"?>
<comments xmlns="http://schemas.openxmlformats.org/spreadsheetml/2006/main">
  <authors>
    <author>Sullivant,Duane (DSHS)</author>
    <author>Sullivant,Duane (HHSC)</author>
  </authors>
  <commentList>
    <comment ref="L13" authorId="0" shapeId="0">
      <text>
        <r>
          <rPr>
            <b/>
            <sz val="8"/>
            <color indexed="81"/>
            <rFont val="Tahoma"/>
            <family val="2"/>
          </rPr>
          <t>Sullivant,Duane (DSHS):</t>
        </r>
        <r>
          <rPr>
            <sz val="8"/>
            <color indexed="81"/>
            <rFont val="Tahoma"/>
            <family val="2"/>
          </rPr>
          <t xml:space="preserve">
Numer served calculated based on the total of Outpatient Services Average per client </t>
        </r>
      </text>
    </comment>
    <comment ref="I22" authorId="1" shapeId="0">
      <text>
        <r>
          <rPr>
            <sz val="9"/>
            <color indexed="81"/>
            <rFont val="Tahoma"/>
            <family val="2"/>
          </rPr>
          <t>Entry must be the total amount to be utilized for Methadone plus the amount utilized for Naltrexone</t>
        </r>
      </text>
    </comment>
    <comment ref="I23" authorId="1" shapeId="0">
      <text>
        <r>
          <rPr>
            <sz val="9"/>
            <color indexed="81"/>
            <rFont val="Tahoma"/>
            <family val="2"/>
          </rPr>
          <t xml:space="preserve">Enter the amount to be utilized for Naltrexone.  The amount entered on this line will be substracted from the amount entered for Methadone.
</t>
        </r>
      </text>
    </comment>
    <comment ref="L68" authorId="0" shapeId="0">
      <text>
        <r>
          <rPr>
            <b/>
            <sz val="8"/>
            <color indexed="81"/>
            <rFont val="Tahoma"/>
            <family val="2"/>
          </rPr>
          <t>Sullivant,Duane (DSHS):</t>
        </r>
        <r>
          <rPr>
            <sz val="8"/>
            <color indexed="81"/>
            <rFont val="Tahoma"/>
            <family val="2"/>
          </rPr>
          <t xml:space="preserve">
Number served based on average per client of $2068 for all Youth OP services</t>
        </r>
      </text>
    </comment>
  </commentList>
</comments>
</file>

<file path=xl/comments2.xml><?xml version="1.0" encoding="utf-8"?>
<comments xmlns="http://schemas.openxmlformats.org/spreadsheetml/2006/main">
  <authors>
    <author>Sullivant,Duane (HHSC)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</rPr>
          <t>Enter the toal amount to be utilized for Methadone, Buprenorphine, Naltrexone, and Comorbid Conditions on this line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Enter the amount to be utilized for Naltrexone on this line.  This amount will be substracted from the line above.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Sullivant,Duane (HHSC)</author>
    <author>Keenan,Brian J (DSHS)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</rPr>
          <t>Enter the toal amount to be utilized for Methadone, Buprenorphine, and Naltrexone on this line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>Enter the amount to be utilized for Naltrexone on this line.  This amount will be substracted from the line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6" authorId="1" shapeId="0">
      <text>
        <r>
          <rPr>
            <b/>
            <sz val="9"/>
            <color indexed="81"/>
            <rFont val="Tahoma"/>
            <family val="2"/>
          </rPr>
          <t>No Match Requirement</t>
        </r>
      </text>
    </comment>
    <comment ref="O82" authorId="1" shapeId="0">
      <text>
        <r>
          <rPr>
            <b/>
            <sz val="9"/>
            <color indexed="81"/>
            <rFont val="Tahoma"/>
            <family val="2"/>
          </rPr>
          <t>No Match Requirement</t>
        </r>
      </text>
    </comment>
    <comment ref="O86" authorId="1" shapeId="0">
      <text>
        <r>
          <rPr>
            <b/>
            <sz val="9"/>
            <color indexed="81"/>
            <rFont val="Tahoma"/>
            <family val="2"/>
          </rPr>
          <t>No Match Requirement</t>
        </r>
      </text>
    </comment>
  </commentList>
</comments>
</file>

<file path=xl/comments4.xml><?xml version="1.0" encoding="utf-8"?>
<comments xmlns="http://schemas.openxmlformats.org/spreadsheetml/2006/main">
  <authors>
    <author>Sullivant,Duane (HHSC)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Enter the toal amount to be utilized for Methadone, Buprenorphine, Naltrexone, and Comorbid Conditions on this line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Enter the amount to be utilized for Naltrexone on this line.  This amount will be substracted from the line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No Match for this service type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Enter the toal amount to be utilized for Methadone, Buprenorphine, and Naltrexone on this line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Enter the amount to be utilized for Naltrexone on this line.  This amount will be substracted from the line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0" authorId="0" shapeId="0">
      <text>
        <r>
          <rPr>
            <b/>
            <sz val="9"/>
            <color indexed="81"/>
            <rFont val="Tahoma"/>
            <family val="2"/>
          </rPr>
          <t>No Match for this service type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Sullivant,Duane (HHSC)</author>
    <author>Keenan,Brian J (DSHS)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</rPr>
          <t>Enter the toal amount to be utilized for Methadone, Buprenorphine, Naltrexone, and Comorbid Conditions on this line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Enter the amount to be utilized for Naltrexone on this line.  This amount will be substracted from the line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6" authorId="1" shapeId="0">
      <text>
        <r>
          <rPr>
            <b/>
            <sz val="9"/>
            <color indexed="81"/>
            <rFont val="Tahoma"/>
            <family val="2"/>
          </rPr>
          <t>No Match Requirement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Enter the toal amount to be utilized for Buprenorphine and Naltrexone on this line.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Enter the amount to be utilized for Naltrexone on this line.  This amount will be substracted from the line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>Enter the toal amount to be utilized for Buprenorphine and Naltrexone on this line.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>Enter the amount to be utilized for Naltrexone on this line.  This amount will be substracted from the line above.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5" authorId="1" shapeId="0">
      <text>
        <r>
          <rPr>
            <b/>
            <sz val="9"/>
            <color indexed="81"/>
            <rFont val="Tahoma"/>
            <family val="2"/>
          </rPr>
          <t>No Match Requirement</t>
        </r>
      </text>
    </comment>
  </commentList>
</comments>
</file>

<file path=xl/sharedStrings.xml><?xml version="1.0" encoding="utf-8"?>
<sst xmlns="http://schemas.openxmlformats.org/spreadsheetml/2006/main" count="1274" uniqueCount="396">
  <si>
    <t>Youth Adolescent Support</t>
  </si>
  <si>
    <t>Youth Family Counseling</t>
  </si>
  <si>
    <t>Youth Family Support</t>
  </si>
  <si>
    <t>Youth Psychiatrist Consultation</t>
  </si>
  <si>
    <t>Buprenorphine</t>
  </si>
  <si>
    <t>Methadone</t>
  </si>
  <si>
    <t>Days or Units (LOS)</t>
  </si>
  <si>
    <t xml:space="preserve">Adult Intensive Residential  </t>
  </si>
  <si>
    <t>SA/TRA</t>
  </si>
  <si>
    <t>day</t>
  </si>
  <si>
    <t xml:space="preserve">Adult Supportive Residential  </t>
  </si>
  <si>
    <t xml:space="preserve">Adult Residential Detoxification  </t>
  </si>
  <si>
    <t xml:space="preserve">Adult Ambulatory Detoxification  </t>
  </si>
  <si>
    <t>hour</t>
  </si>
  <si>
    <t>Adult Outpatient - Individual</t>
  </si>
  <si>
    <t xml:space="preserve">Adult Specialized Female Ambulatory Detoxification  </t>
  </si>
  <si>
    <t>SA/TRF</t>
  </si>
  <si>
    <t xml:space="preserve">Adult Specialized Female Residential Detoxification  </t>
  </si>
  <si>
    <t xml:space="preserve">Adult Specialized Female Intensive Residential  </t>
  </si>
  <si>
    <t xml:space="preserve">Adult Specialized Female Supportive Residential  </t>
  </si>
  <si>
    <t xml:space="preserve">Adult Women and Children Intensive Residential  </t>
  </si>
  <si>
    <t xml:space="preserve">Adult Women and Children Supportive Residential  </t>
  </si>
  <si>
    <t>Adult Specialized Female Outpatient - Individual</t>
  </si>
  <si>
    <t>SA/TCO</t>
  </si>
  <si>
    <t xml:space="preserve">Youth Intensive Residential  </t>
  </si>
  <si>
    <t>SA/TRY</t>
  </si>
  <si>
    <t xml:space="preserve">Youth Supportive Residential  </t>
  </si>
  <si>
    <t>Youth Outpatient - Individual</t>
  </si>
  <si>
    <t>%</t>
  </si>
  <si>
    <t>Program ID</t>
  </si>
  <si>
    <t>Total TRA</t>
  </si>
  <si>
    <t>Total TRF</t>
  </si>
  <si>
    <t>Total TCO</t>
  </si>
  <si>
    <t>Total TRY</t>
  </si>
  <si>
    <t>Enter into Source</t>
  </si>
  <si>
    <t xml:space="preserve">Service Types                                  </t>
  </si>
  <si>
    <t>Average $ per client</t>
  </si>
  <si>
    <t>Unit Rate</t>
  </si>
  <si>
    <t>Number Served</t>
  </si>
  <si>
    <t>Distribution $</t>
  </si>
  <si>
    <t>Region</t>
  </si>
  <si>
    <t>Youth Outpatient Services</t>
  </si>
  <si>
    <t>Adult Spec Fem W/C Residential Wraparound Services-LESS THAN 21</t>
  </si>
  <si>
    <t>Adult Spec Fem W/C Residential Wraparound Services- 21 and OVER</t>
  </si>
  <si>
    <t>Contractor</t>
  </si>
  <si>
    <t>Adult Outpatient - Group Counseling</t>
  </si>
  <si>
    <t>Adult Outpatient - Group Education</t>
  </si>
  <si>
    <t>Adult Specialized Female Outpatient - Group Counseling</t>
  </si>
  <si>
    <t>Adult Specialized Female Outpatient - Group Education</t>
  </si>
  <si>
    <t>Youth Outpatient - Group Counseling</t>
  </si>
  <si>
    <t>Youth Outpatient - Group Education</t>
  </si>
  <si>
    <t xml:space="preserve">     Youth Adolescent Support - Medicaid Youth Wraparound</t>
  </si>
  <si>
    <t xml:space="preserve">     Youth Family Counseling - Medicaid Youth Wraparound - Parent Education Sessions</t>
  </si>
  <si>
    <t xml:space="preserve">     Youth Family Support - Medicaid Youth Wraparound</t>
  </si>
  <si>
    <t>Outpatient visit - Immunization Consent</t>
  </si>
  <si>
    <t>Hepatitis B - Testing</t>
  </si>
  <si>
    <t>Hepatitis C - Testing</t>
  </si>
  <si>
    <t>HIV (initial) - Testing</t>
  </si>
  <si>
    <t>HIV (confirmatory) - Testing</t>
  </si>
  <si>
    <t>Gonorrhea - Testing</t>
  </si>
  <si>
    <t>Diabetes - Testing</t>
  </si>
  <si>
    <t>Outpatient visit - Folow up (Results / Linkages)</t>
  </si>
  <si>
    <t>Statewide</t>
  </si>
  <si>
    <t>Award Amount</t>
  </si>
  <si>
    <t>Treatment Calculation Worksheet</t>
  </si>
  <si>
    <t>Capacity</t>
  </si>
  <si>
    <t>Match</t>
  </si>
  <si>
    <t>Required Match</t>
  </si>
  <si>
    <t>Pregnant Post Partum Treatment</t>
  </si>
  <si>
    <t>Pregnant Post Partum Detoxifcation Treatment</t>
  </si>
  <si>
    <t>Pregnant Post Partum Women with Children Treatment</t>
  </si>
  <si>
    <t>Pregnant Post Partum Opioid Treatment</t>
  </si>
  <si>
    <t>SA/NAS-PPW</t>
  </si>
  <si>
    <t>Total NAS-PPW</t>
  </si>
  <si>
    <t>SA/NAS-OTS</t>
  </si>
  <si>
    <t>Opioid Treatment Services</t>
  </si>
  <si>
    <t>Total NAS-OTS</t>
  </si>
  <si>
    <t>Total OTS</t>
  </si>
  <si>
    <t>Contract start date</t>
  </si>
  <si>
    <t>Contract end date</t>
  </si>
  <si>
    <t>Chlamydia</t>
  </si>
  <si>
    <t>Procedure Code</t>
  </si>
  <si>
    <t>Billing Code</t>
  </si>
  <si>
    <t>HIV Residential</t>
  </si>
  <si>
    <t>SA/TYF</t>
  </si>
  <si>
    <t>Statewide Youth Residential</t>
  </si>
  <si>
    <t>Total TYF</t>
  </si>
  <si>
    <t>Subs Abuse-NAS-OTS</t>
  </si>
  <si>
    <t>Pregnancy Test - Urine-based test</t>
  </si>
  <si>
    <t>Youth Subs Abuse Services</t>
  </si>
  <si>
    <t>Women with Children Sub Abuse Services</t>
  </si>
  <si>
    <t>Specialized Female  Subs Abuse Services</t>
  </si>
  <si>
    <t xml:space="preserve">Outpatient visit - Health Screening Consent, Immunization </t>
  </si>
  <si>
    <t>TB Testing Intradermal</t>
  </si>
  <si>
    <t>H2036HBTG</t>
  </si>
  <si>
    <t>H2036HBTF</t>
  </si>
  <si>
    <t>H0010HB</t>
  </si>
  <si>
    <t>H0012HB</t>
  </si>
  <si>
    <t>H2036TF</t>
  </si>
  <si>
    <t>H2022HBTGHFP3</t>
  </si>
  <si>
    <t>H2035HB</t>
  </si>
  <si>
    <t>H0005HB</t>
  </si>
  <si>
    <t>T1012HBHQ</t>
  </si>
  <si>
    <t>87340HB</t>
  </si>
  <si>
    <t>86803HB</t>
  </si>
  <si>
    <t>87389HB</t>
  </si>
  <si>
    <t>86701HB</t>
  </si>
  <si>
    <t>99202HB</t>
  </si>
  <si>
    <t>87591HB</t>
  </si>
  <si>
    <t>H2036HBHDTG</t>
  </si>
  <si>
    <t>H2036HBHDTF</t>
  </si>
  <si>
    <t>H0012HBHD</t>
  </si>
  <si>
    <t>H0010HBHD</t>
  </si>
  <si>
    <t>H2036HDTG</t>
  </si>
  <si>
    <t>H2022HAHDTGHF</t>
  </si>
  <si>
    <t>H2022HBHDTGHF</t>
  </si>
  <si>
    <t>H2036HDTF</t>
  </si>
  <si>
    <t>H2035HBHD</t>
  </si>
  <si>
    <t>H0005HBHD</t>
  </si>
  <si>
    <t>T1012HBHDHQ</t>
  </si>
  <si>
    <t>H0006HB</t>
  </si>
  <si>
    <t>H2036HATG</t>
  </si>
  <si>
    <t>H2022HAHF</t>
  </si>
  <si>
    <t>H2036HATF</t>
  </si>
  <si>
    <t>H2035HA</t>
  </si>
  <si>
    <t>H2016HA</t>
  </si>
  <si>
    <t>T1006HATF</t>
  </si>
  <si>
    <t>90801HA</t>
  </si>
  <si>
    <t>H0005HA</t>
  </si>
  <si>
    <t>T1012HAHQ</t>
  </si>
  <si>
    <t>H2016HAHV</t>
  </si>
  <si>
    <t>T1006HATFHV</t>
  </si>
  <si>
    <t>T1006HAHFHV</t>
  </si>
  <si>
    <t>T1502HB</t>
  </si>
  <si>
    <t>H0020HB</t>
  </si>
  <si>
    <t>Enter Dollar Value</t>
  </si>
  <si>
    <t>SA/TRA-LBHA</t>
  </si>
  <si>
    <t>SA/TRF-LBHA</t>
  </si>
  <si>
    <t>SA/TRY-LBHA</t>
  </si>
  <si>
    <t>occurence</t>
  </si>
  <si>
    <t>Days in fiscal year</t>
  </si>
  <si>
    <t>event</t>
  </si>
  <si>
    <t>Treatment Services - Adult</t>
  </si>
  <si>
    <t>SA/TRA-OTS</t>
  </si>
  <si>
    <t>Days or Units / LOS</t>
  </si>
  <si>
    <t>unit</t>
  </si>
  <si>
    <t>Service Allocation</t>
  </si>
  <si>
    <t>% activity allocation</t>
  </si>
  <si>
    <t>Total Treatment Appropriations</t>
  </si>
  <si>
    <t>SA/OSR</t>
  </si>
  <si>
    <t>Outreach, Screening, Assessment &amp; Referral</t>
  </si>
  <si>
    <t>SA/RSS</t>
  </si>
  <si>
    <t>Recovery Support Services</t>
  </si>
  <si>
    <t>SA Authority</t>
  </si>
  <si>
    <t>Match Required</t>
  </si>
  <si>
    <t>T1502HBTEU9</t>
  </si>
  <si>
    <t>T1502HBTE</t>
  </si>
  <si>
    <t>H2036HBTGHF</t>
  </si>
  <si>
    <t>H2036HDTGU9</t>
  </si>
  <si>
    <t>H2036HBTFU9</t>
  </si>
  <si>
    <t>H2035HBU9</t>
  </si>
  <si>
    <t>H0005HBU9</t>
  </si>
  <si>
    <t>T1012HBHQU9</t>
  </si>
  <si>
    <t>H0010HBHDU9</t>
  </si>
  <si>
    <t>H2036HBHDTGU9</t>
  </si>
  <si>
    <t>H2036HBHDTFU9</t>
  </si>
  <si>
    <t>H2035HBHDU9</t>
  </si>
  <si>
    <t>H0005HBHDU9</t>
  </si>
  <si>
    <t>T1012HBHDHQU9</t>
  </si>
  <si>
    <t>H2036HDTFU9</t>
  </si>
  <si>
    <t>H2036HATGU9</t>
  </si>
  <si>
    <t>H2022HAHFU9</t>
  </si>
  <si>
    <t>H2036HATFU9</t>
  </si>
  <si>
    <t>H2035HAU9</t>
  </si>
  <si>
    <t>H2016HAU9</t>
  </si>
  <si>
    <t>T1006HATFU9</t>
  </si>
  <si>
    <t>90801HAU9</t>
  </si>
  <si>
    <t>H0005HAU9</t>
  </si>
  <si>
    <t>T1012HAHQU9</t>
  </si>
  <si>
    <t>H2016HAHVU9</t>
  </si>
  <si>
    <t>T1006HATFHVU9</t>
  </si>
  <si>
    <t>T1006HAHFHVU9</t>
  </si>
  <si>
    <t>H0010HBU9</t>
  </si>
  <si>
    <t>H0014HBHD</t>
  </si>
  <si>
    <t>H0014HBHDU9</t>
  </si>
  <si>
    <t>H2036HBHDHF</t>
  </si>
  <si>
    <t>H2022HAHDTGU6</t>
  </si>
  <si>
    <t>H2022HBHDTGU6</t>
  </si>
  <si>
    <t>H2036HATGHF</t>
  </si>
  <si>
    <t>T1006HAHFU9</t>
  </si>
  <si>
    <t>H2015HA</t>
  </si>
  <si>
    <t>T1006HAHRTF</t>
  </si>
  <si>
    <t>T1006HAHR</t>
  </si>
  <si>
    <t>T1006HAHSHQTF</t>
  </si>
  <si>
    <t>Total SA Appropriations</t>
  </si>
  <si>
    <t>Adult Residential Detoxification  *</t>
  </si>
  <si>
    <t>Adult Specialized Female Residential Detoxification  *</t>
  </si>
  <si>
    <t>Adult Specialized Female Outpatient - Individual  *</t>
  </si>
  <si>
    <t>Adult Specialized Female Outpatient - Group Counseling  *</t>
  </si>
  <si>
    <t>Adult Women and Children Intensive Residential  *</t>
  </si>
  <si>
    <t>Youth Outpatient - Group Counseling  *</t>
  </si>
  <si>
    <t>99202HBHD</t>
  </si>
  <si>
    <t>87491HBHD</t>
  </si>
  <si>
    <t>83036HBHD</t>
  </si>
  <si>
    <t>87591HBHD</t>
  </si>
  <si>
    <t>87340HBHD</t>
  </si>
  <si>
    <t>86803HBHD</t>
  </si>
  <si>
    <t>86701HBHD</t>
  </si>
  <si>
    <t>87389HBHD</t>
  </si>
  <si>
    <t>99213HBHD</t>
  </si>
  <si>
    <t>T1502HBHGHD</t>
  </si>
  <si>
    <t>93010HBHD</t>
  </si>
  <si>
    <t>93005HBHD</t>
  </si>
  <si>
    <t>G8802HBHD</t>
  </si>
  <si>
    <t>3510FHBHD</t>
  </si>
  <si>
    <t>3510FHBHGHD</t>
  </si>
  <si>
    <t>Total TRA-OTS</t>
  </si>
  <si>
    <t>Outpatient visit - Follow up (Results / Linkages)</t>
  </si>
  <si>
    <t>H0020HBHFHG</t>
  </si>
  <si>
    <t>SA/OTS-V</t>
  </si>
  <si>
    <t>T1502HBHGHFHV</t>
  </si>
  <si>
    <t>99202HBHG</t>
  </si>
  <si>
    <t>visit</t>
  </si>
  <si>
    <t>87491HBHG</t>
  </si>
  <si>
    <t>83036HBHG</t>
  </si>
  <si>
    <t>87591HBHG</t>
  </si>
  <si>
    <t>87340HBHG</t>
  </si>
  <si>
    <t>86803HBHG</t>
  </si>
  <si>
    <t>86701HBHG</t>
  </si>
  <si>
    <t>87389HBHG</t>
  </si>
  <si>
    <t>3510FHBHG</t>
  </si>
  <si>
    <t>99213HBHG</t>
  </si>
  <si>
    <t>SA/OBOT</t>
  </si>
  <si>
    <t>dose</t>
  </si>
  <si>
    <t>Total OTS-V</t>
  </si>
  <si>
    <t>T1502HBHGHF</t>
  </si>
  <si>
    <t>Hepatitis B - Surface Antigen Test</t>
  </si>
  <si>
    <t xml:space="preserve">Outpatient visit - Health Screening, Consent, Immunization </t>
  </si>
  <si>
    <t>Chlamydia - Urine-Based Test</t>
  </si>
  <si>
    <t>Diabetes - glycosylated (A1C) test</t>
  </si>
  <si>
    <t>Gonorrhea - Urine-based test</t>
  </si>
  <si>
    <t>Hepatitis C - Antibody test</t>
  </si>
  <si>
    <t>86804HBHG</t>
  </si>
  <si>
    <t>87522HBHG</t>
  </si>
  <si>
    <t>Hepatitis C - Confirmatory test</t>
  </si>
  <si>
    <t>Hepatitis C - Viral Load Quantification</t>
  </si>
  <si>
    <t>Wound Care Management</t>
  </si>
  <si>
    <t>99205HB</t>
  </si>
  <si>
    <t>97597HB</t>
  </si>
  <si>
    <t>90792HB</t>
  </si>
  <si>
    <t>90832HB</t>
  </si>
  <si>
    <t>Initial interview for diagnosis of psychiatric condition</t>
  </si>
  <si>
    <t>Buprenorphine (Specialized Female)</t>
  </si>
  <si>
    <t>EKG - Report and Interpretation</t>
  </si>
  <si>
    <t>EKG- Tracing only, without interpretation and report</t>
  </si>
  <si>
    <t>Pregnancy Test - Urine or blood</t>
  </si>
  <si>
    <t>Comorbid Condition Services</t>
  </si>
  <si>
    <t>Hepatitis C - Treatment Coordination</t>
  </si>
  <si>
    <t>Thirty-minute physician visit for psychiatric follow-up</t>
  </si>
  <si>
    <t>87491HB</t>
  </si>
  <si>
    <t>99213HB</t>
  </si>
  <si>
    <t>83036HB</t>
  </si>
  <si>
    <t>99205HBHF</t>
  </si>
  <si>
    <t>86804HBHF</t>
  </si>
  <si>
    <t>87522HBHF</t>
  </si>
  <si>
    <t>90792HBHF</t>
  </si>
  <si>
    <t>90832HBHF</t>
  </si>
  <si>
    <t>97597HBHF</t>
  </si>
  <si>
    <t>H2022HATGHQ</t>
  </si>
  <si>
    <t>H0006HA</t>
  </si>
  <si>
    <t>T1502HBHGHDHT</t>
  </si>
  <si>
    <t>H0020HBHDTG</t>
  </si>
  <si>
    <t>Unit</t>
  </si>
  <si>
    <t>99202HBHDHT</t>
  </si>
  <si>
    <t>87340HBHDHT</t>
  </si>
  <si>
    <t>86803HBHDHT</t>
  </si>
  <si>
    <t>87389HBHDHT</t>
  </si>
  <si>
    <t>86701HBHDHT</t>
  </si>
  <si>
    <t>H0012HBHDHT</t>
  </si>
  <si>
    <t>H0010HBHDHT</t>
  </si>
  <si>
    <t>H2035HBHGHDHT</t>
  </si>
  <si>
    <t>H2036HBHDHT</t>
  </si>
  <si>
    <t>H2036HDTGHT</t>
  </si>
  <si>
    <t>H2022HBHDHT</t>
  </si>
  <si>
    <t>H2022HBHDTGHT</t>
  </si>
  <si>
    <t>87591HBHDHT</t>
  </si>
  <si>
    <t>87491HBHDHT</t>
  </si>
  <si>
    <t>83036HBHDHT</t>
  </si>
  <si>
    <t>93010HBHF</t>
  </si>
  <si>
    <t>93005HBHF</t>
  </si>
  <si>
    <t>G8802HBHF</t>
  </si>
  <si>
    <t xml:space="preserve">Pregnant Post Partum Residential Detoxification  </t>
  </si>
  <si>
    <t xml:space="preserve">Pregnant Post Partum Ambulatory Detoxification  </t>
  </si>
  <si>
    <t xml:space="preserve">Pregnant Post Partum Intensive Residential  </t>
  </si>
  <si>
    <t>Pregnant Post Partum Outpatient - Individual</t>
  </si>
  <si>
    <t>Pregnant Post Partum Outpatient - Group Counseling</t>
  </si>
  <si>
    <t>Pregnant Post Partum Outpatient - Group Education</t>
  </si>
  <si>
    <t xml:space="preserve">Pregnant Post Partum Women and Children Intensive Residential  </t>
  </si>
  <si>
    <t>Pregnant Post Partum W/C Residential Wraparound Services-LESS THAN 21</t>
  </si>
  <si>
    <t>Pregnant Post Partum W/C Residential Wraparound Services- 21 and OVER</t>
  </si>
  <si>
    <t>99205HBHD</t>
  </si>
  <si>
    <t>86804HBHD</t>
  </si>
  <si>
    <t>87522HBHD</t>
  </si>
  <si>
    <t>90792HBHD</t>
  </si>
  <si>
    <t>90832HBHD</t>
  </si>
  <si>
    <t>97597HBHD</t>
  </si>
  <si>
    <t>Office-Based Opioid Treatment Services</t>
  </si>
  <si>
    <t>Office-Based Opioid Treatment (Specialized Female)</t>
  </si>
  <si>
    <t>Office-Based Opioid Treatment - Adult</t>
  </si>
  <si>
    <t>Buprenorphine - Specialized Female</t>
  </si>
  <si>
    <t>Methadone (Specialized Female)</t>
  </si>
  <si>
    <t>H0020HBHGHD</t>
  </si>
  <si>
    <t>New Admission Health Screening Services</t>
  </si>
  <si>
    <t>86804HB</t>
  </si>
  <si>
    <t>87522HB</t>
  </si>
  <si>
    <t>T1502HBHFHGHV</t>
  </si>
  <si>
    <t>H0020HBHGHF</t>
  </si>
  <si>
    <t>99205HBHG</t>
  </si>
  <si>
    <t>90792HBHG</t>
  </si>
  <si>
    <t>90832HBHG</t>
  </si>
  <si>
    <t>97597HBHG</t>
  </si>
  <si>
    <t>T1502HBHDHGHF</t>
  </si>
  <si>
    <t>Total OBOT</t>
  </si>
  <si>
    <t>H0020HBHV</t>
  </si>
  <si>
    <t>T1502HBV</t>
  </si>
  <si>
    <t>99205HBHV</t>
  </si>
  <si>
    <t>86804HBHV</t>
  </si>
  <si>
    <t>87522HBHV</t>
  </si>
  <si>
    <t>90792HBHV</t>
  </si>
  <si>
    <t>90832HBHV</t>
  </si>
  <si>
    <t>97597HBHV</t>
  </si>
  <si>
    <t>Treatment - Youth Statewide</t>
  </si>
  <si>
    <t>Treatment - Co-Occurring Psychiatric and Substance Use Disorder</t>
  </si>
  <si>
    <t>Treatment - Youth</t>
  </si>
  <si>
    <t>Treatment - Adult</t>
  </si>
  <si>
    <t>J2315HB</t>
  </si>
  <si>
    <t>month</t>
  </si>
  <si>
    <t>Injection, Naltrexone Extended-Release</t>
  </si>
  <si>
    <t>H0016HBU9</t>
  </si>
  <si>
    <t>Enter in Source</t>
  </si>
  <si>
    <t xml:space="preserve">                                  </t>
  </si>
  <si>
    <t>Service Types</t>
  </si>
  <si>
    <t xml:space="preserve">                                </t>
  </si>
  <si>
    <t xml:space="preserve">Service Types  </t>
  </si>
  <si>
    <t xml:space="preserve">                                 </t>
  </si>
  <si>
    <t xml:space="preserve">Service Types </t>
  </si>
  <si>
    <t>SA/OBT</t>
  </si>
  <si>
    <t>Naltrexone Provision of Associated Services</t>
  </si>
  <si>
    <t>H0016HB</t>
  </si>
  <si>
    <t>J2315HBHT</t>
  </si>
  <si>
    <t>H0016HBHT</t>
  </si>
  <si>
    <t>J2315HBU9</t>
  </si>
  <si>
    <t>99213HBHDU9</t>
  </si>
  <si>
    <t>87491HBHDU9</t>
  </si>
  <si>
    <t>83036HBHDU9</t>
  </si>
  <si>
    <t>87591HBHDU9</t>
  </si>
  <si>
    <t>87340HBHDU9</t>
  </si>
  <si>
    <t>86803HBHDU9</t>
  </si>
  <si>
    <t>86701HBHDU9</t>
  </si>
  <si>
    <t>87389HBHDU9</t>
  </si>
  <si>
    <t>G8802HBHDU9</t>
  </si>
  <si>
    <t>3510FHBHGHDU9</t>
  </si>
  <si>
    <t>J2315HBHD</t>
  </si>
  <si>
    <t>H0016HBHD</t>
  </si>
  <si>
    <t>J2315HBHG</t>
  </si>
  <si>
    <t>H0016HBHG</t>
  </si>
  <si>
    <t>Buprenorphine - Day Rate</t>
  </si>
  <si>
    <t>J2315HBHF</t>
  </si>
  <si>
    <t>H0016HBHF</t>
  </si>
  <si>
    <t>Alcohol &amp;/or Drug Services, Medical, Naltrexone Extended-Release</t>
  </si>
  <si>
    <t>J2315HBHV</t>
  </si>
  <si>
    <t>H0016HBHV</t>
  </si>
  <si>
    <t>Total OBT</t>
  </si>
  <si>
    <t/>
  </si>
  <si>
    <t>rates</t>
  </si>
  <si>
    <t>H2022HATG</t>
  </si>
  <si>
    <t>Treatment - Specialized Female</t>
  </si>
  <si>
    <t>Neonatal Abstinence Syndrome - Post Partum Women</t>
  </si>
  <si>
    <t>Local Behavioral Health Authority</t>
  </si>
  <si>
    <t>Treatment - Adult Opioid Treatment Services</t>
  </si>
  <si>
    <t>Opioid Treatment Services - Vendor</t>
  </si>
  <si>
    <t>Neonatal Abstinence Syndrome - Opioid  Treatment Services</t>
  </si>
  <si>
    <t>Co-Occurring Psychiatric and Substance Use Disorder (COPSD) - Youth</t>
  </si>
  <si>
    <t>Co-Occurring Psychiatric and Substance Use Disorder (COPSD) - Adult</t>
  </si>
  <si>
    <t>Hour</t>
  </si>
  <si>
    <t xml:space="preserve">  Adult HIV Residential  Wraparound Services (Medicaid Adult -21 and Over)</t>
  </si>
  <si>
    <t xml:space="preserve">   Adult Spec Fem W/C Residential Wraparound Services-LESS THAN 21</t>
  </si>
  <si>
    <t xml:space="preserve">   Adult Spec Fem W/C Residential Wraparound Services- 21 and OVER</t>
  </si>
  <si>
    <t xml:space="preserve">   Intensive Residential (Women and Children) - Youth (Medicaid Wrap Around)</t>
  </si>
  <si>
    <t xml:space="preserve">   Youth Intensive Residential Wraparound Services-Room &amp; Board  (Medicaid Youth)</t>
  </si>
  <si>
    <t xml:space="preserve">   Youth Family Counseling - Medicaid Youth Wraparound - Parent Education Sessions</t>
  </si>
  <si>
    <t xml:space="preserve">   Youth Adolescent Support - Medicaid Youth Wraparound</t>
  </si>
  <si>
    <t xml:space="preserve">   Youth Family Support - Medicaid Youth Wraparound</t>
  </si>
  <si>
    <t>End of worksheet</t>
  </si>
  <si>
    <t>End of workbook</t>
  </si>
  <si>
    <t>Rev. 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</si>
</sst>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9"/>
      <color indexed="81"/>
      <name val="Tahoma"/>
      <family val="2"/>
    </font>
    <font>
      <sz val="16"/>
      <name val="Arial Narrow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6"/>
      <color theme="3" tint="0.39997558519241921"/>
      <name val="Arial"/>
      <family val="2"/>
    </font>
    <font>
      <sz val="10"/>
      <color theme="0"/>
      <name val="Arial Narrow"/>
      <family val="2"/>
    </font>
    <font>
      <sz val="12"/>
      <name val="Arial Narrow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Verdan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/>
    <xf numFmtId="9" fontId="1" fillId="0" borderId="0" applyFont="0" applyFill="0" applyBorder="0" applyAlignment="0" applyProtection="0"/>
  </cellStyleXfs>
  <cellXfs count="894">
    <xf numFmtId="0" fontId="0" fillId="0" borderId="0" xfId="0"/>
    <xf numFmtId="0" fontId="0" fillId="0" borderId="0" xfId="0" applyProtection="1"/>
    <xf numFmtId="0" fontId="9" fillId="2" borderId="2" xfId="0" applyFont="1" applyFill="1" applyBorder="1" applyAlignment="1" applyProtection="1"/>
    <xf numFmtId="0" fontId="9" fillId="2" borderId="4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/>
    </xf>
    <xf numFmtId="164" fontId="9" fillId="2" borderId="4" xfId="0" applyNumberFormat="1" applyFont="1" applyFill="1" applyBorder="1" applyAlignment="1" applyProtection="1">
      <alignment horizontal="center"/>
    </xf>
    <xf numFmtId="44" fontId="9" fillId="5" borderId="6" xfId="2" applyFont="1" applyFill="1" applyBorder="1" applyProtection="1"/>
    <xf numFmtId="164" fontId="9" fillId="6" borderId="4" xfId="0" applyNumberFormat="1" applyFont="1" applyFill="1" applyBorder="1" applyAlignment="1" applyProtection="1">
      <alignment horizontal="center"/>
    </xf>
    <xf numFmtId="0" fontId="9" fillId="6" borderId="5" xfId="0" applyFont="1" applyFill="1" applyBorder="1" applyAlignment="1" applyProtection="1">
      <alignment horizontal="center"/>
    </xf>
    <xf numFmtId="44" fontId="9" fillId="6" borderId="4" xfId="0" applyNumberFormat="1" applyFont="1" applyFill="1" applyBorder="1" applyProtection="1"/>
    <xf numFmtId="0" fontId="9" fillId="2" borderId="8" xfId="0" applyFont="1" applyFill="1" applyBorder="1" applyAlignment="1" applyProtection="1"/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164" fontId="9" fillId="2" borderId="10" xfId="0" applyNumberFormat="1" applyFont="1" applyFill="1" applyBorder="1" applyAlignment="1" applyProtection="1">
      <alignment horizontal="center"/>
    </xf>
    <xf numFmtId="44" fontId="9" fillId="6" borderId="10" xfId="0" applyNumberFormat="1" applyFont="1" applyFill="1" applyBorder="1" applyProtection="1"/>
    <xf numFmtId="44" fontId="9" fillId="5" borderId="0" xfId="2" applyFont="1" applyFill="1" applyBorder="1" applyProtection="1"/>
    <xf numFmtId="44" fontId="9" fillId="3" borderId="14" xfId="2" applyFont="1" applyFill="1" applyBorder="1" applyProtection="1">
      <protection locked="0"/>
    </xf>
    <xf numFmtId="0" fontId="9" fillId="6" borderId="15" xfId="0" applyFont="1" applyFill="1" applyBorder="1" applyAlignment="1" applyProtection="1">
      <alignment horizontal="center"/>
    </xf>
    <xf numFmtId="44" fontId="9" fillId="6" borderId="16" xfId="0" applyNumberFormat="1" applyFont="1" applyFill="1" applyBorder="1" applyProtection="1"/>
    <xf numFmtId="0" fontId="9" fillId="2" borderId="17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164" fontId="9" fillId="2" borderId="8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/>
    </xf>
    <xf numFmtId="0" fontId="9" fillId="2" borderId="18" xfId="0" applyFont="1" applyFill="1" applyBorder="1" applyProtection="1"/>
    <xf numFmtId="0" fontId="9" fillId="2" borderId="19" xfId="0" applyFont="1" applyFill="1" applyBorder="1" applyAlignment="1" applyProtection="1">
      <alignment horizontal="center"/>
    </xf>
    <xf numFmtId="0" fontId="9" fillId="2" borderId="18" xfId="0" applyFont="1" applyFill="1" applyBorder="1" applyAlignment="1" applyProtection="1">
      <alignment horizontal="center"/>
    </xf>
    <xf numFmtId="164" fontId="9" fillId="2" borderId="18" xfId="0" applyNumberFormat="1" applyFont="1" applyFill="1" applyBorder="1" applyAlignment="1" applyProtection="1">
      <alignment horizontal="center"/>
    </xf>
    <xf numFmtId="0" fontId="9" fillId="2" borderId="4" xfId="0" applyFont="1" applyFill="1" applyBorder="1" applyProtection="1"/>
    <xf numFmtId="0" fontId="9" fillId="2" borderId="4" xfId="0" applyFont="1" applyFill="1" applyBorder="1" applyAlignment="1" applyProtection="1">
      <alignment horizontal="left"/>
    </xf>
    <xf numFmtId="44" fontId="9" fillId="4" borderId="6" xfId="2" applyFont="1" applyFill="1" applyBorder="1" applyProtection="1"/>
    <xf numFmtId="0" fontId="9" fillId="2" borderId="0" xfId="0" applyFont="1" applyFill="1" applyBorder="1" applyProtection="1"/>
    <xf numFmtId="44" fontId="9" fillId="5" borderId="22" xfId="2" applyFont="1" applyFill="1" applyBorder="1" applyProtection="1"/>
    <xf numFmtId="164" fontId="9" fillId="5" borderId="0" xfId="0" applyNumberFormat="1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44" fontId="9" fillId="5" borderId="0" xfId="0" applyNumberFormat="1" applyFont="1" applyFill="1" applyBorder="1" applyProtection="1"/>
    <xf numFmtId="44" fontId="9" fillId="5" borderId="23" xfId="2" applyFont="1" applyFill="1" applyBorder="1" applyProtection="1"/>
    <xf numFmtId="44" fontId="9" fillId="5" borderId="1" xfId="0" applyNumberFormat="1" applyFont="1" applyFill="1" applyBorder="1" applyProtection="1"/>
    <xf numFmtId="0" fontId="9" fillId="2" borderId="0" xfId="0" applyFont="1" applyFill="1" applyBorder="1" applyAlignment="1" applyProtection="1"/>
    <xf numFmtId="0" fontId="9" fillId="2" borderId="24" xfId="0" applyFont="1" applyFill="1" applyBorder="1" applyAlignment="1" applyProtection="1">
      <alignment horizontal="center"/>
    </xf>
    <xf numFmtId="164" fontId="9" fillId="2" borderId="24" xfId="0" applyNumberFormat="1" applyFont="1" applyFill="1" applyBorder="1" applyAlignment="1" applyProtection="1">
      <alignment horizontal="center"/>
    </xf>
    <xf numFmtId="0" fontId="9" fillId="6" borderId="17" xfId="0" applyFont="1" applyFill="1" applyBorder="1" applyAlignment="1" applyProtection="1">
      <alignment horizontal="center"/>
    </xf>
    <xf numFmtId="0" fontId="9" fillId="6" borderId="26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wrapText="1"/>
    </xf>
    <xf numFmtId="0" fontId="9" fillId="2" borderId="2" xfId="0" applyFont="1" applyFill="1" applyBorder="1" applyAlignment="1" applyProtection="1">
      <alignment horizontal="center"/>
    </xf>
    <xf numFmtId="0" fontId="9" fillId="2" borderId="18" xfId="0" applyFont="1" applyFill="1" applyBorder="1" applyAlignment="1" applyProtection="1"/>
    <xf numFmtId="0" fontId="9" fillId="2" borderId="27" xfId="0" applyFont="1" applyFill="1" applyBorder="1" applyAlignment="1" applyProtection="1">
      <alignment horizontal="center"/>
    </xf>
    <xf numFmtId="164" fontId="9" fillId="6" borderId="28" xfId="0" applyNumberFormat="1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alignment horizontal="center"/>
    </xf>
    <xf numFmtId="164" fontId="9" fillId="2" borderId="2" xfId="0" applyNumberFormat="1" applyFont="1" applyFill="1" applyBorder="1" applyAlignment="1" applyProtection="1">
      <alignment horizontal="center"/>
    </xf>
    <xf numFmtId="165" fontId="9" fillId="2" borderId="4" xfId="5" applyNumberFormat="1" applyFont="1" applyFill="1" applyBorder="1" applyProtection="1"/>
    <xf numFmtId="0" fontId="9" fillId="2" borderId="8" xfId="0" applyFont="1" applyFill="1" applyBorder="1" applyAlignment="1" applyProtection="1">
      <alignment horizontal="center"/>
    </xf>
    <xf numFmtId="164" fontId="9" fillId="5" borderId="27" xfId="0" applyNumberFormat="1" applyFont="1" applyFill="1" applyBorder="1" applyAlignment="1" applyProtection="1">
      <alignment horizontal="center"/>
    </xf>
    <xf numFmtId="44" fontId="9" fillId="4" borderId="0" xfId="0" applyNumberFormat="1" applyFont="1" applyFill="1" applyBorder="1" applyProtection="1"/>
    <xf numFmtId="164" fontId="9" fillId="6" borderId="0" xfId="0" applyNumberFormat="1" applyFont="1" applyFill="1" applyBorder="1" applyAlignment="1" applyProtection="1">
      <alignment horizontal="center"/>
    </xf>
    <xf numFmtId="164" fontId="9" fillId="2" borderId="18" xfId="5" applyNumberFormat="1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44" fontId="9" fillId="5" borderId="31" xfId="0" applyNumberFormat="1" applyFont="1" applyFill="1" applyBorder="1" applyProtection="1"/>
    <xf numFmtId="0" fontId="9" fillId="5" borderId="22" xfId="0" applyFont="1" applyFill="1" applyBorder="1" applyAlignment="1" applyProtection="1">
      <alignment horizontal="center"/>
    </xf>
    <xf numFmtId="44" fontId="9" fillId="5" borderId="7" xfId="0" applyNumberFormat="1" applyFont="1" applyFill="1" applyBorder="1" applyProtection="1"/>
    <xf numFmtId="0" fontId="9" fillId="2" borderId="4" xfId="0" applyFont="1" applyFill="1" applyBorder="1" applyAlignment="1" applyProtection="1"/>
    <xf numFmtId="44" fontId="9" fillId="3" borderId="32" xfId="2" applyFont="1" applyFill="1" applyBorder="1" applyProtection="1">
      <protection locked="0"/>
    </xf>
    <xf numFmtId="44" fontId="9" fillId="5" borderId="7" xfId="2" applyFont="1" applyFill="1" applyBorder="1" applyProtection="1"/>
    <xf numFmtId="44" fontId="9" fillId="5" borderId="18" xfId="0" applyNumberFormat="1" applyFont="1" applyFill="1" applyBorder="1" applyProtection="1"/>
    <xf numFmtId="164" fontId="9" fillId="6" borderId="12" xfId="0" applyNumberFormat="1" applyFont="1" applyFill="1" applyBorder="1" applyAlignment="1" applyProtection="1">
      <alignment horizontal="center"/>
    </xf>
    <xf numFmtId="0" fontId="9" fillId="6" borderId="37" xfId="0" applyFont="1" applyFill="1" applyBorder="1" applyAlignment="1" applyProtection="1">
      <alignment horizontal="center"/>
    </xf>
    <xf numFmtId="44" fontId="9" fillId="6" borderId="38" xfId="0" applyNumberFormat="1" applyFont="1" applyFill="1" applyBorder="1" applyProtection="1"/>
    <xf numFmtId="164" fontId="9" fillId="2" borderId="27" xfId="0" applyNumberFormat="1" applyFont="1" applyFill="1" applyBorder="1" applyAlignment="1" applyProtection="1">
      <alignment horizontal="center"/>
    </xf>
    <xf numFmtId="164" fontId="9" fillId="0" borderId="8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164" fontId="9" fillId="0" borderId="27" xfId="0" applyNumberFormat="1" applyFont="1" applyFill="1" applyBorder="1" applyAlignment="1" applyProtection="1">
      <alignment horizontal="center"/>
    </xf>
    <xf numFmtId="164" fontId="9" fillId="0" borderId="24" xfId="0" applyNumberFormat="1" applyFont="1" applyFill="1" applyBorder="1" applyAlignment="1" applyProtection="1">
      <alignment horizontal="center"/>
    </xf>
    <xf numFmtId="166" fontId="9" fillId="0" borderId="0" xfId="0" applyNumberFormat="1" applyFont="1" applyFill="1" applyBorder="1" applyAlignment="1" applyProtection="1">
      <alignment horizontal="center"/>
    </xf>
    <xf numFmtId="166" fontId="9" fillId="0" borderId="4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horizontal="left"/>
    </xf>
    <xf numFmtId="9" fontId="9" fillId="5" borderId="0" xfId="2" applyNumberFormat="1" applyFont="1" applyFill="1" applyBorder="1" applyProtection="1"/>
    <xf numFmtId="0" fontId="9" fillId="5" borderId="0" xfId="2" applyNumberFormat="1" applyFont="1" applyFill="1" applyBorder="1" applyProtection="1"/>
    <xf numFmtId="0" fontId="9" fillId="5" borderId="0" xfId="0" applyNumberFormat="1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wrapText="1"/>
    </xf>
    <xf numFmtId="0" fontId="12" fillId="0" borderId="3" xfId="0" applyFont="1" applyBorder="1" applyAlignment="1" applyProtection="1">
      <alignment horizontal="left"/>
    </xf>
    <xf numFmtId="0" fontId="9" fillId="2" borderId="24" xfId="0" applyFont="1" applyFill="1" applyBorder="1" applyAlignment="1" applyProtection="1">
      <alignment wrapText="1"/>
    </xf>
    <xf numFmtId="0" fontId="12" fillId="0" borderId="40" xfId="0" applyFont="1" applyBorder="1" applyAlignment="1" applyProtection="1">
      <alignment horizontal="left"/>
    </xf>
    <xf numFmtId="0" fontId="9" fillId="2" borderId="2" xfId="0" applyFont="1" applyFill="1" applyBorder="1" applyProtection="1"/>
    <xf numFmtId="0" fontId="9" fillId="2" borderId="40" xfId="0" applyFont="1" applyFill="1" applyBorder="1" applyProtection="1"/>
    <xf numFmtId="44" fontId="9" fillId="6" borderId="40" xfId="0" applyNumberFormat="1" applyFont="1" applyFill="1" applyBorder="1" applyProtection="1"/>
    <xf numFmtId="164" fontId="9" fillId="2" borderId="3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0" fontId="9" fillId="2" borderId="24" xfId="0" applyFont="1" applyFill="1" applyBorder="1" applyAlignment="1" applyProtection="1"/>
    <xf numFmtId="44" fontId="9" fillId="6" borderId="21" xfId="0" applyNumberFormat="1" applyFont="1" applyFill="1" applyBorder="1" applyProtection="1"/>
    <xf numFmtId="0" fontId="9" fillId="2" borderId="3" xfId="0" applyFont="1" applyFill="1" applyBorder="1" applyProtection="1"/>
    <xf numFmtId="0" fontId="9" fillId="2" borderId="9" xfId="0" applyFont="1" applyFill="1" applyBorder="1" applyAlignment="1" applyProtection="1">
      <alignment horizontal="center"/>
    </xf>
    <xf numFmtId="0" fontId="9" fillId="2" borderId="21" xfId="0" applyFont="1" applyFill="1" applyBorder="1" applyProtection="1"/>
    <xf numFmtId="44" fontId="9" fillId="3" borderId="51" xfId="2" applyFont="1" applyFill="1" applyBorder="1" applyProtection="1">
      <protection locked="0"/>
    </xf>
    <xf numFmtId="0" fontId="9" fillId="2" borderId="52" xfId="0" applyFont="1" applyFill="1" applyBorder="1" applyAlignment="1" applyProtection="1">
      <alignment horizontal="center"/>
    </xf>
    <xf numFmtId="0" fontId="9" fillId="5" borderId="18" xfId="0" applyFont="1" applyFill="1" applyBorder="1" applyAlignment="1" applyProtection="1">
      <alignment horizontal="center"/>
    </xf>
    <xf numFmtId="164" fontId="9" fillId="6" borderId="3" xfId="0" applyNumberFormat="1" applyFont="1" applyFill="1" applyBorder="1" applyAlignment="1" applyProtection="1">
      <alignment horizontal="center"/>
    </xf>
    <xf numFmtId="44" fontId="9" fillId="5" borderId="20" xfId="2" applyFont="1" applyFill="1" applyBorder="1" applyProtection="1"/>
    <xf numFmtId="2" fontId="9" fillId="5" borderId="0" xfId="2" applyNumberFormat="1" applyFont="1" applyFill="1" applyBorder="1" applyAlignment="1" applyProtection="1">
      <alignment horizontal="center"/>
    </xf>
    <xf numFmtId="2" fontId="9" fillId="4" borderId="0" xfId="2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166" fontId="9" fillId="6" borderId="5" xfId="0" applyNumberFormat="1" applyFont="1" applyFill="1" applyBorder="1" applyAlignment="1" applyProtection="1">
      <alignment horizontal="center"/>
    </xf>
    <xf numFmtId="9" fontId="9" fillId="0" borderId="5" xfId="2" applyNumberFormat="1" applyFont="1" applyFill="1" applyBorder="1" applyProtection="1"/>
    <xf numFmtId="1" fontId="9" fillId="2" borderId="14" xfId="2" applyNumberFormat="1" applyFont="1" applyFill="1" applyBorder="1" applyAlignment="1" applyProtection="1">
      <alignment horizontal="center"/>
    </xf>
    <xf numFmtId="1" fontId="9" fillId="2" borderId="54" xfId="2" applyNumberFormat="1" applyFont="1" applyFill="1" applyBorder="1" applyAlignment="1" applyProtection="1">
      <alignment horizontal="center"/>
    </xf>
    <xf numFmtId="1" fontId="9" fillId="2" borderId="32" xfId="2" applyNumberFormat="1" applyFont="1" applyFill="1" applyBorder="1" applyAlignment="1" applyProtection="1">
      <alignment horizontal="center"/>
    </xf>
    <xf numFmtId="0" fontId="9" fillId="2" borderId="10" xfId="0" applyFont="1" applyFill="1" applyBorder="1" applyProtection="1"/>
    <xf numFmtId="0" fontId="9" fillId="0" borderId="4" xfId="0" applyFont="1" applyFill="1" applyBorder="1" applyAlignment="1" applyProtection="1">
      <alignment horizontal="left"/>
    </xf>
    <xf numFmtId="0" fontId="9" fillId="0" borderId="18" xfId="0" applyFont="1" applyFill="1" applyBorder="1" applyAlignment="1" applyProtection="1">
      <alignment horizontal="left"/>
    </xf>
    <xf numFmtId="166" fontId="9" fillId="2" borderId="4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44" fontId="9" fillId="4" borderId="22" xfId="2" applyFont="1" applyFill="1" applyBorder="1" applyProtection="1"/>
    <xf numFmtId="1" fontId="9" fillId="5" borderId="0" xfId="2" applyNumberFormat="1" applyFont="1" applyFill="1" applyBorder="1" applyAlignment="1" applyProtection="1">
      <alignment horizontal="center"/>
    </xf>
    <xf numFmtId="164" fontId="9" fillId="5" borderId="0" xfId="0" applyNumberFormat="1" applyFont="1" applyFill="1" applyBorder="1" applyAlignment="1" applyProtection="1">
      <alignment horizontal="right"/>
    </xf>
    <xf numFmtId="166" fontId="9" fillId="0" borderId="2" xfId="0" applyNumberFormat="1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left"/>
    </xf>
    <xf numFmtId="0" fontId="9" fillId="2" borderId="5" xfId="0" applyFont="1" applyFill="1" applyBorder="1" applyAlignment="1" applyProtection="1"/>
    <xf numFmtId="0" fontId="9" fillId="2" borderId="11" xfId="0" applyFont="1" applyFill="1" applyBorder="1" applyAlignment="1" applyProtection="1"/>
    <xf numFmtId="0" fontId="9" fillId="2" borderId="19" xfId="0" applyFont="1" applyFill="1" applyBorder="1" applyAlignment="1" applyProtection="1"/>
    <xf numFmtId="0" fontId="5" fillId="6" borderId="31" xfId="0" applyFont="1" applyFill="1" applyBorder="1" applyAlignment="1" applyProtection="1">
      <alignment horizontal="center" wrapText="1"/>
    </xf>
    <xf numFmtId="9" fontId="9" fillId="0" borderId="0" xfId="2" applyNumberFormat="1" applyFont="1" applyFill="1" applyBorder="1" applyProtection="1"/>
    <xf numFmtId="0" fontId="0" fillId="0" borderId="5" xfId="0" applyBorder="1"/>
    <xf numFmtId="0" fontId="9" fillId="7" borderId="0" xfId="0" applyFont="1" applyFill="1" applyBorder="1" applyAlignment="1" applyProtection="1">
      <alignment horizontal="center"/>
    </xf>
    <xf numFmtId="0" fontId="9" fillId="7" borderId="17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/>
    <xf numFmtId="164" fontId="9" fillId="2" borderId="56" xfId="0" applyNumberFormat="1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164" fontId="9" fillId="7" borderId="4" xfId="0" applyNumberFormat="1" applyFont="1" applyFill="1" applyBorder="1" applyAlignment="1" applyProtection="1">
      <alignment horizontal="center"/>
    </xf>
    <xf numFmtId="164" fontId="9" fillId="7" borderId="3" xfId="0" applyNumberFormat="1" applyFont="1" applyFill="1" applyBorder="1" applyAlignment="1" applyProtection="1">
      <alignment horizontal="center"/>
    </xf>
    <xf numFmtId="0" fontId="9" fillId="7" borderId="24" xfId="0" applyFont="1" applyFill="1" applyBorder="1" applyAlignment="1" applyProtection="1"/>
    <xf numFmtId="164" fontId="9" fillId="7" borderId="0" xfId="0" applyNumberFormat="1" applyFont="1" applyFill="1" applyBorder="1" applyAlignment="1" applyProtection="1">
      <alignment horizontal="center"/>
    </xf>
    <xf numFmtId="0" fontId="9" fillId="7" borderId="2" xfId="0" applyFont="1" applyFill="1" applyBorder="1" applyAlignment="1" applyProtection="1">
      <alignment wrapText="1"/>
    </xf>
    <xf numFmtId="0" fontId="12" fillId="7" borderId="3" xfId="0" applyFont="1" applyFill="1" applyBorder="1" applyAlignment="1" applyProtection="1">
      <alignment horizontal="left"/>
    </xf>
    <xf numFmtId="0" fontId="9" fillId="7" borderId="0" xfId="0" applyFont="1" applyFill="1" applyBorder="1" applyProtection="1"/>
    <xf numFmtId="0" fontId="9" fillId="7" borderId="8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164" fontId="9" fillId="7" borderId="8" xfId="0" applyNumberFormat="1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wrapText="1"/>
    </xf>
    <xf numFmtId="0" fontId="9" fillId="0" borderId="2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164" fontId="9" fillId="0" borderId="4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wrapText="1"/>
    </xf>
    <xf numFmtId="0" fontId="12" fillId="0" borderId="3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0" fontId="9" fillId="0" borderId="17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/>
    </xf>
    <xf numFmtId="0" fontId="9" fillId="0" borderId="57" xfId="0" applyFont="1" applyFill="1" applyBorder="1" applyProtection="1"/>
    <xf numFmtId="0" fontId="9" fillId="0" borderId="27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9" fillId="0" borderId="2" xfId="0" applyFont="1" applyFill="1" applyBorder="1" applyProtection="1"/>
    <xf numFmtId="0" fontId="9" fillId="2" borderId="3" xfId="0" applyFont="1" applyFill="1" applyBorder="1" applyAlignment="1" applyProtection="1">
      <alignment horizontal="center" wrapText="1"/>
    </xf>
    <xf numFmtId="0" fontId="9" fillId="2" borderId="33" xfId="0" applyFont="1" applyFill="1" applyBorder="1" applyAlignment="1" applyProtection="1"/>
    <xf numFmtId="0" fontId="9" fillId="2" borderId="5" xfId="0" applyFont="1" applyFill="1" applyBorder="1" applyAlignment="1" applyProtection="1">
      <alignment wrapText="1"/>
    </xf>
    <xf numFmtId="0" fontId="9" fillId="2" borderId="5" xfId="0" applyFont="1" applyFill="1" applyBorder="1" applyProtection="1"/>
    <xf numFmtId="0" fontId="9" fillId="2" borderId="3" xfId="0" applyFont="1" applyFill="1" applyBorder="1" applyAlignment="1" applyProtection="1">
      <alignment horizontal="left"/>
    </xf>
    <xf numFmtId="164" fontId="9" fillId="7" borderId="10" xfId="0" applyNumberFormat="1" applyFont="1" applyFill="1" applyBorder="1" applyAlignment="1" applyProtection="1">
      <alignment horizontal="center"/>
    </xf>
    <xf numFmtId="44" fontId="24" fillId="5" borderId="0" xfId="0" applyNumberFormat="1" applyFont="1" applyFill="1" applyBorder="1" applyProtection="1"/>
    <xf numFmtId="44" fontId="9" fillId="5" borderId="29" xfId="2" applyFont="1" applyFill="1" applyBorder="1" applyProtection="1"/>
    <xf numFmtId="164" fontId="9" fillId="5" borderId="29" xfId="0" applyNumberFormat="1" applyFont="1" applyFill="1" applyBorder="1" applyAlignment="1" applyProtection="1">
      <alignment horizontal="center"/>
    </xf>
    <xf numFmtId="164" fontId="9" fillId="6" borderId="18" xfId="0" applyNumberFormat="1" applyFont="1" applyFill="1" applyBorder="1" applyAlignment="1" applyProtection="1">
      <alignment horizontal="center"/>
    </xf>
    <xf numFmtId="44" fontId="9" fillId="3" borderId="22" xfId="2" applyFont="1" applyFill="1" applyBorder="1" applyProtection="1">
      <protection locked="0"/>
    </xf>
    <xf numFmtId="44" fontId="9" fillId="6" borderId="29" xfId="0" applyNumberFormat="1" applyFont="1" applyFill="1" applyBorder="1" applyProtection="1"/>
    <xf numFmtId="0" fontId="5" fillId="5" borderId="46" xfId="0" applyFont="1" applyFill="1" applyBorder="1" applyAlignment="1" applyProtection="1"/>
    <xf numFmtId="166" fontId="9" fillId="6" borderId="2" xfId="0" applyNumberFormat="1" applyFont="1" applyFill="1" applyBorder="1" applyAlignment="1" applyProtection="1">
      <alignment horizontal="center"/>
    </xf>
    <xf numFmtId="0" fontId="9" fillId="6" borderId="44" xfId="0" applyFont="1" applyFill="1" applyBorder="1" applyAlignment="1" applyProtection="1">
      <alignment horizontal="center"/>
    </xf>
    <xf numFmtId="44" fontId="13" fillId="4" borderId="22" xfId="2" applyFont="1" applyFill="1" applyBorder="1" applyProtection="1"/>
    <xf numFmtId="164" fontId="9" fillId="6" borderId="10" xfId="0" applyNumberFormat="1" applyFont="1" applyFill="1" applyBorder="1" applyAlignment="1" applyProtection="1">
      <alignment horizontal="center"/>
    </xf>
    <xf numFmtId="164" fontId="9" fillId="6" borderId="1" xfId="0" applyNumberFormat="1" applyFont="1" applyFill="1" applyBorder="1" applyAlignment="1" applyProtection="1">
      <alignment horizontal="center"/>
    </xf>
    <xf numFmtId="164" fontId="9" fillId="6" borderId="58" xfId="0" applyNumberFormat="1" applyFont="1" applyFill="1" applyBorder="1" applyAlignment="1" applyProtection="1">
      <alignment horizontal="center"/>
    </xf>
    <xf numFmtId="0" fontId="9" fillId="8" borderId="5" xfId="0" applyFont="1" applyFill="1" applyBorder="1" applyAlignment="1" applyProtection="1">
      <alignment horizontal="center"/>
    </xf>
    <xf numFmtId="0" fontId="9" fillId="8" borderId="19" xfId="0" applyFont="1" applyFill="1" applyBorder="1" applyAlignment="1" applyProtection="1">
      <alignment horizontal="center"/>
    </xf>
    <xf numFmtId="44" fontId="9" fillId="5" borderId="17" xfId="2" applyFont="1" applyFill="1" applyBorder="1" applyProtection="1"/>
    <xf numFmtId="0" fontId="5" fillId="3" borderId="44" xfId="0" applyFont="1" applyFill="1" applyBorder="1" applyAlignment="1" applyProtection="1">
      <alignment horizontal="center" wrapText="1"/>
    </xf>
    <xf numFmtId="0" fontId="9" fillId="4" borderId="0" xfId="0" applyNumberFormat="1" applyFont="1" applyFill="1" applyBorder="1" applyProtection="1"/>
    <xf numFmtId="0" fontId="9" fillId="2" borderId="11" xfId="0" applyFont="1" applyFill="1" applyBorder="1" applyAlignment="1" applyProtection="1">
      <alignment wrapText="1"/>
    </xf>
    <xf numFmtId="0" fontId="9" fillId="2" borderId="11" xfId="0" applyFont="1" applyFill="1" applyBorder="1" applyProtection="1"/>
    <xf numFmtId="0" fontId="9" fillId="2" borderId="10" xfId="0" applyFont="1" applyFill="1" applyBorder="1" applyAlignment="1" applyProtection="1">
      <alignment horizontal="left"/>
    </xf>
    <xf numFmtId="0" fontId="9" fillId="2" borderId="60" xfId="0" applyFont="1" applyFill="1" applyBorder="1" applyAlignment="1" applyProtection="1">
      <alignment horizontal="left"/>
    </xf>
    <xf numFmtId="0" fontId="9" fillId="2" borderId="61" xfId="0" applyFont="1" applyFill="1" applyBorder="1" applyAlignment="1" applyProtection="1">
      <alignment horizontal="center"/>
    </xf>
    <xf numFmtId="164" fontId="9" fillId="2" borderId="58" xfId="0" applyNumberFormat="1" applyFont="1" applyFill="1" applyBorder="1" applyAlignment="1" applyProtection="1">
      <alignment horizontal="center"/>
    </xf>
    <xf numFmtId="44" fontId="9" fillId="4" borderId="36" xfId="2" applyFont="1" applyFill="1" applyBorder="1" applyProtection="1"/>
    <xf numFmtId="44" fontId="9" fillId="4" borderId="23" xfId="2" applyFont="1" applyFill="1" applyBorder="1" applyProtection="1"/>
    <xf numFmtId="44" fontId="9" fillId="3" borderId="59" xfId="2" applyFont="1" applyFill="1" applyBorder="1" applyProtection="1">
      <protection locked="0"/>
    </xf>
    <xf numFmtId="0" fontId="24" fillId="5" borderId="30" xfId="0" applyFont="1" applyFill="1" applyBorder="1" applyAlignment="1" applyProtection="1">
      <alignment horizontal="center"/>
    </xf>
    <xf numFmtId="44" fontId="24" fillId="5" borderId="13" xfId="0" applyNumberFormat="1" applyFont="1" applyFill="1" applyBorder="1" applyProtection="1"/>
    <xf numFmtId="1" fontId="24" fillId="5" borderId="13" xfId="2" applyNumberFormat="1" applyFont="1" applyFill="1" applyBorder="1" applyAlignment="1" applyProtection="1">
      <alignment horizontal="center"/>
    </xf>
    <xf numFmtId="0" fontId="9" fillId="5" borderId="29" xfId="0" applyFont="1" applyFill="1" applyBorder="1" applyAlignment="1" applyProtection="1">
      <alignment horizontal="center"/>
    </xf>
    <xf numFmtId="2" fontId="9" fillId="5" borderId="22" xfId="5" applyNumberFormat="1" applyFont="1" applyFill="1" applyBorder="1" applyAlignment="1" applyProtection="1">
      <alignment horizontal="center"/>
    </xf>
    <xf numFmtId="0" fontId="12" fillId="2" borderId="21" xfId="0" applyFont="1" applyFill="1" applyBorder="1" applyAlignment="1" applyProtection="1">
      <alignment horizontal="left"/>
    </xf>
    <xf numFmtId="0" fontId="12" fillId="2" borderId="61" xfId="0" applyFont="1" applyFill="1" applyBorder="1" applyAlignment="1" applyProtection="1">
      <alignment horizontal="left"/>
    </xf>
    <xf numFmtId="165" fontId="9" fillId="2" borderId="42" xfId="5" applyNumberFormat="1" applyFont="1" applyFill="1" applyBorder="1" applyProtection="1"/>
    <xf numFmtId="164" fontId="9" fillId="2" borderId="41" xfId="5" applyNumberFormat="1" applyFont="1" applyFill="1" applyBorder="1" applyProtection="1"/>
    <xf numFmtId="0" fontId="24" fillId="5" borderId="22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 wrapText="1"/>
    </xf>
    <xf numFmtId="0" fontId="3" fillId="6" borderId="31" xfId="0" applyFont="1" applyFill="1" applyBorder="1" applyAlignment="1" applyProtection="1">
      <alignment horizontal="center" wrapText="1"/>
    </xf>
    <xf numFmtId="0" fontId="15" fillId="3" borderId="30" xfId="0" applyFont="1" applyFill="1" applyBorder="1" applyAlignment="1" applyProtection="1">
      <alignment horizontal="center" wrapText="1"/>
    </xf>
    <xf numFmtId="0" fontId="15" fillId="6" borderId="13" xfId="0" applyFont="1" applyFill="1" applyBorder="1" applyAlignment="1" applyProtection="1">
      <alignment horizontal="center" wrapText="1"/>
    </xf>
    <xf numFmtId="0" fontId="15" fillId="9" borderId="63" xfId="0" applyFont="1" applyFill="1" applyBorder="1" applyAlignment="1" applyProtection="1"/>
    <xf numFmtId="0" fontId="15" fillId="9" borderId="56" xfId="0" applyFont="1" applyFill="1" applyBorder="1" applyAlignment="1" applyProtection="1"/>
    <xf numFmtId="0" fontId="15" fillId="9" borderId="64" xfId="0" applyFont="1" applyFill="1" applyBorder="1" applyAlignment="1" applyProtection="1"/>
    <xf numFmtId="0" fontId="15" fillId="7" borderId="48" xfId="0" applyFont="1" applyFill="1" applyBorder="1" applyAlignment="1" applyProtection="1">
      <alignment wrapText="1"/>
    </xf>
    <xf numFmtId="0" fontId="15" fillId="7" borderId="49" xfId="0" applyFont="1" applyFill="1" applyBorder="1" applyAlignment="1" applyProtection="1">
      <alignment wrapText="1"/>
    </xf>
    <xf numFmtId="0" fontId="15" fillId="7" borderId="49" xfId="0" applyFont="1" applyFill="1" applyBorder="1" applyAlignment="1" applyProtection="1"/>
    <xf numFmtId="44" fontId="5" fillId="7" borderId="49" xfId="2" applyFont="1" applyFill="1" applyBorder="1" applyProtection="1"/>
    <xf numFmtId="164" fontId="14" fillId="7" borderId="49" xfId="0" applyNumberFormat="1" applyFont="1" applyFill="1" applyBorder="1" applyAlignment="1" applyProtection="1">
      <alignment horizontal="center"/>
    </xf>
    <xf numFmtId="0" fontId="14" fillId="7" borderId="63" xfId="0" applyFont="1" applyFill="1" applyBorder="1" applyAlignment="1" applyProtection="1">
      <alignment horizontal="center"/>
    </xf>
    <xf numFmtId="0" fontId="15" fillId="7" borderId="2" xfId="0" applyFont="1" applyFill="1" applyBorder="1" applyAlignment="1" applyProtection="1">
      <alignment wrapText="1"/>
    </xf>
    <xf numFmtId="0" fontId="15" fillId="7" borderId="4" xfId="0" applyFont="1" applyFill="1" applyBorder="1" applyAlignment="1" applyProtection="1">
      <alignment wrapText="1"/>
    </xf>
    <xf numFmtId="0" fontId="15" fillId="7" borderId="4" xfId="0" applyFont="1" applyFill="1" applyBorder="1" applyAlignment="1" applyProtection="1"/>
    <xf numFmtId="44" fontId="5" fillId="7" borderId="4" xfId="2" applyFont="1" applyFill="1" applyBorder="1" applyProtection="1"/>
    <xf numFmtId="164" fontId="14" fillId="7" borderId="4" xfId="0" applyNumberFormat="1" applyFont="1" applyFill="1" applyBorder="1" applyAlignment="1" applyProtection="1">
      <alignment horizontal="center"/>
    </xf>
    <xf numFmtId="0" fontId="14" fillId="7" borderId="56" xfId="0" applyFont="1" applyFill="1" applyBorder="1" applyAlignment="1" applyProtection="1">
      <alignment horizontal="center"/>
    </xf>
    <xf numFmtId="0" fontId="15" fillId="7" borderId="60" xfId="0" applyFont="1" applyFill="1" applyBorder="1" applyAlignment="1" applyProtection="1">
      <alignment wrapText="1"/>
    </xf>
    <xf numFmtId="0" fontId="15" fillId="7" borderId="58" xfId="0" applyFont="1" applyFill="1" applyBorder="1" applyAlignment="1" applyProtection="1">
      <alignment wrapText="1"/>
    </xf>
    <xf numFmtId="0" fontId="15" fillId="7" borderId="58" xfId="0" applyFont="1" applyFill="1" applyBorder="1" applyAlignment="1" applyProtection="1"/>
    <xf numFmtId="44" fontId="5" fillId="7" borderId="58" xfId="2" applyFont="1" applyFill="1" applyBorder="1" applyProtection="1"/>
    <xf numFmtId="164" fontId="14" fillId="7" borderId="58" xfId="0" applyNumberFormat="1" applyFont="1" applyFill="1" applyBorder="1" applyAlignment="1" applyProtection="1">
      <alignment horizontal="center"/>
    </xf>
    <xf numFmtId="0" fontId="14" fillId="7" borderId="64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/>
    <xf numFmtId="0" fontId="5" fillId="0" borderId="0" xfId="0" applyFont="1" applyAlignment="1" applyProtection="1">
      <alignment horizontal="left"/>
    </xf>
    <xf numFmtId="44" fontId="4" fillId="0" borderId="0" xfId="2" applyFont="1" applyFill="1" applyBorder="1" applyProtection="1"/>
    <xf numFmtId="0" fontId="5" fillId="0" borderId="0" xfId="0" applyFont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24" fillId="0" borderId="0" xfId="0" applyFont="1" applyProtection="1"/>
    <xf numFmtId="0" fontId="0" fillId="0" borderId="0" xfId="0" applyBorder="1" applyProtection="1"/>
    <xf numFmtId="44" fontId="3" fillId="3" borderId="32" xfId="2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5" xfId="0" applyBorder="1" applyProtection="1"/>
    <xf numFmtId="0" fontId="9" fillId="2" borderId="9" xfId="0" applyFont="1" applyFill="1" applyBorder="1" applyProtection="1"/>
    <xf numFmtId="0" fontId="9" fillId="5" borderId="7" xfId="0" applyFont="1" applyFill="1" applyBorder="1" applyProtection="1"/>
    <xf numFmtId="0" fontId="0" fillId="2" borderId="0" xfId="0" applyFill="1" applyBorder="1" applyProtection="1"/>
    <xf numFmtId="44" fontId="9" fillId="4" borderId="43" xfId="2" applyFont="1" applyFill="1" applyBorder="1" applyProtection="1"/>
    <xf numFmtId="0" fontId="0" fillId="0" borderId="11" xfId="0" applyBorder="1" applyProtection="1"/>
    <xf numFmtId="44" fontId="9" fillId="5" borderId="43" xfId="2" applyFont="1" applyFill="1" applyBorder="1" applyProtection="1"/>
    <xf numFmtId="0" fontId="9" fillId="2" borderId="15" xfId="0" applyFont="1" applyFill="1" applyBorder="1" applyProtection="1"/>
    <xf numFmtId="0" fontId="9" fillId="5" borderId="36" xfId="0" applyFont="1" applyFill="1" applyBorder="1" applyProtection="1"/>
    <xf numFmtId="44" fontId="15" fillId="6" borderId="44" xfId="0" applyNumberFormat="1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Protection="1"/>
    <xf numFmtId="0" fontId="14" fillId="2" borderId="0" xfId="0" applyFont="1" applyFill="1" applyBorder="1" applyProtection="1"/>
    <xf numFmtId="0" fontId="9" fillId="7" borderId="3" xfId="0" applyFont="1" applyFill="1" applyBorder="1" applyProtection="1"/>
    <xf numFmtId="0" fontId="9" fillId="7" borderId="40" xfId="0" applyFont="1" applyFill="1" applyBorder="1" applyProtection="1"/>
    <xf numFmtId="44" fontId="9" fillId="4" borderId="12" xfId="2" applyFont="1" applyFill="1" applyBorder="1" applyProtection="1"/>
    <xf numFmtId="0" fontId="9" fillId="5" borderId="22" xfId="0" applyFont="1" applyFill="1" applyBorder="1" applyProtection="1"/>
    <xf numFmtId="0" fontId="9" fillId="5" borderId="0" xfId="0" applyFont="1" applyFill="1" applyBorder="1" applyProtection="1"/>
    <xf numFmtId="0" fontId="0" fillId="5" borderId="0" xfId="0" applyFill="1" applyBorder="1" applyProtection="1"/>
    <xf numFmtId="44" fontId="15" fillId="6" borderId="36" xfId="0" applyNumberFormat="1" applyFont="1" applyFill="1" applyBorder="1" applyProtection="1"/>
    <xf numFmtId="44" fontId="15" fillId="6" borderId="54" xfId="0" applyNumberFormat="1" applyFont="1" applyFill="1" applyBorder="1" applyProtection="1"/>
    <xf numFmtId="44" fontId="15" fillId="6" borderId="32" xfId="0" applyNumberFormat="1" applyFont="1" applyFill="1" applyBorder="1" applyProtection="1"/>
    <xf numFmtId="0" fontId="9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9" fillId="2" borderId="11" xfId="0" applyFont="1" applyFill="1" applyBorder="1" applyAlignment="1" applyProtection="1">
      <alignment horizontal="left"/>
    </xf>
    <xf numFmtId="0" fontId="9" fillId="0" borderId="5" xfId="0" applyFont="1" applyBorder="1" applyProtection="1"/>
    <xf numFmtId="0" fontId="9" fillId="2" borderId="5" xfId="0" applyFont="1" applyFill="1" applyBorder="1" applyAlignment="1" applyProtection="1">
      <alignment horizontal="left"/>
    </xf>
    <xf numFmtId="0" fontId="9" fillId="2" borderId="19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9" fillId="2" borderId="27" xfId="0" applyFont="1" applyFill="1" applyBorder="1" applyAlignment="1" applyProtection="1">
      <alignment horizontal="left"/>
    </xf>
    <xf numFmtId="0" fontId="9" fillId="2" borderId="24" xfId="0" applyFont="1" applyFill="1" applyBorder="1" applyAlignment="1" applyProtection="1">
      <alignment horizontal="left"/>
    </xf>
    <xf numFmtId="0" fontId="9" fillId="2" borderId="8" xfId="0" applyFont="1" applyFill="1" applyBorder="1" applyAlignment="1" applyProtection="1">
      <alignment horizontal="left"/>
    </xf>
    <xf numFmtId="0" fontId="25" fillId="0" borderId="0" xfId="0" applyFont="1" applyProtection="1"/>
    <xf numFmtId="0" fontId="1" fillId="0" borderId="8" xfId="0" applyFont="1" applyFill="1" applyBorder="1" applyAlignment="1" applyProtection="1">
      <alignment horizontal="left"/>
    </xf>
    <xf numFmtId="0" fontId="1" fillId="2" borderId="5" xfId="0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164" fontId="1" fillId="2" borderId="53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</xf>
    <xf numFmtId="0" fontId="1" fillId="2" borderId="2" xfId="0" applyFont="1" applyFill="1" applyBorder="1" applyProtection="1"/>
    <xf numFmtId="0" fontId="1" fillId="0" borderId="0" xfId="0" applyFont="1" applyFill="1" applyBorder="1" applyProtection="1"/>
    <xf numFmtId="166" fontId="1" fillId="2" borderId="42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left"/>
    </xf>
    <xf numFmtId="0" fontId="1" fillId="2" borderId="8" xfId="0" applyFont="1" applyFill="1" applyBorder="1" applyProtection="1"/>
    <xf numFmtId="0" fontId="1" fillId="0" borderId="4" xfId="0" applyFont="1" applyFill="1" applyBorder="1" applyAlignment="1" applyProtection="1">
      <alignment horizontal="left"/>
    </xf>
    <xf numFmtId="0" fontId="1" fillId="2" borderId="19" xfId="0" applyFont="1" applyFill="1" applyBorder="1" applyAlignment="1" applyProtection="1">
      <alignment horizontal="center"/>
    </xf>
    <xf numFmtId="166" fontId="1" fillId="0" borderId="42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left"/>
    </xf>
    <xf numFmtId="166" fontId="1" fillId="0" borderId="4" xfId="0" applyNumberFormat="1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1" fillId="2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center"/>
    </xf>
    <xf numFmtId="166" fontId="1" fillId="0" borderId="10" xfId="0" applyNumberFormat="1" applyFont="1" applyFill="1" applyBorder="1" applyAlignment="1" applyProtection="1">
      <alignment horizontal="center"/>
    </xf>
    <xf numFmtId="0" fontId="1" fillId="2" borderId="10" xfId="0" applyFont="1" applyFill="1" applyBorder="1" applyProtection="1"/>
    <xf numFmtId="0" fontId="1" fillId="0" borderId="10" xfId="0" applyFont="1" applyFill="1" applyBorder="1" applyAlignment="1" applyProtection="1">
      <alignment horizontal="left"/>
    </xf>
    <xf numFmtId="0" fontId="1" fillId="2" borderId="17" xfId="0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0" borderId="2" xfId="0" applyFont="1" applyBorder="1" applyAlignment="1" applyProtection="1">
      <alignment horizontal="left"/>
    </xf>
    <xf numFmtId="0" fontId="1" fillId="2" borderId="18" xfId="0" applyFont="1" applyFill="1" applyBorder="1" applyProtection="1"/>
    <xf numFmtId="0" fontId="1" fillId="0" borderId="18" xfId="0" applyFont="1" applyFill="1" applyBorder="1" applyAlignment="1" applyProtection="1">
      <alignment horizontal="left"/>
    </xf>
    <xf numFmtId="166" fontId="1" fillId="6" borderId="54" xfId="0" applyNumberFormat="1" applyFont="1" applyFill="1" applyBorder="1" applyAlignment="1" applyProtection="1">
      <alignment horizontal="center"/>
    </xf>
    <xf numFmtId="166" fontId="1" fillId="6" borderId="32" xfId="0" applyNumberFormat="1" applyFont="1" applyFill="1" applyBorder="1" applyAlignment="1" applyProtection="1">
      <alignment horizontal="center"/>
    </xf>
    <xf numFmtId="166" fontId="1" fillId="6" borderId="55" xfId="0" applyNumberFormat="1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2" fillId="0" borderId="0" xfId="0" applyFont="1" applyProtection="1"/>
    <xf numFmtId="0" fontId="1" fillId="7" borderId="2" xfId="0" applyFont="1" applyFill="1" applyBorder="1" applyAlignment="1" applyProtection="1"/>
    <xf numFmtId="164" fontId="9" fillId="6" borderId="32" xfId="0" applyNumberFormat="1" applyFont="1" applyFill="1" applyBorder="1" applyAlignment="1" applyProtection="1">
      <alignment horizontal="center"/>
    </xf>
    <xf numFmtId="44" fontId="9" fillId="3" borderId="44" xfId="2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</xf>
    <xf numFmtId="1" fontId="9" fillId="6" borderId="44" xfId="0" applyNumberFormat="1" applyFont="1" applyFill="1" applyBorder="1" applyAlignment="1" applyProtection="1">
      <alignment horizontal="center"/>
    </xf>
    <xf numFmtId="1" fontId="1" fillId="2" borderId="14" xfId="2" applyNumberFormat="1" applyFont="1" applyFill="1" applyBorder="1" applyAlignment="1" applyProtection="1">
      <alignment horizontal="center"/>
    </xf>
    <xf numFmtId="164" fontId="9" fillId="6" borderId="6" xfId="0" applyNumberFormat="1" applyFont="1" applyFill="1" applyBorder="1" applyAlignment="1" applyProtection="1">
      <alignment horizontal="center"/>
    </xf>
    <xf numFmtId="164" fontId="9" fillId="6" borderId="67" xfId="0" applyNumberFormat="1" applyFont="1" applyFill="1" applyBorder="1" applyAlignment="1" applyProtection="1">
      <alignment horizontal="center"/>
    </xf>
    <xf numFmtId="164" fontId="9" fillId="6" borderId="68" xfId="0" applyNumberFormat="1" applyFont="1" applyFill="1" applyBorder="1" applyAlignment="1" applyProtection="1">
      <alignment horizontal="center"/>
    </xf>
    <xf numFmtId="44" fontId="9" fillId="6" borderId="69" xfId="0" applyNumberFormat="1" applyFont="1" applyFill="1" applyBorder="1" applyProtection="1"/>
    <xf numFmtId="0" fontId="9" fillId="6" borderId="50" xfId="0" applyFont="1" applyFill="1" applyBorder="1" applyAlignment="1" applyProtection="1">
      <alignment horizontal="center"/>
    </xf>
    <xf numFmtId="164" fontId="9" fillId="6" borderId="55" xfId="0" applyNumberFormat="1" applyFont="1" applyFill="1" applyBorder="1" applyAlignment="1" applyProtection="1">
      <alignment horizontal="center"/>
    </xf>
    <xf numFmtId="166" fontId="9" fillId="6" borderId="32" xfId="0" applyNumberFormat="1" applyFont="1" applyFill="1" applyBorder="1" applyAlignment="1" applyProtection="1">
      <alignment horizontal="center"/>
    </xf>
    <xf numFmtId="166" fontId="9" fillId="6" borderId="67" xfId="0" applyNumberFormat="1" applyFont="1" applyFill="1" applyBorder="1" applyAlignment="1" applyProtection="1">
      <alignment horizontal="center"/>
    </xf>
    <xf numFmtId="166" fontId="9" fillId="6" borderId="54" xfId="0" applyNumberFormat="1" applyFont="1" applyFill="1" applyBorder="1" applyAlignment="1" applyProtection="1">
      <alignment horizontal="center"/>
    </xf>
    <xf numFmtId="44" fontId="9" fillId="3" borderId="67" xfId="2" applyFont="1" applyFill="1" applyBorder="1" applyProtection="1">
      <protection locked="0"/>
    </xf>
    <xf numFmtId="1" fontId="9" fillId="0" borderId="54" xfId="2" applyNumberFormat="1" applyFont="1" applyFill="1" applyBorder="1" applyAlignment="1" applyProtection="1">
      <alignment horizontal="center"/>
    </xf>
    <xf numFmtId="1" fontId="9" fillId="0" borderId="67" xfId="2" applyNumberFormat="1" applyFont="1" applyFill="1" applyBorder="1" applyAlignment="1" applyProtection="1">
      <alignment horizontal="center"/>
    </xf>
    <xf numFmtId="0" fontId="9" fillId="2" borderId="17" xfId="0" applyFont="1" applyFill="1" applyBorder="1" applyAlignment="1" applyProtection="1">
      <alignment horizontal="left"/>
    </xf>
    <xf numFmtId="44" fontId="9" fillId="3" borderId="54" xfId="2" applyFont="1" applyFill="1" applyBorder="1" applyProtection="1">
      <protection locked="0"/>
    </xf>
    <xf numFmtId="165" fontId="9" fillId="5" borderId="31" xfId="5" applyNumberFormat="1" applyFont="1" applyFill="1" applyBorder="1" applyProtection="1"/>
    <xf numFmtId="44" fontId="9" fillId="4" borderId="7" xfId="2" applyFont="1" applyFill="1" applyBorder="1" applyProtection="1"/>
    <xf numFmtId="165" fontId="9" fillId="5" borderId="7" xfId="5" applyNumberFormat="1" applyFont="1" applyFill="1" applyBorder="1" applyProtection="1"/>
    <xf numFmtId="165" fontId="9" fillId="5" borderId="36" xfId="5" applyNumberFormat="1" applyFont="1" applyFill="1" applyBorder="1" applyProtection="1"/>
    <xf numFmtId="164" fontId="9" fillId="6" borderId="70" xfId="0" applyNumberFormat="1" applyFont="1" applyFill="1" applyBorder="1" applyAlignment="1" applyProtection="1">
      <alignment horizontal="center"/>
    </xf>
    <xf numFmtId="164" fontId="9" fillId="6" borderId="57" xfId="0" applyNumberFormat="1" applyFont="1" applyFill="1" applyBorder="1" applyAlignment="1" applyProtection="1">
      <alignment horizontal="center"/>
    </xf>
    <xf numFmtId="44" fontId="9" fillId="5" borderId="30" xfId="2" applyFont="1" applyFill="1" applyBorder="1" applyProtection="1"/>
    <xf numFmtId="165" fontId="9" fillId="2" borderId="54" xfId="5" applyNumberFormat="1" applyFont="1" applyFill="1" applyBorder="1" applyProtection="1"/>
    <xf numFmtId="44" fontId="9" fillId="5" borderId="27" xfId="2" applyFont="1" applyFill="1" applyBorder="1" applyProtection="1"/>
    <xf numFmtId="44" fontId="9" fillId="5" borderId="24" xfId="2" applyFont="1" applyFill="1" applyBorder="1" applyProtection="1"/>
    <xf numFmtId="164" fontId="9" fillId="6" borderId="71" xfId="0" applyNumberFormat="1" applyFont="1" applyFill="1" applyBorder="1" applyAlignment="1" applyProtection="1">
      <alignment horizontal="center"/>
    </xf>
    <xf numFmtId="0" fontId="9" fillId="6" borderId="35" xfId="0" applyFont="1" applyFill="1" applyBorder="1" applyAlignment="1" applyProtection="1">
      <alignment horizontal="center"/>
    </xf>
    <xf numFmtId="44" fontId="9" fillId="6" borderId="45" xfId="0" applyNumberFormat="1" applyFont="1" applyFill="1" applyBorder="1" applyProtection="1"/>
    <xf numFmtId="0" fontId="9" fillId="4" borderId="40" xfId="0" applyFont="1" applyFill="1" applyBorder="1" applyAlignment="1" applyProtection="1">
      <alignment horizontal="center"/>
    </xf>
    <xf numFmtId="44" fontId="9" fillId="5" borderId="13" xfId="0" applyNumberFormat="1" applyFont="1" applyFill="1" applyBorder="1" applyProtection="1"/>
    <xf numFmtId="2" fontId="9" fillId="5" borderId="0" xfId="5" applyNumberFormat="1" applyFont="1" applyFill="1" applyBorder="1" applyAlignment="1" applyProtection="1">
      <alignment horizontal="center"/>
    </xf>
    <xf numFmtId="2" fontId="9" fillId="5" borderId="1" xfId="5" applyNumberFormat="1" applyFont="1" applyFill="1" applyBorder="1" applyAlignment="1" applyProtection="1">
      <alignment horizontal="center"/>
    </xf>
    <xf numFmtId="1" fontId="9" fillId="2" borderId="44" xfId="5" applyNumberFormat="1" applyFont="1" applyFill="1" applyBorder="1" applyAlignment="1" applyProtection="1">
      <alignment horizontal="center"/>
    </xf>
    <xf numFmtId="1" fontId="9" fillId="2" borderId="44" xfId="2" applyNumberFormat="1" applyFont="1" applyFill="1" applyBorder="1" applyAlignment="1" applyProtection="1">
      <alignment horizontal="center"/>
    </xf>
    <xf numFmtId="2" fontId="9" fillId="4" borderId="22" xfId="2" applyNumberFormat="1" applyFont="1" applyFill="1" applyBorder="1" applyAlignment="1" applyProtection="1">
      <alignment horizontal="center"/>
    </xf>
    <xf numFmtId="1" fontId="9" fillId="0" borderId="35" xfId="2" applyNumberFormat="1" applyFont="1" applyFill="1" applyBorder="1" applyAlignment="1" applyProtection="1">
      <alignment horizontal="center"/>
    </xf>
    <xf numFmtId="44" fontId="9" fillId="6" borderId="47" xfId="0" applyNumberFormat="1" applyFont="1" applyFill="1" applyBorder="1" applyProtection="1"/>
    <xf numFmtId="1" fontId="9" fillId="2" borderId="31" xfId="2" applyNumberFormat="1" applyFont="1" applyFill="1" applyBorder="1" applyAlignment="1" applyProtection="1">
      <alignment horizontal="center"/>
    </xf>
    <xf numFmtId="1" fontId="9" fillId="2" borderId="53" xfId="2" applyNumberFormat="1" applyFont="1" applyFill="1" applyBorder="1" applyAlignment="1" applyProtection="1">
      <alignment horizontal="center"/>
    </xf>
    <xf numFmtId="0" fontId="9" fillId="6" borderId="52" xfId="0" applyFont="1" applyFill="1" applyBorder="1" applyAlignment="1" applyProtection="1">
      <alignment horizontal="center"/>
    </xf>
    <xf numFmtId="44" fontId="9" fillId="6" borderId="61" xfId="0" applyNumberFormat="1" applyFont="1" applyFill="1" applyBorder="1" applyProtection="1"/>
    <xf numFmtId="1" fontId="9" fillId="2" borderId="64" xfId="2" applyNumberFormat="1" applyFont="1" applyFill="1" applyBorder="1" applyAlignment="1" applyProtection="1">
      <alignment horizontal="center"/>
    </xf>
    <xf numFmtId="44" fontId="9" fillId="6" borderId="37" xfId="0" applyNumberFormat="1" applyFont="1" applyFill="1" applyBorder="1" applyProtection="1"/>
    <xf numFmtId="1" fontId="9" fillId="2" borderId="63" xfId="2" applyNumberFormat="1" applyFont="1" applyFill="1" applyBorder="1" applyAlignment="1" applyProtection="1">
      <alignment horizontal="center"/>
    </xf>
    <xf numFmtId="1" fontId="9" fillId="2" borderId="36" xfId="2" applyNumberFormat="1" applyFont="1" applyFill="1" applyBorder="1" applyAlignment="1" applyProtection="1">
      <alignment horizontal="center"/>
    </xf>
    <xf numFmtId="9" fontId="9" fillId="2" borderId="66" xfId="2" applyNumberFormat="1" applyFont="1" applyFill="1" applyBorder="1" applyProtection="1"/>
    <xf numFmtId="164" fontId="9" fillId="6" borderId="39" xfId="0" applyNumberFormat="1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6" borderId="69" xfId="0" applyFont="1" applyFill="1" applyBorder="1" applyAlignment="1" applyProtection="1">
      <alignment horizontal="center"/>
    </xf>
    <xf numFmtId="2" fontId="9" fillId="5" borderId="30" xfId="2" applyNumberFormat="1" applyFont="1" applyFill="1" applyBorder="1" applyAlignment="1" applyProtection="1">
      <alignment horizontal="center"/>
    </xf>
    <xf numFmtId="2" fontId="9" fillId="5" borderId="22" xfId="2" applyNumberFormat="1" applyFont="1" applyFill="1" applyBorder="1" applyAlignment="1" applyProtection="1">
      <alignment horizontal="center"/>
    </xf>
    <xf numFmtId="44" fontId="9" fillId="6" borderId="44" xfId="0" applyNumberFormat="1" applyFont="1" applyFill="1" applyBorder="1" applyProtection="1"/>
    <xf numFmtId="1" fontId="9" fillId="0" borderId="44" xfId="2" applyNumberFormat="1" applyFont="1" applyFill="1" applyBorder="1" applyAlignment="1" applyProtection="1">
      <alignment horizontal="center"/>
    </xf>
    <xf numFmtId="1" fontId="9" fillId="0" borderId="20" xfId="2" applyNumberFormat="1" applyFont="1" applyFill="1" applyBorder="1" applyAlignment="1" applyProtection="1">
      <alignment horizontal="center"/>
    </xf>
    <xf numFmtId="1" fontId="9" fillId="0" borderId="59" xfId="2" applyNumberFormat="1" applyFont="1" applyFill="1" applyBorder="1" applyAlignment="1" applyProtection="1">
      <alignment horizontal="center"/>
    </xf>
    <xf numFmtId="0" fontId="9" fillId="6" borderId="72" xfId="0" applyFont="1" applyFill="1" applyBorder="1" applyAlignment="1" applyProtection="1">
      <alignment horizontal="center"/>
    </xf>
    <xf numFmtId="166" fontId="9" fillId="6" borderId="55" xfId="0" applyNumberFormat="1" applyFont="1" applyFill="1" applyBorder="1" applyAlignment="1" applyProtection="1">
      <alignment horizontal="center"/>
    </xf>
    <xf numFmtId="166" fontId="9" fillId="5" borderId="0" xfId="0" applyNumberFormat="1" applyFont="1" applyFill="1" applyBorder="1" applyAlignment="1" applyProtection="1">
      <alignment horizontal="center"/>
    </xf>
    <xf numFmtId="14" fontId="8" fillId="3" borderId="5" xfId="2" applyNumberFormat="1" applyFont="1" applyFill="1" applyBorder="1" applyProtection="1">
      <protection locked="0"/>
    </xf>
    <xf numFmtId="0" fontId="27" fillId="3" borderId="52" xfId="2" applyNumberFormat="1" applyFont="1" applyFill="1" applyBorder="1" applyAlignment="1" applyProtection="1">
      <alignment horizontal="center"/>
      <protection locked="0"/>
    </xf>
    <xf numFmtId="9" fontId="8" fillId="3" borderId="52" xfId="2" applyNumberFormat="1" applyFont="1" applyFill="1" applyBorder="1" applyProtection="1">
      <protection locked="0"/>
    </xf>
    <xf numFmtId="9" fontId="9" fillId="5" borderId="5" xfId="2" applyNumberFormat="1" applyFont="1" applyFill="1" applyBorder="1" applyProtection="1"/>
    <xf numFmtId="166" fontId="9" fillId="5" borderId="5" xfId="0" applyNumberFormat="1" applyFont="1" applyFill="1" applyBorder="1" applyAlignment="1" applyProtection="1">
      <alignment horizontal="center"/>
    </xf>
    <xf numFmtId="0" fontId="1" fillId="7" borderId="40" xfId="0" applyFont="1" applyFill="1" applyBorder="1" applyAlignment="1" applyProtection="1">
      <alignment horizontal="left"/>
    </xf>
    <xf numFmtId="0" fontId="1" fillId="7" borderId="9" xfId="0" applyFont="1" applyFill="1" applyBorder="1" applyProtection="1"/>
    <xf numFmtId="0" fontId="1" fillId="7" borderId="8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8" xfId="0" applyFont="1" applyFill="1" applyBorder="1" applyAlignment="1" applyProtection="1"/>
    <xf numFmtId="164" fontId="1" fillId="6" borderId="10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164" fontId="1" fillId="6" borderId="0" xfId="0" applyNumberFormat="1" applyFont="1" applyFill="1" applyBorder="1" applyAlignment="1" applyProtection="1">
      <alignment horizontal="center"/>
    </xf>
    <xf numFmtId="166" fontId="1" fillId="6" borderId="14" xfId="0" applyNumberFormat="1" applyFont="1" applyFill="1" applyBorder="1" applyAlignment="1" applyProtection="1">
      <alignment horizontal="center"/>
    </xf>
    <xf numFmtId="1" fontId="24" fillId="5" borderId="0" xfId="2" applyNumberFormat="1" applyFont="1" applyFill="1" applyBorder="1" applyAlignment="1" applyProtection="1">
      <alignment horizontal="center"/>
    </xf>
    <xf numFmtId="44" fontId="9" fillId="9" borderId="44" xfId="2" applyFont="1" applyFill="1" applyBorder="1" applyProtection="1">
      <protection locked="0"/>
    </xf>
    <xf numFmtId="0" fontId="5" fillId="7" borderId="0" xfId="0" applyFont="1" applyFill="1" applyBorder="1" applyAlignment="1" applyProtection="1">
      <alignment horizontal="right"/>
    </xf>
    <xf numFmtId="0" fontId="9" fillId="7" borderId="19" xfId="0" applyFont="1" applyFill="1" applyBorder="1" applyAlignment="1" applyProtection="1">
      <alignment horizontal="center"/>
    </xf>
    <xf numFmtId="166" fontId="9" fillId="7" borderId="0" xfId="0" applyNumberFormat="1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left"/>
    </xf>
    <xf numFmtId="166" fontId="9" fillId="7" borderId="4" xfId="0" applyNumberFormat="1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left"/>
    </xf>
    <xf numFmtId="0" fontId="9" fillId="7" borderId="10" xfId="0" applyFont="1" applyFill="1" applyBorder="1" applyAlignment="1" applyProtection="1">
      <alignment horizontal="left"/>
    </xf>
    <xf numFmtId="166" fontId="9" fillId="7" borderId="10" xfId="0" applyNumberFormat="1" applyFont="1" applyFill="1" applyBorder="1" applyAlignment="1" applyProtection="1">
      <alignment horizontal="center"/>
    </xf>
    <xf numFmtId="9" fontId="9" fillId="7" borderId="5" xfId="5" applyFont="1" applyFill="1" applyBorder="1" applyProtection="1"/>
    <xf numFmtId="44" fontId="9" fillId="5" borderId="29" xfId="0" applyNumberFormat="1" applyFont="1" applyFill="1" applyBorder="1" applyProtection="1"/>
    <xf numFmtId="1" fontId="1" fillId="5" borderId="49" xfId="2" applyNumberFormat="1" applyFont="1" applyFill="1" applyBorder="1" applyAlignment="1" applyProtection="1">
      <alignment horizontal="center"/>
    </xf>
    <xf numFmtId="9" fontId="9" fillId="2" borderId="22" xfId="2" applyNumberFormat="1" applyFont="1" applyFill="1" applyBorder="1" applyProtection="1"/>
    <xf numFmtId="44" fontId="9" fillId="6" borderId="46" xfId="0" applyNumberFormat="1" applyFont="1" applyFill="1" applyBorder="1" applyProtection="1"/>
    <xf numFmtId="0" fontId="1" fillId="7" borderId="2" xfId="0" applyFont="1" applyFill="1" applyBorder="1" applyAlignment="1" applyProtection="1">
      <alignment horizontal="left"/>
    </xf>
    <xf numFmtId="0" fontId="9" fillId="5" borderId="45" xfId="0" applyFont="1" applyFill="1" applyBorder="1" applyAlignment="1" applyProtection="1">
      <alignment horizontal="center"/>
    </xf>
    <xf numFmtId="1" fontId="23" fillId="0" borderId="44" xfId="2" applyNumberFormat="1" applyFont="1" applyFill="1" applyBorder="1" applyAlignment="1" applyProtection="1">
      <alignment horizontal="center"/>
    </xf>
    <xf numFmtId="0" fontId="23" fillId="0" borderId="4" xfId="0" applyFont="1" applyFill="1" applyBorder="1" applyAlignment="1" applyProtection="1">
      <alignment horizontal="left"/>
    </xf>
    <xf numFmtId="0" fontId="23" fillId="7" borderId="4" xfId="0" applyFont="1" applyFill="1" applyBorder="1" applyAlignment="1" applyProtection="1">
      <alignment horizontal="left"/>
    </xf>
    <xf numFmtId="166" fontId="1" fillId="2" borderId="18" xfId="0" applyNumberFormat="1" applyFont="1" applyFill="1" applyBorder="1" applyAlignment="1" applyProtection="1">
      <alignment horizontal="center"/>
    </xf>
    <xf numFmtId="9" fontId="9" fillId="0" borderId="3" xfId="2" applyNumberFormat="1" applyFont="1" applyFill="1" applyBorder="1" applyProtection="1"/>
    <xf numFmtId="0" fontId="23" fillId="0" borderId="1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3" xfId="0" applyFont="1" applyFill="1" applyBorder="1" applyAlignment="1" applyProtection="1">
      <alignment horizontal="left"/>
    </xf>
    <xf numFmtId="1" fontId="9" fillId="0" borderId="5" xfId="2" applyNumberFormat="1" applyFont="1" applyFill="1" applyBorder="1" applyAlignment="1" applyProtection="1">
      <alignment horizontal="center"/>
    </xf>
    <xf numFmtId="9" fontId="9" fillId="7" borderId="0" xfId="2" applyNumberFormat="1" applyFont="1" applyFill="1" applyBorder="1" applyProtection="1"/>
    <xf numFmtId="9" fontId="9" fillId="7" borderId="5" xfId="2" applyNumberFormat="1" applyFont="1" applyFill="1" applyBorder="1" applyProtection="1"/>
    <xf numFmtId="0" fontId="9" fillId="0" borderId="19" xfId="0" applyFont="1" applyFill="1" applyBorder="1" applyAlignment="1" applyProtection="1">
      <alignment horizontal="center"/>
    </xf>
    <xf numFmtId="0" fontId="1" fillId="5" borderId="22" xfId="0" applyFont="1" applyFill="1" applyBorder="1" applyAlignment="1" applyProtection="1">
      <alignment horizontal="center"/>
    </xf>
    <xf numFmtId="1" fontId="1" fillId="5" borderId="0" xfId="2" applyNumberFormat="1" applyFont="1" applyFill="1" applyBorder="1" applyAlignment="1" applyProtection="1">
      <alignment horizontal="center"/>
    </xf>
    <xf numFmtId="1" fontId="1" fillId="5" borderId="1" xfId="2" applyNumberFormat="1" applyFont="1" applyFill="1" applyBorder="1" applyAlignment="1" applyProtection="1">
      <alignment horizontal="center"/>
    </xf>
    <xf numFmtId="0" fontId="1" fillId="6" borderId="6" xfId="0" applyFont="1" applyFill="1" applyBorder="1" applyAlignment="1" applyProtection="1">
      <alignment horizontal="center"/>
    </xf>
    <xf numFmtId="44" fontId="1" fillId="6" borderId="0" xfId="0" applyNumberFormat="1" applyFont="1" applyFill="1" applyBorder="1" applyProtection="1"/>
    <xf numFmtId="0" fontId="1" fillId="6" borderId="44" xfId="0" applyFont="1" applyFill="1" applyBorder="1" applyAlignment="1" applyProtection="1">
      <alignment horizontal="center"/>
    </xf>
    <xf numFmtId="44" fontId="1" fillId="6" borderId="29" xfId="0" applyNumberFormat="1" applyFont="1" applyFill="1" applyBorder="1" applyProtection="1"/>
    <xf numFmtId="0" fontId="1" fillId="5" borderId="30" xfId="0" applyFont="1" applyFill="1" applyBorder="1" applyAlignment="1" applyProtection="1"/>
    <xf numFmtId="2" fontId="1" fillId="4" borderId="13" xfId="2" applyNumberFormat="1" applyFont="1" applyFill="1" applyBorder="1" applyAlignment="1" applyProtection="1">
      <alignment horizontal="center"/>
    </xf>
    <xf numFmtId="2" fontId="1" fillId="5" borderId="0" xfId="0" applyNumberFormat="1" applyFont="1" applyFill="1" applyBorder="1" applyAlignment="1" applyProtection="1">
      <alignment horizontal="center"/>
    </xf>
    <xf numFmtId="2" fontId="1" fillId="5" borderId="22" xfId="5" applyNumberFormat="1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/>
    </xf>
    <xf numFmtId="44" fontId="1" fillId="5" borderId="13" xfId="0" applyNumberFormat="1" applyFont="1" applyFill="1" applyBorder="1" applyProtection="1"/>
    <xf numFmtId="44" fontId="1" fillId="5" borderId="0" xfId="0" applyNumberFormat="1" applyFont="1" applyFill="1" applyBorder="1" applyProtection="1"/>
    <xf numFmtId="44" fontId="1" fillId="5" borderId="1" xfId="0" applyNumberFormat="1" applyFont="1" applyFill="1" applyBorder="1" applyProtection="1"/>
    <xf numFmtId="0" fontId="1" fillId="5" borderId="23" xfId="0" applyFont="1" applyFill="1" applyBorder="1" applyProtection="1"/>
    <xf numFmtId="0" fontId="1" fillId="5" borderId="1" xfId="0" applyFont="1" applyFill="1" applyBorder="1" applyProtection="1"/>
    <xf numFmtId="1" fontId="1" fillId="0" borderId="44" xfId="2" applyNumberFormat="1" applyFont="1" applyFill="1" applyBorder="1" applyAlignment="1" applyProtection="1">
      <alignment horizontal="center"/>
    </xf>
    <xf numFmtId="44" fontId="1" fillId="5" borderId="46" xfId="0" applyNumberFormat="1" applyFont="1" applyFill="1" applyBorder="1" applyProtection="1"/>
    <xf numFmtId="1" fontId="1" fillId="5" borderId="29" xfId="2" applyNumberFormat="1" applyFont="1" applyFill="1" applyBorder="1" applyAlignment="1" applyProtection="1">
      <alignment horizontal="center"/>
    </xf>
    <xf numFmtId="0" fontId="1" fillId="6" borderId="44" xfId="0" applyNumberFormat="1" applyFont="1" applyFill="1" applyBorder="1" applyAlignment="1" applyProtection="1">
      <alignment horizontal="center"/>
    </xf>
    <xf numFmtId="166" fontId="1" fillId="6" borderId="45" xfId="0" applyNumberFormat="1" applyFont="1" applyFill="1" applyBorder="1" applyAlignment="1" applyProtection="1">
      <alignment horizontal="center"/>
    </xf>
    <xf numFmtId="2" fontId="1" fillId="4" borderId="23" xfId="2" applyNumberFormat="1" applyFont="1" applyFill="1" applyBorder="1" applyAlignment="1" applyProtection="1">
      <alignment horizontal="center"/>
    </xf>
    <xf numFmtId="0" fontId="1" fillId="6" borderId="59" xfId="0" applyFont="1" applyFill="1" applyBorder="1" applyAlignment="1" applyProtection="1">
      <alignment horizontal="center"/>
    </xf>
    <xf numFmtId="44" fontId="1" fillId="6" borderId="45" xfId="0" applyNumberFormat="1" applyFont="1" applyFill="1" applyBorder="1" applyProtection="1"/>
    <xf numFmtId="164" fontId="1" fillId="6" borderId="0" xfId="0" applyNumberFormat="1" applyFont="1" applyFill="1" applyBorder="1" applyProtection="1"/>
    <xf numFmtId="1" fontId="1" fillId="0" borderId="14" xfId="2" applyNumberFormat="1" applyFont="1" applyFill="1" applyBorder="1" applyAlignment="1" applyProtection="1">
      <alignment horizontal="center"/>
    </xf>
    <xf numFmtId="0" fontId="23" fillId="7" borderId="10" xfId="0" applyFont="1" applyFill="1" applyBorder="1" applyAlignment="1" applyProtection="1">
      <alignment horizontal="left"/>
    </xf>
    <xf numFmtId="0" fontId="5" fillId="7" borderId="8" xfId="0" applyFont="1" applyFill="1" applyBorder="1" applyAlignment="1" applyProtection="1">
      <alignment horizontal="right"/>
    </xf>
    <xf numFmtId="0" fontId="9" fillId="7" borderId="10" xfId="0" applyFont="1" applyFill="1" applyBorder="1" applyProtection="1"/>
    <xf numFmtId="0" fontId="1" fillId="7" borderId="11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9" fillId="2" borderId="8" xfId="0" applyFont="1" applyFill="1" applyBorder="1" applyProtection="1"/>
    <xf numFmtId="0" fontId="1" fillId="10" borderId="2" xfId="0" applyFont="1" applyFill="1" applyBorder="1" applyAlignment="1" applyProtection="1">
      <alignment horizontal="left"/>
    </xf>
    <xf numFmtId="0" fontId="5" fillId="10" borderId="2" xfId="0" applyFont="1" applyFill="1" applyBorder="1" applyAlignment="1" applyProtection="1">
      <alignment horizontal="right"/>
    </xf>
    <xf numFmtId="0" fontId="5" fillId="10" borderId="3" xfId="0" applyFont="1" applyFill="1" applyBorder="1" applyAlignment="1" applyProtection="1">
      <alignment horizontal="right"/>
    </xf>
    <xf numFmtId="0" fontId="9" fillId="10" borderId="8" xfId="0" applyFont="1" applyFill="1" applyBorder="1" applyAlignment="1" applyProtection="1">
      <alignment horizontal="center"/>
    </xf>
    <xf numFmtId="0" fontId="1" fillId="10" borderId="4" xfId="0" applyFont="1" applyFill="1" applyBorder="1" applyAlignment="1" applyProtection="1">
      <alignment horizontal="left"/>
    </xf>
    <xf numFmtId="0" fontId="28" fillId="10" borderId="4" xfId="0" applyFont="1" applyFill="1" applyBorder="1" applyAlignment="1" applyProtection="1">
      <alignment horizontal="left"/>
    </xf>
    <xf numFmtId="0" fontId="5" fillId="10" borderId="0" xfId="0" applyFont="1" applyFill="1" applyBorder="1" applyAlignment="1" applyProtection="1">
      <alignment horizontal="right"/>
    </xf>
    <xf numFmtId="0" fontId="5" fillId="10" borderId="4" xfId="0" applyFont="1" applyFill="1" applyBorder="1" applyAlignment="1" applyProtection="1">
      <alignment horizontal="right"/>
    </xf>
    <xf numFmtId="0" fontId="30" fillId="10" borderId="4" xfId="0" applyFont="1" applyFill="1" applyBorder="1" applyAlignment="1" applyProtection="1">
      <alignment horizontal="left"/>
    </xf>
    <xf numFmtId="0" fontId="9" fillId="10" borderId="2" xfId="0" applyFont="1" applyFill="1" applyBorder="1" applyAlignment="1" applyProtection="1">
      <alignment horizontal="center"/>
    </xf>
    <xf numFmtId="0" fontId="9" fillId="10" borderId="4" xfId="0" applyFont="1" applyFill="1" applyBorder="1" applyAlignment="1" applyProtection="1">
      <alignment horizontal="center"/>
    </xf>
    <xf numFmtId="0" fontId="9" fillId="10" borderId="3" xfId="0" applyFont="1" applyFill="1" applyBorder="1" applyAlignment="1" applyProtection="1">
      <alignment horizontal="center"/>
    </xf>
    <xf numFmtId="0" fontId="23" fillId="0" borderId="18" xfId="0" applyFont="1" applyFill="1" applyBorder="1" applyAlignment="1" applyProtection="1">
      <alignment horizontal="left"/>
    </xf>
    <xf numFmtId="44" fontId="31" fillId="3" borderId="32" xfId="2" applyFont="1" applyFill="1" applyBorder="1" applyAlignment="1" applyProtection="1">
      <alignment horizontal="center" wrapText="1"/>
    </xf>
    <xf numFmtId="0" fontId="32" fillId="0" borderId="0" xfId="0" applyFont="1" applyProtection="1"/>
    <xf numFmtId="0" fontId="31" fillId="6" borderId="30" xfId="0" applyFont="1" applyFill="1" applyBorder="1" applyAlignment="1" applyProtection="1">
      <alignment horizontal="center"/>
    </xf>
    <xf numFmtId="0" fontId="31" fillId="6" borderId="46" xfId="0" applyFont="1" applyFill="1" applyBorder="1" applyAlignment="1" applyProtection="1"/>
    <xf numFmtId="0" fontId="31" fillId="6" borderId="29" xfId="0" applyFont="1" applyFill="1" applyBorder="1" applyAlignment="1" applyProtection="1"/>
    <xf numFmtId="0" fontId="31" fillId="6" borderId="45" xfId="0" applyFont="1" applyFill="1" applyBorder="1" applyAlignment="1" applyProtection="1"/>
    <xf numFmtId="0" fontId="2" fillId="6" borderId="29" xfId="0" applyFont="1" applyFill="1" applyBorder="1" applyAlignment="1" applyProtection="1"/>
    <xf numFmtId="0" fontId="31" fillId="6" borderId="7" xfId="0" applyFont="1" applyFill="1" applyBorder="1" applyAlignment="1" applyProtection="1"/>
    <xf numFmtId="166" fontId="9" fillId="6" borderId="3" xfId="0" applyNumberFormat="1" applyFont="1" applyFill="1" applyBorder="1" applyAlignment="1" applyProtection="1">
      <alignment horizontal="center"/>
    </xf>
    <xf numFmtId="0" fontId="9" fillId="11" borderId="29" xfId="0" applyFont="1" applyFill="1" applyBorder="1" applyAlignment="1" applyProtection="1">
      <alignment horizontal="left"/>
    </xf>
    <xf numFmtId="0" fontId="1" fillId="11" borderId="29" xfId="0" applyFont="1" applyFill="1" applyBorder="1" applyAlignment="1" applyProtection="1">
      <alignment horizontal="center"/>
    </xf>
    <xf numFmtId="0" fontId="9" fillId="11" borderId="29" xfId="0" applyFont="1" applyFill="1" applyBorder="1" applyAlignment="1" applyProtection="1">
      <alignment horizontal="center"/>
    </xf>
    <xf numFmtId="44" fontId="9" fillId="6" borderId="42" xfId="0" applyNumberFormat="1" applyFont="1" applyFill="1" applyBorder="1" applyProtection="1"/>
    <xf numFmtId="1" fontId="9" fillId="0" borderId="68" xfId="2" applyNumberFormat="1" applyFont="1" applyFill="1" applyBorder="1" applyAlignment="1" applyProtection="1">
      <alignment horizontal="center"/>
    </xf>
    <xf numFmtId="166" fontId="9" fillId="2" borderId="60" xfId="0" applyNumberFormat="1" applyFont="1" applyFill="1" applyBorder="1" applyAlignment="1" applyProtection="1">
      <alignment horizontal="center"/>
    </xf>
    <xf numFmtId="166" fontId="9" fillId="6" borderId="19" xfId="0" applyNumberFormat="1" applyFont="1" applyFill="1" applyBorder="1" applyAlignment="1" applyProtection="1">
      <alignment horizontal="center"/>
    </xf>
    <xf numFmtId="166" fontId="9" fillId="5" borderId="11" xfId="0" applyNumberFormat="1" applyFont="1" applyFill="1" applyBorder="1" applyAlignment="1" applyProtection="1">
      <alignment horizontal="center"/>
    </xf>
    <xf numFmtId="0" fontId="9" fillId="6" borderId="59" xfId="0" applyFont="1" applyFill="1" applyBorder="1" applyAlignment="1" applyProtection="1">
      <alignment horizontal="center"/>
    </xf>
    <xf numFmtId="1" fontId="9" fillId="0" borderId="11" xfId="2" applyNumberFormat="1" applyFont="1" applyFill="1" applyBorder="1" applyAlignment="1" applyProtection="1">
      <alignment horizontal="center"/>
    </xf>
    <xf numFmtId="0" fontId="5" fillId="11" borderId="2" xfId="0" applyFont="1" applyFill="1" applyBorder="1" applyAlignment="1" applyProtection="1">
      <alignment horizontal="right"/>
    </xf>
    <xf numFmtId="166" fontId="9" fillId="2" borderId="27" xfId="0" applyNumberFormat="1" applyFont="1" applyFill="1" applyBorder="1" applyAlignment="1" applyProtection="1">
      <alignment horizontal="center"/>
    </xf>
    <xf numFmtId="0" fontId="28" fillId="11" borderId="4" xfId="0" applyFont="1" applyFill="1" applyBorder="1" applyAlignment="1" applyProtection="1">
      <alignment horizontal="left"/>
    </xf>
    <xf numFmtId="0" fontId="1" fillId="11" borderId="4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44" fontId="9" fillId="3" borderId="5" xfId="2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</xf>
    <xf numFmtId="166" fontId="9" fillId="0" borderId="18" xfId="0" applyNumberFormat="1" applyFont="1" applyFill="1" applyBorder="1" applyAlignment="1" applyProtection="1">
      <alignment horizontal="center"/>
    </xf>
    <xf numFmtId="166" fontId="1" fillId="6" borderId="73" xfId="0" applyNumberFormat="1" applyFont="1" applyFill="1" applyBorder="1" applyAlignment="1" applyProtection="1">
      <alignment horizontal="center"/>
    </xf>
    <xf numFmtId="166" fontId="1" fillId="6" borderId="56" xfId="0" applyNumberFormat="1" applyFont="1" applyFill="1" applyBorder="1" applyAlignment="1" applyProtection="1">
      <alignment horizontal="center"/>
    </xf>
    <xf numFmtId="9" fontId="9" fillId="0" borderId="9" xfId="2" applyNumberFormat="1" applyFont="1" applyFill="1" applyBorder="1" applyProtection="1"/>
    <xf numFmtId="0" fontId="5" fillId="3" borderId="20" xfId="0" applyFont="1" applyFill="1" applyBorder="1" applyAlignment="1" applyProtection="1">
      <alignment horizontal="center" wrapText="1"/>
    </xf>
    <xf numFmtId="0" fontId="5" fillId="6" borderId="30" xfId="0" applyFont="1" applyFill="1" applyBorder="1" applyAlignment="1" applyProtection="1">
      <alignment horizontal="center" wrapText="1"/>
    </xf>
    <xf numFmtId="0" fontId="5" fillId="6" borderId="26" xfId="0" applyFont="1" applyFill="1" applyBorder="1" applyAlignment="1" applyProtection="1">
      <alignment horizontal="center" wrapText="1"/>
    </xf>
    <xf numFmtId="0" fontId="5" fillId="5" borderId="18" xfId="0" applyFont="1" applyFill="1" applyBorder="1" applyAlignment="1" applyProtection="1">
      <alignment horizontal="center" wrapText="1"/>
    </xf>
    <xf numFmtId="164" fontId="9" fillId="4" borderId="13" xfId="0" applyNumberFormat="1" applyFont="1" applyFill="1" applyBorder="1" applyAlignment="1" applyProtection="1">
      <alignment horizontal="center"/>
    </xf>
    <xf numFmtId="164" fontId="9" fillId="4" borderId="1" xfId="0" applyNumberFormat="1" applyFont="1" applyFill="1" applyBorder="1" applyAlignment="1" applyProtection="1">
      <alignment horizontal="center"/>
    </xf>
    <xf numFmtId="10" fontId="9" fillId="0" borderId="29" xfId="2" applyNumberFormat="1" applyFont="1" applyFill="1" applyBorder="1" applyProtection="1"/>
    <xf numFmtId="166" fontId="9" fillId="6" borderId="27" xfId="0" applyNumberFormat="1" applyFont="1" applyFill="1" applyBorder="1" applyAlignment="1" applyProtection="1">
      <alignment horizontal="center"/>
    </xf>
    <xf numFmtId="166" fontId="9" fillId="6" borderId="11" xfId="0" applyNumberFormat="1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9" fillId="2" borderId="21" xfId="0" applyFont="1" applyFill="1" applyBorder="1" applyAlignment="1" applyProtection="1">
      <alignment horizontal="center" wrapText="1"/>
    </xf>
    <xf numFmtId="0" fontId="9" fillId="6" borderId="41" xfId="0" applyFont="1" applyFill="1" applyBorder="1" applyAlignment="1" applyProtection="1">
      <alignment horizontal="center"/>
    </xf>
    <xf numFmtId="1" fontId="9" fillId="0" borderId="6" xfId="2" applyNumberFormat="1" applyFont="1" applyFill="1" applyBorder="1" applyAlignment="1" applyProtection="1">
      <alignment horizontal="center"/>
    </xf>
    <xf numFmtId="0" fontId="1" fillId="2" borderId="19" xfId="0" applyFont="1" applyFill="1" applyBorder="1" applyProtection="1"/>
    <xf numFmtId="166" fontId="9" fillId="5" borderId="0" xfId="0" applyNumberFormat="1" applyFont="1" applyFill="1" applyBorder="1" applyProtection="1"/>
    <xf numFmtId="44" fontId="9" fillId="5" borderId="6" xfId="0" applyNumberFormat="1" applyFont="1" applyFill="1" applyBorder="1" applyProtection="1"/>
    <xf numFmtId="0" fontId="9" fillId="5" borderId="6" xfId="0" applyFont="1" applyFill="1" applyBorder="1" applyProtection="1"/>
    <xf numFmtId="0" fontId="9" fillId="5" borderId="17" xfId="0" applyFont="1" applyFill="1" applyBorder="1" applyProtection="1"/>
    <xf numFmtId="2" fontId="9" fillId="5" borderId="22" xfId="0" applyNumberFormat="1" applyFont="1" applyFill="1" applyBorder="1" applyAlignment="1" applyProtection="1">
      <alignment horizontal="center"/>
    </xf>
    <xf numFmtId="44" fontId="9" fillId="5" borderId="36" xfId="0" applyNumberFormat="1" applyFont="1" applyFill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7" fillId="0" borderId="0" xfId="2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4" fontId="27" fillId="0" borderId="0" xfId="2" applyFont="1" applyFill="1" applyBorder="1" applyProtection="1"/>
    <xf numFmtId="0" fontId="0" fillId="2" borderId="8" xfId="0" applyFill="1" applyBorder="1" applyProtection="1"/>
    <xf numFmtId="0" fontId="0" fillId="0" borderId="19" xfId="0" applyBorder="1" applyProtection="1"/>
    <xf numFmtId="43" fontId="7" fillId="2" borderId="0" xfId="1" applyFont="1" applyFill="1" applyBorder="1" applyProtection="1"/>
    <xf numFmtId="0" fontId="1" fillId="0" borderId="10" xfId="0" applyFont="1" applyBorder="1" applyProtection="1"/>
    <xf numFmtId="0" fontId="8" fillId="2" borderId="0" xfId="0" applyFont="1" applyFill="1" applyBorder="1" applyProtection="1"/>
    <xf numFmtId="0" fontId="9" fillId="0" borderId="3" xfId="0" applyFont="1" applyFill="1" applyBorder="1" applyProtection="1"/>
    <xf numFmtId="0" fontId="9" fillId="0" borderId="3" xfId="0" applyFont="1" applyBorder="1" applyProtection="1"/>
    <xf numFmtId="0" fontId="9" fillId="5" borderId="4" xfId="0" applyFont="1" applyFill="1" applyBorder="1" applyProtection="1"/>
    <xf numFmtId="0" fontId="9" fillId="0" borderId="40" xfId="0" applyFont="1" applyBorder="1" applyProtection="1"/>
    <xf numFmtId="0" fontId="22" fillId="0" borderId="0" xfId="0" applyFont="1" applyFill="1" applyProtection="1"/>
    <xf numFmtId="0" fontId="26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164" fontId="24" fillId="5" borderId="0" xfId="0" applyNumberFormat="1" applyFont="1" applyFill="1" applyBorder="1" applyAlignment="1" applyProtection="1">
      <alignment horizontal="right"/>
    </xf>
    <xf numFmtId="164" fontId="9" fillId="6" borderId="23" xfId="0" applyNumberFormat="1" applyFont="1" applyFill="1" applyBorder="1" applyProtection="1"/>
    <xf numFmtId="9" fontId="9" fillId="7" borderId="50" xfId="5" applyFont="1" applyFill="1" applyBorder="1" applyProtection="1"/>
    <xf numFmtId="44" fontId="9" fillId="5" borderId="1" xfId="2" applyFont="1" applyFill="1" applyBorder="1" applyProtection="1"/>
    <xf numFmtId="0" fontId="9" fillId="5" borderId="1" xfId="0" applyFont="1" applyFill="1" applyBorder="1" applyAlignment="1" applyProtection="1">
      <alignment horizontal="center"/>
    </xf>
    <xf numFmtId="164" fontId="9" fillId="6" borderId="46" xfId="0" applyNumberFormat="1" applyFont="1" applyFill="1" applyBorder="1" applyProtection="1"/>
    <xf numFmtId="0" fontId="9" fillId="6" borderId="65" xfId="0" applyFont="1" applyFill="1" applyBorder="1" applyAlignment="1" applyProtection="1">
      <alignment horizontal="center"/>
    </xf>
    <xf numFmtId="44" fontId="9" fillId="6" borderId="72" xfId="0" applyNumberFormat="1" applyFont="1" applyFill="1" applyBorder="1" applyProtection="1"/>
    <xf numFmtId="0" fontId="24" fillId="4" borderId="0" xfId="0" applyNumberFormat="1" applyFont="1" applyFill="1" applyBorder="1" applyProtection="1"/>
    <xf numFmtId="0" fontId="26" fillId="0" borderId="0" xfId="0" applyFont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</xf>
    <xf numFmtId="166" fontId="9" fillId="6" borderId="4" xfId="0" applyNumberFormat="1" applyFont="1" applyFill="1" applyBorder="1" applyAlignment="1" applyProtection="1">
      <alignment horizontal="center"/>
    </xf>
    <xf numFmtId="164" fontId="9" fillId="6" borderId="44" xfId="0" applyNumberFormat="1" applyFont="1" applyFill="1" applyBorder="1" applyAlignment="1" applyProtection="1">
      <alignment horizontal="right"/>
    </xf>
    <xf numFmtId="44" fontId="0" fillId="6" borderId="44" xfId="0" applyNumberFormat="1" applyFill="1" applyBorder="1" applyProtection="1"/>
    <xf numFmtId="0" fontId="1" fillId="2" borderId="11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left"/>
    </xf>
    <xf numFmtId="0" fontId="0" fillId="0" borderId="11" xfId="0" applyBorder="1"/>
    <xf numFmtId="0" fontId="0" fillId="0" borderId="19" xfId="0" applyBorder="1"/>
    <xf numFmtId="0" fontId="1" fillId="7" borderId="5" xfId="0" applyFont="1" applyFill="1" applyBorder="1" applyAlignment="1" applyProtection="1">
      <alignment horizontal="left"/>
    </xf>
    <xf numFmtId="0" fontId="1" fillId="7" borderId="8" xfId="0" applyFont="1" applyFill="1" applyBorder="1" applyAlignment="1" applyProtection="1">
      <alignment horizontal="left"/>
    </xf>
    <xf numFmtId="0" fontId="1" fillId="7" borderId="11" xfId="0" applyFont="1" applyFill="1" applyBorder="1" applyAlignment="1" applyProtection="1">
      <alignment horizontal="left"/>
    </xf>
    <xf numFmtId="0" fontId="1" fillId="7" borderId="19" xfId="0" applyFont="1" applyFill="1" applyBorder="1" applyAlignment="1" applyProtection="1">
      <alignment horizontal="left"/>
    </xf>
    <xf numFmtId="0" fontId="1" fillId="7" borderId="24" xfId="0" applyFont="1" applyFill="1" applyBorder="1" applyAlignment="1" applyProtection="1">
      <alignment horizontal="left"/>
    </xf>
    <xf numFmtId="0" fontId="1" fillId="2" borderId="24" xfId="0" applyFont="1" applyFill="1" applyBorder="1" applyAlignment="1" applyProtection="1">
      <alignment horizontal="left"/>
    </xf>
    <xf numFmtId="44" fontId="1" fillId="5" borderId="0" xfId="2" applyFont="1" applyFill="1" applyBorder="1" applyProtection="1"/>
    <xf numFmtId="0" fontId="1" fillId="5" borderId="0" xfId="0" applyFont="1" applyFill="1" applyBorder="1" applyAlignment="1" applyProtection="1">
      <alignment horizontal="center"/>
    </xf>
    <xf numFmtId="1" fontId="1" fillId="5" borderId="29" xfId="0" applyNumberFormat="1" applyFont="1" applyFill="1" applyBorder="1" applyAlignment="1" applyProtection="1">
      <alignment horizontal="center"/>
    </xf>
    <xf numFmtId="44" fontId="1" fillId="5" borderId="29" xfId="0" applyNumberFormat="1" applyFont="1" applyFill="1" applyBorder="1" applyProtection="1"/>
    <xf numFmtId="44" fontId="1" fillId="5" borderId="7" xfId="0" applyNumberFormat="1" applyFont="1" applyFill="1" applyBorder="1" applyProtection="1"/>
    <xf numFmtId="0" fontId="1" fillId="7" borderId="5" xfId="0" applyFont="1" applyFill="1" applyBorder="1" applyAlignment="1" applyProtection="1">
      <alignment horizontal="center"/>
    </xf>
    <xf numFmtId="44" fontId="1" fillId="3" borderId="44" xfId="2" applyFont="1" applyFill="1" applyBorder="1" applyProtection="1">
      <protection locked="0"/>
    </xf>
    <xf numFmtId="0" fontId="1" fillId="5" borderId="0" xfId="2" applyNumberFormat="1" applyFont="1" applyFill="1" applyBorder="1" applyProtection="1"/>
    <xf numFmtId="164" fontId="1" fillId="6" borderId="20" xfId="0" applyNumberFormat="1" applyFont="1" applyFill="1" applyBorder="1" applyAlignment="1" applyProtection="1">
      <alignment horizontal="center"/>
    </xf>
    <xf numFmtId="1" fontId="1" fillId="6" borderId="45" xfId="0" applyNumberFormat="1" applyFont="1" applyFill="1" applyBorder="1" applyAlignment="1" applyProtection="1">
      <alignment horizontal="center"/>
    </xf>
    <xf numFmtId="1" fontId="1" fillId="2" borderId="44" xfId="2" applyNumberFormat="1" applyFont="1" applyFill="1" applyBorder="1" applyAlignment="1" applyProtection="1">
      <alignment horizontal="center"/>
    </xf>
    <xf numFmtId="0" fontId="1" fillId="5" borderId="7" xfId="0" applyFont="1" applyFill="1" applyBorder="1" applyProtection="1"/>
    <xf numFmtId="164" fontId="1" fillId="2" borderId="4" xfId="0" applyNumberFormat="1" applyFont="1" applyFill="1" applyBorder="1" applyAlignment="1" applyProtection="1">
      <alignment horizontal="center"/>
    </xf>
    <xf numFmtId="164" fontId="1" fillId="5" borderId="0" xfId="0" applyNumberFormat="1" applyFont="1" applyFill="1" applyBorder="1" applyAlignment="1" applyProtection="1">
      <alignment horizontal="right"/>
    </xf>
    <xf numFmtId="0" fontId="5" fillId="7" borderId="2" xfId="0" applyFont="1" applyFill="1" applyBorder="1" applyAlignment="1" applyProtection="1">
      <alignment horizontal="right"/>
    </xf>
    <xf numFmtId="44" fontId="1" fillId="4" borderId="22" xfId="2" applyFont="1" applyFill="1" applyBorder="1" applyProtection="1"/>
    <xf numFmtId="166" fontId="1" fillId="6" borderId="67" xfId="0" applyNumberFormat="1" applyFont="1" applyFill="1" applyBorder="1" applyAlignment="1" applyProtection="1">
      <alignment horizontal="center"/>
    </xf>
    <xf numFmtId="44" fontId="1" fillId="4" borderId="23" xfId="2" applyFont="1" applyFill="1" applyBorder="1" applyProtection="1"/>
    <xf numFmtId="166" fontId="1" fillId="5" borderId="40" xfId="0" applyNumberFormat="1" applyFont="1" applyFill="1" applyBorder="1" applyAlignment="1" applyProtection="1">
      <alignment horizontal="center"/>
    </xf>
    <xf numFmtId="0" fontId="0" fillId="0" borderId="0" xfId="0" quotePrefix="1" applyProtection="1"/>
    <xf numFmtId="0" fontId="9" fillId="10" borderId="4" xfId="0" applyFont="1" applyFill="1" applyBorder="1" applyAlignment="1" applyProtection="1">
      <alignment horizontal="center" wrapText="1"/>
    </xf>
    <xf numFmtId="0" fontId="9" fillId="0" borderId="27" xfId="0" applyFont="1" applyFill="1" applyBorder="1" applyProtection="1"/>
    <xf numFmtId="0" fontId="1" fillId="0" borderId="21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/>
    <xf numFmtId="0" fontId="5" fillId="10" borderId="4" xfId="0" applyFont="1" applyFill="1" applyBorder="1" applyAlignment="1" applyProtection="1">
      <alignment horizontal="center"/>
    </xf>
    <xf numFmtId="0" fontId="1" fillId="10" borderId="4" xfId="0" applyFont="1" applyFill="1" applyBorder="1" applyAlignment="1" applyProtection="1">
      <alignment horizontal="center"/>
    </xf>
    <xf numFmtId="166" fontId="9" fillId="10" borderId="3" xfId="0" applyNumberFormat="1" applyFont="1" applyFill="1" applyBorder="1" applyAlignment="1" applyProtection="1">
      <alignment horizontal="center"/>
    </xf>
    <xf numFmtId="0" fontId="9" fillId="7" borderId="18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left"/>
    </xf>
    <xf numFmtId="0" fontId="9" fillId="10" borderId="4" xfId="0" applyFont="1" applyFill="1" applyBorder="1" applyProtection="1"/>
    <xf numFmtId="0" fontId="2" fillId="10" borderId="4" xfId="0" applyFont="1" applyFill="1" applyBorder="1" applyAlignment="1" applyProtection="1">
      <alignment horizontal="right"/>
    </xf>
    <xf numFmtId="0" fontId="9" fillId="8" borderId="11" xfId="0" applyFont="1" applyFill="1" applyBorder="1" applyAlignment="1" applyProtection="1">
      <alignment horizontal="center"/>
    </xf>
    <xf numFmtId="166" fontId="9" fillId="2" borderId="10" xfId="0" applyNumberFormat="1" applyFont="1" applyFill="1" applyBorder="1" applyAlignment="1" applyProtection="1">
      <alignment horizontal="center"/>
    </xf>
    <xf numFmtId="0" fontId="1" fillId="2" borderId="27" xfId="0" applyFont="1" applyFill="1" applyBorder="1" applyProtection="1"/>
    <xf numFmtId="0" fontId="1" fillId="0" borderId="19" xfId="0" applyFont="1" applyFill="1" applyBorder="1" applyAlignment="1" applyProtection="1">
      <alignment horizontal="center"/>
    </xf>
    <xf numFmtId="166" fontId="1" fillId="0" borderId="18" xfId="0" applyNumberFormat="1" applyFont="1" applyFill="1" applyBorder="1" applyAlignment="1" applyProtection="1">
      <alignment horizontal="center"/>
    </xf>
    <xf numFmtId="0" fontId="1" fillId="2" borderId="11" xfId="0" applyFont="1" applyFill="1" applyBorder="1" applyProtection="1"/>
    <xf numFmtId="0" fontId="1" fillId="0" borderId="11" xfId="0" applyFont="1" applyFill="1" applyBorder="1" applyAlignment="1" applyProtection="1">
      <alignment horizontal="center"/>
    </xf>
    <xf numFmtId="0" fontId="8" fillId="10" borderId="4" xfId="0" applyFont="1" applyFill="1" applyBorder="1" applyAlignment="1" applyProtection="1">
      <alignment horizontal="left"/>
    </xf>
    <xf numFmtId="0" fontId="5" fillId="10" borderId="4" xfId="0" applyFont="1" applyFill="1" applyBorder="1" applyAlignment="1" applyProtection="1">
      <alignment horizontal="left"/>
    </xf>
    <xf numFmtId="166" fontId="1" fillId="10" borderId="3" xfId="0" applyNumberFormat="1" applyFont="1" applyFill="1" applyBorder="1" applyAlignment="1" applyProtection="1">
      <alignment horizontal="center"/>
    </xf>
    <xf numFmtId="44" fontId="9" fillId="3" borderId="55" xfId="2" applyFont="1" applyFill="1" applyBorder="1" applyProtection="1">
      <protection locked="0"/>
    </xf>
    <xf numFmtId="44" fontId="9" fillId="9" borderId="67" xfId="2" applyFont="1" applyFill="1" applyBorder="1" applyProtection="1">
      <protection locked="0"/>
    </xf>
    <xf numFmtId="44" fontId="9" fillId="3" borderId="6" xfId="2" applyFont="1" applyFill="1" applyBorder="1" applyProtection="1">
      <protection locked="0"/>
    </xf>
    <xf numFmtId="0" fontId="1" fillId="0" borderId="0" xfId="0" applyFont="1" applyProtection="1"/>
    <xf numFmtId="0" fontId="1" fillId="0" borderId="5" xfId="0" applyFont="1" applyBorder="1" applyProtection="1"/>
    <xf numFmtId="0" fontId="0" fillId="7" borderId="5" xfId="0" applyFill="1" applyBorder="1" applyAlignment="1" applyProtection="1">
      <alignment horizontal="left"/>
    </xf>
    <xf numFmtId="0" fontId="0" fillId="7" borderId="5" xfId="0" applyFill="1" applyBorder="1" applyProtection="1"/>
    <xf numFmtId="0" fontId="23" fillId="7" borderId="3" xfId="0" applyFont="1" applyFill="1" applyBorder="1" applyProtection="1"/>
    <xf numFmtId="0" fontId="0" fillId="0" borderId="2" xfId="0" applyBorder="1" applyProtection="1"/>
    <xf numFmtId="44" fontId="15" fillId="9" borderId="51" xfId="0" applyNumberFormat="1" applyFont="1" applyFill="1" applyBorder="1" applyAlignment="1" applyProtection="1"/>
    <xf numFmtId="44" fontId="15" fillId="9" borderId="28" xfId="0" applyNumberFormat="1" applyFont="1" applyFill="1" applyBorder="1" applyAlignment="1" applyProtection="1"/>
    <xf numFmtId="44" fontId="15" fillId="9" borderId="66" xfId="0" applyNumberFormat="1" applyFont="1" applyFill="1" applyBorder="1" applyAlignment="1" applyProtection="1"/>
    <xf numFmtId="0" fontId="15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/>
    </xf>
    <xf numFmtId="9" fontId="14" fillId="0" borderId="0" xfId="2" applyNumberFormat="1" applyFont="1" applyFill="1" applyBorder="1" applyProtection="1"/>
    <xf numFmtId="0" fontId="8" fillId="5" borderId="13" xfId="0" applyFont="1" applyFill="1" applyBorder="1" applyProtection="1"/>
    <xf numFmtId="0" fontId="23" fillId="0" borderId="3" xfId="4" applyFont="1" applyFill="1" applyBorder="1" applyAlignment="1" applyProtection="1">
      <alignment vertical="center" wrapText="1"/>
    </xf>
    <xf numFmtId="164" fontId="9" fillId="7" borderId="2" xfId="0" applyNumberFormat="1" applyFont="1" applyFill="1" applyBorder="1" applyAlignment="1" applyProtection="1">
      <alignment horizontal="center"/>
    </xf>
    <xf numFmtId="0" fontId="0" fillId="5" borderId="22" xfId="0" applyFill="1" applyBorder="1" applyProtection="1"/>
    <xf numFmtId="0" fontId="9" fillId="0" borderId="0" xfId="0" applyFont="1" applyProtection="1"/>
    <xf numFmtId="0" fontId="0" fillId="11" borderId="4" xfId="0" applyFill="1" applyBorder="1" applyProtection="1"/>
    <xf numFmtId="164" fontId="9" fillId="5" borderId="0" xfId="0" applyNumberFormat="1" applyFont="1" applyFill="1" applyBorder="1" applyProtection="1"/>
    <xf numFmtId="0" fontId="23" fillId="10" borderId="4" xfId="0" applyFont="1" applyFill="1" applyBorder="1" applyProtection="1"/>
    <xf numFmtId="44" fontId="9" fillId="3" borderId="46" xfId="2" applyFont="1" applyFill="1" applyBorder="1" applyProtection="1">
      <protection locked="0"/>
    </xf>
    <xf numFmtId="44" fontId="1" fillId="9" borderId="44" xfId="2" applyFont="1" applyFill="1" applyBorder="1" applyProtection="1">
      <protection locked="0"/>
    </xf>
    <xf numFmtId="0" fontId="5" fillId="11" borderId="4" xfId="0" applyFont="1" applyFill="1" applyBorder="1" applyAlignment="1" applyProtection="1">
      <alignment horizontal="center" wrapText="1"/>
    </xf>
    <xf numFmtId="0" fontId="5" fillId="11" borderId="3" xfId="0" applyFont="1" applyFill="1" applyBorder="1" applyAlignment="1" applyProtection="1">
      <alignment horizontal="center" wrapText="1"/>
    </xf>
    <xf numFmtId="0" fontId="5" fillId="11" borderId="2" xfId="0" applyFont="1" applyFill="1" applyBorder="1" applyAlignment="1" applyProtection="1"/>
    <xf numFmtId="0" fontId="5" fillId="11" borderId="4" xfId="0" applyFont="1" applyFill="1" applyBorder="1" applyAlignment="1" applyProtection="1"/>
    <xf numFmtId="0" fontId="5" fillId="11" borderId="8" xfId="0" applyFont="1" applyFill="1" applyBorder="1" applyAlignment="1" applyProtection="1"/>
    <xf numFmtId="0" fontId="5" fillId="11" borderId="10" xfId="0" applyFont="1" applyFill="1" applyBorder="1" applyAlignment="1" applyProtection="1"/>
    <xf numFmtId="0" fontId="5" fillId="11" borderId="10" xfId="0" applyFont="1" applyFill="1" applyBorder="1" applyAlignment="1" applyProtection="1">
      <alignment horizontal="center" wrapText="1"/>
    </xf>
    <xf numFmtId="0" fontId="5" fillId="11" borderId="9" xfId="0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>
      <alignment horizontal="center" wrapText="1"/>
    </xf>
    <xf numFmtId="44" fontId="9" fillId="9" borderId="55" xfId="2" applyFont="1" applyFill="1" applyBorder="1" applyProtection="1">
      <protection locked="0"/>
    </xf>
    <xf numFmtId="166" fontId="9" fillId="11" borderId="3" xfId="0" applyNumberFormat="1" applyFont="1" applyFill="1" applyBorder="1" applyAlignment="1" applyProtection="1">
      <alignment horizontal="center"/>
    </xf>
    <xf numFmtId="0" fontId="28" fillId="11" borderId="29" xfId="0" applyFont="1" applyFill="1" applyBorder="1" applyAlignment="1" applyProtection="1">
      <alignment horizontal="left"/>
    </xf>
    <xf numFmtId="0" fontId="9" fillId="11" borderId="46" xfId="0" applyFont="1" applyFill="1" applyBorder="1" applyAlignment="1" applyProtection="1">
      <alignment horizontal="center"/>
    </xf>
    <xf numFmtId="0" fontId="5" fillId="11" borderId="29" xfId="0" applyFont="1" applyFill="1" applyBorder="1" applyProtection="1"/>
    <xf numFmtId="0" fontId="12" fillId="11" borderId="29" xfId="0" applyFont="1" applyFill="1" applyBorder="1" applyAlignment="1" applyProtection="1">
      <alignment horizontal="left"/>
    </xf>
    <xf numFmtId="164" fontId="9" fillId="11" borderId="29" xfId="0" applyNumberFormat="1" applyFont="1" applyFill="1" applyBorder="1" applyAlignment="1" applyProtection="1">
      <alignment horizontal="center"/>
    </xf>
    <xf numFmtId="166" fontId="9" fillId="11" borderId="29" xfId="0" applyNumberFormat="1" applyFont="1" applyFill="1" applyBorder="1" applyAlignment="1" applyProtection="1">
      <alignment horizontal="center"/>
    </xf>
    <xf numFmtId="166" fontId="9" fillId="0" borderId="10" xfId="0" applyNumberFormat="1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 wrapText="1"/>
    </xf>
    <xf numFmtId="0" fontId="5" fillId="5" borderId="31" xfId="0" applyFont="1" applyFill="1" applyBorder="1" applyAlignment="1" applyProtection="1">
      <alignment horizontal="center" wrapText="1"/>
    </xf>
    <xf numFmtId="164" fontId="9" fillId="6" borderId="54" xfId="0" applyNumberFormat="1" applyFont="1" applyFill="1" applyBorder="1" applyAlignment="1" applyProtection="1">
      <alignment horizontal="center"/>
    </xf>
    <xf numFmtId="164" fontId="9" fillId="6" borderId="59" xfId="0" applyNumberFormat="1" applyFont="1" applyFill="1" applyBorder="1" applyAlignment="1" applyProtection="1">
      <alignment horizontal="center"/>
    </xf>
    <xf numFmtId="0" fontId="9" fillId="6" borderId="13" xfId="0" applyFont="1" applyFill="1" applyBorder="1" applyAlignment="1" applyProtection="1">
      <alignment horizontal="center"/>
    </xf>
    <xf numFmtId="44" fontId="9" fillId="6" borderId="54" xfId="0" applyNumberFormat="1" applyFont="1" applyFill="1" applyBorder="1" applyProtection="1"/>
    <xf numFmtId="44" fontId="9" fillId="6" borderId="32" xfId="0" applyNumberFormat="1" applyFont="1" applyFill="1" applyBorder="1" applyProtection="1"/>
    <xf numFmtId="42" fontId="9" fillId="6" borderId="67" xfId="0" applyNumberFormat="1" applyFont="1" applyFill="1" applyBorder="1" applyProtection="1"/>
    <xf numFmtId="44" fontId="9" fillId="6" borderId="36" xfId="0" applyNumberFormat="1" applyFont="1" applyFill="1" applyBorder="1" applyProtection="1"/>
    <xf numFmtId="44" fontId="9" fillId="6" borderId="35" xfId="0" applyNumberFormat="1" applyFont="1" applyFill="1" applyBorder="1" applyProtection="1"/>
    <xf numFmtId="0" fontId="5" fillId="11" borderId="46" xfId="0" applyFont="1" applyFill="1" applyBorder="1" applyAlignment="1" applyProtection="1"/>
    <xf numFmtId="0" fontId="5" fillId="11" borderId="29" xfId="0" applyFont="1" applyFill="1" applyBorder="1" applyAlignment="1" applyProtection="1"/>
    <xf numFmtId="0" fontId="5" fillId="11" borderId="29" xfId="0" applyFont="1" applyFill="1" applyBorder="1" applyAlignment="1" applyProtection="1">
      <alignment horizontal="center" wrapText="1"/>
    </xf>
    <xf numFmtId="0" fontId="5" fillId="11" borderId="45" xfId="0" applyFont="1" applyFill="1" applyBorder="1" applyAlignment="1" applyProtection="1">
      <alignment horizontal="center" wrapText="1"/>
    </xf>
    <xf numFmtId="0" fontId="9" fillId="11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 wrapText="1"/>
    </xf>
    <xf numFmtId="0" fontId="9" fillId="11" borderId="4" xfId="0" applyFont="1" applyFill="1" applyBorder="1" applyAlignment="1" applyProtection="1">
      <alignment horizontal="center" wrapText="1"/>
    </xf>
    <xf numFmtId="0" fontId="1" fillId="0" borderId="19" xfId="0" applyFont="1" applyBorder="1" applyProtection="1"/>
    <xf numFmtId="0" fontId="1" fillId="0" borderId="11" xfId="0" applyFont="1" applyBorder="1" applyProtection="1"/>
    <xf numFmtId="0" fontId="2" fillId="5" borderId="18" xfId="0" applyFont="1" applyFill="1" applyBorder="1" applyAlignment="1" applyProtection="1">
      <alignment horizontal="center" wrapText="1"/>
    </xf>
    <xf numFmtId="0" fontId="8" fillId="0" borderId="0" xfId="0" applyFont="1" applyProtection="1"/>
    <xf numFmtId="0" fontId="5" fillId="10" borderId="10" xfId="0" applyFont="1" applyFill="1" applyBorder="1" applyAlignment="1" applyProtection="1">
      <alignment horizontal="right"/>
    </xf>
    <xf numFmtId="0" fontId="5" fillId="10" borderId="9" xfId="0" applyFont="1" applyFill="1" applyBorder="1" applyAlignment="1" applyProtection="1">
      <alignment horizontal="right"/>
    </xf>
    <xf numFmtId="164" fontId="9" fillId="5" borderId="1" xfId="0" applyNumberFormat="1" applyFont="1" applyFill="1" applyBorder="1" applyAlignment="1" applyProtection="1">
      <alignment horizontal="center"/>
    </xf>
    <xf numFmtId="0" fontId="5" fillId="11" borderId="4" xfId="0" applyFont="1" applyFill="1" applyBorder="1" applyAlignment="1" applyProtection="1">
      <alignment horizontal="right"/>
    </xf>
    <xf numFmtId="0" fontId="2" fillId="10" borderId="4" xfId="0" applyFont="1" applyFill="1" applyBorder="1" applyAlignment="1" applyProtection="1">
      <alignment horizontal="center"/>
    </xf>
    <xf numFmtId="0" fontId="9" fillId="10" borderId="10" xfId="0" applyFont="1" applyFill="1" applyBorder="1" applyAlignment="1" applyProtection="1">
      <alignment horizontal="center"/>
    </xf>
    <xf numFmtId="0" fontId="9" fillId="10" borderId="10" xfId="0" applyFont="1" applyFill="1" applyBorder="1" applyAlignment="1" applyProtection="1">
      <alignment horizontal="center" wrapText="1"/>
    </xf>
    <xf numFmtId="0" fontId="5" fillId="10" borderId="10" xfId="0" applyFont="1" applyFill="1" applyBorder="1" applyAlignment="1" applyProtection="1">
      <alignment horizontal="left"/>
    </xf>
    <xf numFmtId="44" fontId="9" fillId="6" borderId="59" xfId="0" applyNumberFormat="1" applyFont="1" applyFill="1" applyBorder="1" applyProtection="1"/>
    <xf numFmtId="0" fontId="5" fillId="6" borderId="46" xfId="0" applyFont="1" applyFill="1" applyBorder="1" applyAlignment="1" applyProtection="1">
      <alignment horizontal="center" wrapText="1"/>
    </xf>
    <xf numFmtId="0" fontId="5" fillId="6" borderId="35" xfId="0" applyFont="1" applyFill="1" applyBorder="1" applyAlignment="1" applyProtection="1">
      <alignment horizontal="center" wrapText="1"/>
    </xf>
    <xf numFmtId="0" fontId="5" fillId="6" borderId="45" xfId="0" applyFont="1" applyFill="1" applyBorder="1" applyAlignment="1" applyProtection="1">
      <alignment horizontal="center" wrapText="1"/>
    </xf>
    <xf numFmtId="0" fontId="5" fillId="11" borderId="10" xfId="0" applyFont="1" applyFill="1" applyBorder="1" applyAlignment="1" applyProtection="1">
      <alignment wrapText="1"/>
    </xf>
    <xf numFmtId="44" fontId="9" fillId="6" borderId="1" xfId="0" applyNumberFormat="1" applyFont="1" applyFill="1" applyBorder="1" applyProtection="1"/>
    <xf numFmtId="0" fontId="5" fillId="5" borderId="23" xfId="0" applyFont="1" applyFill="1" applyBorder="1" applyAlignment="1" applyProtection="1"/>
    <xf numFmtId="0" fontId="15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horizontal="center" wrapText="1"/>
    </xf>
    <xf numFmtId="0" fontId="15" fillId="3" borderId="46" xfId="0" applyFont="1" applyFill="1" applyBorder="1" applyAlignment="1" applyProtection="1">
      <alignment horizontal="center" wrapText="1"/>
    </xf>
    <xf numFmtId="0" fontId="15" fillId="6" borderId="29" xfId="0" applyFont="1" applyFill="1" applyBorder="1" applyAlignment="1" applyProtection="1">
      <alignment horizontal="center" wrapText="1"/>
    </xf>
    <xf numFmtId="0" fontId="3" fillId="6" borderId="35" xfId="0" applyFont="1" applyFill="1" applyBorder="1" applyAlignment="1" applyProtection="1">
      <alignment horizontal="center" wrapText="1"/>
    </xf>
    <xf numFmtId="0" fontId="3" fillId="6" borderId="45" xfId="0" applyFont="1" applyFill="1" applyBorder="1" applyAlignment="1" applyProtection="1">
      <alignment horizontal="center" wrapText="1"/>
    </xf>
    <xf numFmtId="0" fontId="8" fillId="10" borderId="2" xfId="0" applyFont="1" applyFill="1" applyBorder="1" applyProtection="1"/>
    <xf numFmtId="0" fontId="2" fillId="10" borderId="4" xfId="0" applyFont="1" applyFill="1" applyBorder="1" applyAlignment="1" applyProtection="1">
      <alignment horizontal="left"/>
    </xf>
    <xf numFmtId="0" fontId="8" fillId="10" borderId="8" xfId="0" applyFont="1" applyFill="1" applyBorder="1" applyProtection="1"/>
    <xf numFmtId="0" fontId="2" fillId="10" borderId="10" xfId="0" applyFont="1" applyFill="1" applyBorder="1" applyAlignment="1" applyProtection="1">
      <alignment horizontal="left"/>
    </xf>
    <xf numFmtId="164" fontId="5" fillId="10" borderId="9" xfId="0" applyNumberFormat="1" applyFont="1" applyFill="1" applyBorder="1" applyAlignment="1" applyProtection="1">
      <alignment horizontal="center"/>
    </xf>
    <xf numFmtId="1" fontId="9" fillId="5" borderId="1" xfId="0" applyNumberFormat="1" applyFont="1" applyFill="1" applyBorder="1" applyAlignment="1" applyProtection="1">
      <alignment horizontal="center"/>
    </xf>
    <xf numFmtId="0" fontId="5" fillId="5" borderId="22" xfId="0" applyFont="1" applyFill="1" applyBorder="1" applyAlignment="1" applyProtection="1">
      <alignment horizontal="center" wrapText="1"/>
    </xf>
    <xf numFmtId="0" fontId="5" fillId="5" borderId="7" xfId="0" applyFont="1" applyFill="1" applyBorder="1" applyAlignment="1" applyProtection="1">
      <alignment horizontal="center" wrapText="1"/>
    </xf>
    <xf numFmtId="166" fontId="1" fillId="2" borderId="0" xfId="0" applyNumberFormat="1" applyFont="1" applyFill="1" applyBorder="1" applyAlignment="1" applyProtection="1">
      <alignment horizontal="center"/>
    </xf>
    <xf numFmtId="0" fontId="5" fillId="10" borderId="45" xfId="0" applyFont="1" applyFill="1" applyBorder="1" applyAlignment="1" applyProtection="1">
      <alignment horizontal="right"/>
    </xf>
    <xf numFmtId="44" fontId="1" fillId="5" borderId="29" xfId="2" applyFont="1" applyFill="1" applyBorder="1" applyProtection="1"/>
    <xf numFmtId="44" fontId="1" fillId="4" borderId="1" xfId="2" applyFont="1" applyFill="1" applyBorder="1" applyProtection="1"/>
    <xf numFmtId="0" fontId="1" fillId="2" borderId="27" xfId="0" applyFont="1" applyFill="1" applyBorder="1" applyAlignment="1" applyProtection="1">
      <alignment horizontal="left"/>
    </xf>
    <xf numFmtId="0" fontId="5" fillId="7" borderId="27" xfId="0" applyFont="1" applyFill="1" applyBorder="1" applyAlignment="1" applyProtection="1">
      <alignment horizontal="right"/>
    </xf>
    <xf numFmtId="0" fontId="1" fillId="0" borderId="0" xfId="0" applyFont="1" applyBorder="1" applyProtection="1"/>
    <xf numFmtId="0" fontId="1" fillId="7" borderId="19" xfId="0" applyFont="1" applyFill="1" applyBorder="1" applyAlignment="1" applyProtection="1">
      <alignment horizontal="center"/>
    </xf>
    <xf numFmtId="164" fontId="1" fillId="2" borderId="18" xfId="0" applyNumberFormat="1" applyFont="1" applyFill="1" applyBorder="1" applyAlignment="1" applyProtection="1">
      <alignment horizontal="center"/>
    </xf>
    <xf numFmtId="166" fontId="1" fillId="7" borderId="74" xfId="0" applyNumberFormat="1" applyFont="1" applyFill="1" applyBorder="1" applyAlignment="1" applyProtection="1">
      <alignment horizontal="center"/>
    </xf>
    <xf numFmtId="0" fontId="9" fillId="10" borderId="4" xfId="0" applyFont="1" applyFill="1" applyBorder="1" applyAlignment="1" applyProtection="1">
      <alignment horizontal="left"/>
    </xf>
    <xf numFmtId="0" fontId="8" fillId="10" borderId="4" xfId="0" applyFont="1" applyFill="1" applyBorder="1" applyAlignment="1" applyProtection="1">
      <alignment wrapText="1"/>
    </xf>
    <xf numFmtId="0" fontId="1" fillId="10" borderId="2" xfId="0" applyFont="1" applyFill="1" applyBorder="1" applyAlignment="1" applyProtection="1">
      <alignment horizontal="center"/>
    </xf>
    <xf numFmtId="0" fontId="30" fillId="10" borderId="4" xfId="0" applyFont="1" applyFill="1" applyBorder="1" applyAlignment="1" applyProtection="1">
      <alignment horizontal="center"/>
    </xf>
    <xf numFmtId="0" fontId="5" fillId="10" borderId="24" xfId="0" applyFont="1" applyFill="1" applyBorder="1" applyAlignment="1" applyProtection="1">
      <alignment horizontal="right"/>
    </xf>
    <xf numFmtId="0" fontId="2" fillId="10" borderId="0" xfId="0" applyFont="1" applyFill="1" applyBorder="1" applyAlignment="1" applyProtection="1">
      <alignment horizontal="right"/>
    </xf>
    <xf numFmtId="0" fontId="0" fillId="0" borderId="19" xfId="0" applyBorder="1" applyAlignment="1" applyProtection="1">
      <alignment horizontal="left"/>
    </xf>
    <xf numFmtId="0" fontId="9" fillId="2" borderId="27" xfId="0" applyFont="1" applyFill="1" applyBorder="1" applyProtection="1"/>
    <xf numFmtId="0" fontId="2" fillId="10" borderId="0" xfId="0" applyFont="1" applyFill="1" applyBorder="1" applyAlignment="1" applyProtection="1">
      <alignment horizontal="center"/>
    </xf>
    <xf numFmtId="0" fontId="23" fillId="0" borderId="9" xfId="4" applyFont="1" applyFill="1" applyBorder="1" applyAlignment="1" applyProtection="1">
      <alignment vertical="center" wrapText="1"/>
    </xf>
    <xf numFmtId="0" fontId="0" fillId="7" borderId="11" xfId="0" applyFill="1" applyBorder="1" applyProtection="1"/>
    <xf numFmtId="0" fontId="5" fillId="10" borderId="4" xfId="0" applyFont="1" applyFill="1" applyBorder="1" applyAlignment="1" applyProtection="1"/>
    <xf numFmtId="0" fontId="9" fillId="11" borderId="4" xfId="0" applyFont="1" applyFill="1" applyBorder="1" applyAlignment="1" applyProtection="1"/>
    <xf numFmtId="0" fontId="23" fillId="11" borderId="4" xfId="0" applyFont="1" applyFill="1" applyBorder="1" applyProtection="1"/>
    <xf numFmtId="0" fontId="9" fillId="2" borderId="19" xfId="0" applyFont="1" applyFill="1" applyBorder="1" applyProtection="1"/>
    <xf numFmtId="0" fontId="9" fillId="2" borderId="19" xfId="0" applyFont="1" applyFill="1" applyBorder="1" applyAlignment="1" applyProtection="1">
      <alignment wrapText="1"/>
    </xf>
    <xf numFmtId="0" fontId="9" fillId="0" borderId="11" xfId="0" applyFont="1" applyBorder="1" applyProtection="1"/>
    <xf numFmtId="0" fontId="29" fillId="10" borderId="4" xfId="0" applyFont="1" applyFill="1" applyBorder="1" applyProtection="1"/>
    <xf numFmtId="0" fontId="2" fillId="10" borderId="4" xfId="0" applyFont="1" applyFill="1" applyBorder="1" applyProtection="1"/>
    <xf numFmtId="0" fontId="2" fillId="10" borderId="4" xfId="0" applyFont="1" applyFill="1" applyBorder="1" applyAlignment="1" applyProtection="1">
      <alignment wrapText="1"/>
    </xf>
    <xf numFmtId="0" fontId="8" fillId="10" borderId="4" xfId="0" applyFont="1" applyFill="1" applyBorder="1" applyProtection="1"/>
    <xf numFmtId="0" fontId="2" fillId="11" borderId="10" xfId="0" applyFont="1" applyFill="1" applyBorder="1" applyAlignment="1" applyProtection="1">
      <alignment horizontal="center" vertical="center" wrapText="1"/>
    </xf>
    <xf numFmtId="0" fontId="2" fillId="11" borderId="29" xfId="0" applyFont="1" applyFill="1" applyBorder="1" applyAlignment="1" applyProtection="1">
      <alignment horizontal="center" vertical="center" wrapText="1"/>
    </xf>
    <xf numFmtId="0" fontId="2" fillId="11" borderId="4" xfId="0" applyFont="1" applyFill="1" applyBorder="1" applyAlignment="1" applyProtection="1">
      <alignment horizontal="center" vertical="center" wrapText="1"/>
    </xf>
    <xf numFmtId="44" fontId="9" fillId="5" borderId="0" xfId="2" applyFont="1" applyFill="1" applyBorder="1" applyProtection="1">
      <protection locked="0"/>
    </xf>
    <xf numFmtId="0" fontId="9" fillId="6" borderId="62" xfId="0" applyFont="1" applyFill="1" applyBorder="1" applyAlignment="1" applyProtection="1">
      <alignment horizontal="center"/>
    </xf>
    <xf numFmtId="164" fontId="9" fillId="6" borderId="20" xfId="0" applyNumberFormat="1" applyFont="1" applyFill="1" applyBorder="1" applyAlignment="1" applyProtection="1">
      <alignment horizontal="center"/>
    </xf>
    <xf numFmtId="0" fontId="33" fillId="0" borderId="75" xfId="0" applyFont="1" applyFill="1" applyBorder="1" applyAlignment="1" applyProtection="1">
      <alignment horizontal="left"/>
    </xf>
    <xf numFmtId="0" fontId="33" fillId="0" borderId="19" xfId="0" applyFont="1" applyFill="1" applyBorder="1" applyProtection="1"/>
    <xf numFmtId="0" fontId="1" fillId="0" borderId="19" xfId="0" applyFont="1" applyFill="1" applyBorder="1" applyAlignment="1" applyProtection="1">
      <alignment horizontal="left"/>
    </xf>
    <xf numFmtId="0" fontId="1" fillId="0" borderId="18" xfId="0" applyFont="1" applyFill="1" applyBorder="1" applyProtection="1"/>
    <xf numFmtId="0" fontId="1" fillId="0" borderId="27" xfId="0" applyFont="1" applyFill="1" applyBorder="1" applyAlignment="1" applyProtection="1">
      <alignment horizontal="center"/>
    </xf>
    <xf numFmtId="0" fontId="5" fillId="12" borderId="46" xfId="0" applyFont="1" applyFill="1" applyBorder="1" applyAlignment="1" applyProtection="1"/>
    <xf numFmtId="0" fontId="5" fillId="12" borderId="34" xfId="0" applyFont="1" applyFill="1" applyBorder="1" applyAlignment="1" applyProtection="1"/>
    <xf numFmtId="0" fontId="5" fillId="12" borderId="34" xfId="0" applyFont="1" applyFill="1" applyBorder="1" applyAlignment="1" applyProtection="1">
      <alignment horizontal="center" wrapText="1"/>
    </xf>
    <xf numFmtId="0" fontId="5" fillId="12" borderId="45" xfId="0" applyFont="1" applyFill="1" applyBorder="1" applyAlignment="1" applyProtection="1">
      <alignment horizontal="center" wrapText="1"/>
    </xf>
    <xf numFmtId="0" fontId="5" fillId="12" borderId="62" xfId="0" applyFont="1" applyFill="1" applyBorder="1" applyAlignment="1" applyProtection="1">
      <alignment horizontal="center" wrapText="1"/>
    </xf>
    <xf numFmtId="0" fontId="5" fillId="12" borderId="35" xfId="0" applyFont="1" applyFill="1" applyBorder="1" applyAlignment="1" applyProtection="1">
      <alignment horizontal="center" wrapText="1"/>
    </xf>
    <xf numFmtId="0" fontId="5" fillId="12" borderId="72" xfId="0" applyFont="1" applyFill="1" applyBorder="1" applyAlignment="1" applyProtection="1">
      <alignment horizontal="center" wrapText="1"/>
    </xf>
    <xf numFmtId="0" fontId="5" fillId="12" borderId="13" xfId="0" applyFont="1" applyFill="1" applyBorder="1" applyAlignment="1" applyProtection="1">
      <alignment horizontal="center" wrapText="1"/>
    </xf>
    <xf numFmtId="0" fontId="5" fillId="12" borderId="20" xfId="0" applyFont="1" applyFill="1" applyBorder="1" applyAlignment="1" applyProtection="1">
      <alignment horizontal="center" wrapText="1"/>
    </xf>
    <xf numFmtId="0" fontId="5" fillId="12" borderId="29" xfId="0" applyFont="1" applyFill="1" applyBorder="1" applyAlignment="1" applyProtection="1"/>
    <xf numFmtId="0" fontId="5" fillId="12" borderId="29" xfId="0" applyFont="1" applyFill="1" applyBorder="1" applyAlignment="1" applyProtection="1">
      <alignment horizontal="center"/>
    </xf>
    <xf numFmtId="44" fontId="9" fillId="12" borderId="29" xfId="2" applyFont="1" applyFill="1" applyBorder="1" applyProtection="1"/>
    <xf numFmtId="164" fontId="9" fillId="12" borderId="29" xfId="0" applyNumberFormat="1" applyFont="1" applyFill="1" applyBorder="1" applyAlignment="1" applyProtection="1">
      <alignment horizontal="center"/>
    </xf>
    <xf numFmtId="0" fontId="9" fillId="12" borderId="29" xfId="0" applyFont="1" applyFill="1" applyBorder="1" applyAlignment="1" applyProtection="1">
      <alignment horizontal="center"/>
    </xf>
    <xf numFmtId="2" fontId="9" fillId="12" borderId="29" xfId="2" applyNumberFormat="1" applyFont="1" applyFill="1" applyBorder="1" applyAlignment="1" applyProtection="1">
      <alignment horizontal="center"/>
    </xf>
    <xf numFmtId="2" fontId="9" fillId="12" borderId="45" xfId="2" applyNumberFormat="1" applyFont="1" applyFill="1" applyBorder="1" applyAlignment="1" applyProtection="1">
      <alignment horizontal="center"/>
    </xf>
    <xf numFmtId="0" fontId="5" fillId="12" borderId="29" xfId="0" applyFont="1" applyFill="1" applyBorder="1" applyAlignment="1" applyProtection="1">
      <alignment horizontal="right"/>
    </xf>
    <xf numFmtId="0" fontId="5" fillId="12" borderId="29" xfId="0" applyFont="1" applyFill="1" applyBorder="1" applyAlignment="1" applyProtection="1">
      <alignment horizontal="left"/>
    </xf>
    <xf numFmtId="164" fontId="9" fillId="12" borderId="1" xfId="0" applyNumberFormat="1" applyFont="1" applyFill="1" applyBorder="1" applyAlignment="1" applyProtection="1">
      <alignment horizontal="center"/>
    </xf>
    <xf numFmtId="2" fontId="9" fillId="12" borderId="1" xfId="2" applyNumberFormat="1" applyFont="1" applyFill="1" applyBorder="1" applyAlignment="1" applyProtection="1">
      <alignment horizontal="center"/>
    </xf>
    <xf numFmtId="165" fontId="9" fillId="12" borderId="29" xfId="0" applyNumberFormat="1" applyFont="1" applyFill="1" applyBorder="1" applyProtection="1"/>
    <xf numFmtId="2" fontId="9" fillId="12" borderId="29" xfId="0" applyNumberFormat="1" applyFont="1" applyFill="1" applyBorder="1" applyAlignment="1" applyProtection="1">
      <alignment horizontal="center"/>
    </xf>
    <xf numFmtId="44" fontId="9" fillId="9" borderId="46" xfId="2" applyFont="1" applyFill="1" applyBorder="1" applyProtection="1">
      <protection locked="0"/>
    </xf>
    <xf numFmtId="0" fontId="5" fillId="12" borderId="34" xfId="0" applyFont="1" applyFill="1" applyBorder="1" applyAlignment="1" applyProtection="1">
      <alignment wrapText="1"/>
    </xf>
    <xf numFmtId="0" fontId="5" fillId="12" borderId="29" xfId="0" applyFont="1" applyFill="1" applyBorder="1" applyAlignment="1" applyProtection="1">
      <alignment horizontal="center" wrapText="1"/>
    </xf>
    <xf numFmtId="0" fontId="5" fillId="12" borderId="44" xfId="0" applyFont="1" applyFill="1" applyBorder="1" applyAlignment="1" applyProtection="1">
      <alignment horizontal="center" wrapText="1"/>
    </xf>
    <xf numFmtId="0" fontId="5" fillId="12" borderId="45" xfId="0" applyFont="1" applyFill="1" applyBorder="1" applyAlignment="1" applyProtection="1"/>
    <xf numFmtId="166" fontId="5" fillId="6" borderId="44" xfId="0" applyNumberFormat="1" applyFont="1" applyFill="1" applyBorder="1" applyAlignment="1" applyProtection="1"/>
    <xf numFmtId="44" fontId="5" fillId="6" borderId="46" xfId="0" applyNumberFormat="1" applyFont="1" applyFill="1" applyBorder="1" applyAlignment="1" applyProtection="1"/>
    <xf numFmtId="166" fontId="9" fillId="6" borderId="45" xfId="2" applyNumberFormat="1" applyFont="1" applyFill="1" applyBorder="1" applyAlignment="1" applyProtection="1">
      <alignment horizontal="center"/>
    </xf>
    <xf numFmtId="44" fontId="15" fillId="6" borderId="46" xfId="0" applyNumberFormat="1" applyFont="1" applyFill="1" applyBorder="1" applyAlignment="1" applyProtection="1"/>
    <xf numFmtId="0" fontId="15" fillId="6" borderId="45" xfId="0" applyFont="1" applyFill="1" applyBorder="1" applyAlignment="1" applyProtection="1"/>
    <xf numFmtId="166" fontId="15" fillId="6" borderId="44" xfId="0" applyNumberFormat="1" applyFont="1" applyFill="1" applyBorder="1" applyAlignment="1" applyProtection="1">
      <alignment horizontal="right"/>
    </xf>
    <xf numFmtId="44" fontId="14" fillId="6" borderId="46" xfId="0" applyNumberFormat="1" applyFont="1" applyFill="1" applyBorder="1" applyAlignment="1" applyProtection="1"/>
    <xf numFmtId="0" fontId="14" fillId="6" borderId="45" xfId="0" applyFont="1" applyFill="1" applyBorder="1" applyAlignment="1" applyProtection="1"/>
    <xf numFmtId="0" fontId="15" fillId="12" borderId="46" xfId="0" applyFont="1" applyFill="1" applyBorder="1" applyAlignment="1" applyProtection="1">
      <alignment horizontal="center" wrapText="1"/>
    </xf>
    <xf numFmtId="0" fontId="15" fillId="12" borderId="34" xfId="0" applyFont="1" applyFill="1" applyBorder="1" applyAlignment="1" applyProtection="1">
      <alignment horizontal="center" wrapText="1"/>
    </xf>
    <xf numFmtId="0" fontId="15" fillId="12" borderId="35" xfId="0" applyFont="1" applyFill="1" applyBorder="1" applyAlignment="1" applyProtection="1">
      <alignment horizontal="center" wrapText="1"/>
    </xf>
    <xf numFmtId="0" fontId="15" fillId="12" borderId="34" xfId="0" applyFont="1" applyFill="1" applyBorder="1" applyAlignment="1" applyProtection="1">
      <alignment wrapText="1"/>
    </xf>
    <xf numFmtId="0" fontId="15" fillId="12" borderId="62" xfId="0" applyFont="1" applyFill="1" applyBorder="1" applyAlignment="1" applyProtection="1">
      <alignment horizontal="center" wrapText="1"/>
    </xf>
    <xf numFmtId="0" fontId="15" fillId="12" borderId="25" xfId="0" applyFont="1" applyFill="1" applyBorder="1" applyAlignment="1" applyProtection="1">
      <alignment wrapText="1"/>
    </xf>
    <xf numFmtId="0" fontId="15" fillId="12" borderId="13" xfId="0" applyFont="1" applyFill="1" applyBorder="1" applyAlignment="1" applyProtection="1">
      <alignment horizontal="left" wrapText="1"/>
    </xf>
    <xf numFmtId="0" fontId="15" fillId="12" borderId="13" xfId="0" applyFont="1" applyFill="1" applyBorder="1" applyAlignment="1" applyProtection="1"/>
    <xf numFmtId="44" fontId="14" fillId="12" borderId="29" xfId="2" applyFont="1" applyFill="1" applyBorder="1" applyProtection="1"/>
    <xf numFmtId="164" fontId="14" fillId="12" borderId="29" xfId="0" applyNumberFormat="1" applyFont="1" applyFill="1" applyBorder="1" applyAlignment="1" applyProtection="1">
      <alignment horizontal="center"/>
    </xf>
    <xf numFmtId="0" fontId="14" fillId="12" borderId="36" xfId="0" applyFont="1" applyFill="1" applyBorder="1" applyAlignment="1" applyProtection="1">
      <alignment horizontal="center"/>
    </xf>
    <xf numFmtId="0" fontId="5" fillId="12" borderId="0" xfId="0" applyFont="1" applyFill="1" applyBorder="1" applyAlignment="1" applyProtection="1">
      <alignment horizontal="right"/>
    </xf>
    <xf numFmtId="0" fontId="15" fillId="12" borderId="0" xfId="0" applyFont="1" applyFill="1" applyBorder="1" applyAlignment="1" applyProtection="1">
      <alignment horizontal="center"/>
    </xf>
    <xf numFmtId="0" fontId="15" fillId="12" borderId="29" xfId="0" applyFont="1" applyFill="1" applyBorder="1" applyAlignment="1" applyProtection="1"/>
    <xf numFmtId="0" fontId="15" fillId="12" borderId="30" xfId="0" applyFont="1" applyFill="1" applyBorder="1" applyAlignment="1" applyProtection="1">
      <alignment wrapText="1"/>
    </xf>
    <xf numFmtId="0" fontId="14" fillId="12" borderId="45" xfId="0" applyFont="1" applyFill="1" applyBorder="1" applyAlignment="1" applyProtection="1">
      <alignment horizontal="center"/>
    </xf>
    <xf numFmtId="0" fontId="15" fillId="12" borderId="46" xfId="0" applyFont="1" applyFill="1" applyBorder="1" applyAlignment="1" applyProtection="1">
      <alignment wrapText="1"/>
    </xf>
    <xf numFmtId="0" fontId="15" fillId="12" borderId="29" xfId="0" applyFont="1" applyFill="1" applyBorder="1" applyAlignment="1" applyProtection="1">
      <alignment wrapText="1"/>
    </xf>
    <xf numFmtId="0" fontId="15" fillId="0" borderId="34" xfId="0" applyFont="1" applyFill="1" applyBorder="1" applyAlignment="1" applyProtection="1">
      <alignment wrapText="1"/>
    </xf>
    <xf numFmtId="0" fontId="15" fillId="0" borderId="29" xfId="0" applyFont="1" applyFill="1" applyBorder="1" applyAlignment="1" applyProtection="1">
      <alignment wrapText="1"/>
    </xf>
    <xf numFmtId="0" fontId="15" fillId="0" borderId="29" xfId="0" applyFont="1" applyFill="1" applyBorder="1" applyAlignment="1" applyProtection="1"/>
    <xf numFmtId="44" fontId="14" fillId="0" borderId="1" xfId="2" applyFont="1" applyFill="1" applyBorder="1" applyProtection="1"/>
    <xf numFmtId="44" fontId="14" fillId="0" borderId="29" xfId="2" applyFont="1" applyFill="1" applyBorder="1" applyProtection="1"/>
    <xf numFmtId="164" fontId="14" fillId="0" borderId="29" xfId="0" applyNumberFormat="1" applyFont="1" applyFill="1" applyBorder="1" applyAlignment="1" applyProtection="1">
      <alignment horizontal="center"/>
    </xf>
    <xf numFmtId="0" fontId="14" fillId="0" borderId="36" xfId="0" applyFont="1" applyFill="1" applyBorder="1" applyAlignment="1" applyProtection="1">
      <alignment horizontal="center"/>
    </xf>
    <xf numFmtId="44" fontId="15" fillId="0" borderId="46" xfId="0" applyNumberFormat="1" applyFont="1" applyFill="1" applyBorder="1" applyAlignment="1" applyProtection="1"/>
    <xf numFmtId="0" fontId="15" fillId="0" borderId="45" xfId="0" applyFont="1" applyFill="1" applyBorder="1" applyAlignment="1" applyProtection="1"/>
    <xf numFmtId="44" fontId="14" fillId="12" borderId="1" xfId="2" applyFont="1" applyFill="1" applyBorder="1" applyProtection="1"/>
    <xf numFmtId="44" fontId="15" fillId="12" borderId="46" xfId="0" applyNumberFormat="1" applyFont="1" applyFill="1" applyBorder="1" applyAlignment="1" applyProtection="1"/>
    <xf numFmtId="0" fontId="15" fillId="12" borderId="45" xfId="0" applyFont="1" applyFill="1" applyBorder="1" applyAlignment="1" applyProtection="1"/>
    <xf numFmtId="0" fontId="9" fillId="12" borderId="45" xfId="0" applyFont="1" applyFill="1" applyBorder="1" applyAlignment="1" applyProtection="1">
      <alignment horizontal="center"/>
    </xf>
    <xf numFmtId="0" fontId="5" fillId="6" borderId="29" xfId="0" applyFont="1" applyFill="1" applyBorder="1" applyAlignment="1" applyProtection="1"/>
    <xf numFmtId="166" fontId="5" fillId="6" borderId="44" xfId="0" applyNumberFormat="1" applyFont="1" applyFill="1" applyBorder="1" applyAlignment="1" applyProtection="1">
      <alignment horizontal="center" wrapText="1"/>
    </xf>
    <xf numFmtId="166" fontId="5" fillId="6" borderId="29" xfId="0" applyNumberFormat="1" applyFont="1" applyFill="1" applyBorder="1" applyAlignment="1" applyProtection="1"/>
    <xf numFmtId="166" fontId="5" fillId="6" borderId="46" xfId="0" applyNumberFormat="1" applyFont="1" applyFill="1" applyBorder="1" applyAlignment="1" applyProtection="1"/>
    <xf numFmtId="0" fontId="15" fillId="12" borderId="30" xfId="0" applyFont="1" applyFill="1" applyBorder="1" applyAlignment="1" applyProtection="1">
      <alignment horizontal="center" wrapText="1"/>
    </xf>
    <xf numFmtId="0" fontId="15" fillId="12" borderId="25" xfId="0" applyFont="1" applyFill="1" applyBorder="1" applyAlignment="1" applyProtection="1">
      <alignment horizontal="center" wrapText="1"/>
    </xf>
    <xf numFmtId="0" fontId="15" fillId="12" borderId="26" xfId="0" applyFont="1" applyFill="1" applyBorder="1" applyAlignment="1" applyProtection="1">
      <alignment horizontal="center" wrapText="1"/>
    </xf>
    <xf numFmtId="0" fontId="15" fillId="12" borderId="25" xfId="0" applyFont="1" applyFill="1" applyBorder="1" applyAlignment="1" applyProtection="1"/>
    <xf numFmtId="0" fontId="15" fillId="12" borderId="47" xfId="0" applyFont="1" applyFill="1" applyBorder="1" applyAlignment="1" applyProtection="1">
      <alignment wrapText="1"/>
    </xf>
    <xf numFmtId="0" fontId="5" fillId="12" borderId="26" xfId="0" applyFont="1" applyFill="1" applyBorder="1" applyAlignment="1" applyProtection="1">
      <alignment horizontal="center" wrapText="1"/>
    </xf>
    <xf numFmtId="0" fontId="5" fillId="12" borderId="25" xfId="0" applyFont="1" applyFill="1" applyBorder="1" applyAlignment="1" applyProtection="1">
      <alignment horizontal="center" wrapText="1"/>
    </xf>
    <xf numFmtId="0" fontId="15" fillId="12" borderId="13" xfId="0" applyFont="1" applyFill="1" applyBorder="1" applyAlignment="1" applyProtection="1">
      <alignment wrapText="1"/>
    </xf>
    <xf numFmtId="9" fontId="14" fillId="12" borderId="29" xfId="2" applyNumberFormat="1" applyFont="1" applyFill="1" applyBorder="1" applyProtection="1"/>
    <xf numFmtId="0" fontId="5" fillId="6" borderId="20" xfId="0" applyFont="1" applyFill="1" applyBorder="1" applyAlignment="1" applyProtection="1">
      <alignment horizontal="center" wrapText="1"/>
    </xf>
    <xf numFmtId="37" fontId="18" fillId="12" borderId="29" xfId="2" applyNumberFormat="1" applyFont="1" applyFill="1" applyBorder="1" applyAlignment="1" applyProtection="1"/>
    <xf numFmtId="0" fontId="5" fillId="6" borderId="44" xfId="0" applyFont="1" applyFill="1" applyBorder="1" applyAlignment="1" applyProtection="1">
      <alignment horizontal="center" wrapText="1"/>
    </xf>
    <xf numFmtId="37" fontId="27" fillId="12" borderId="1" xfId="2" applyNumberFormat="1" applyFont="1" applyFill="1" applyBorder="1" applyProtection="1"/>
    <xf numFmtId="0" fontId="5" fillId="12" borderId="29" xfId="0" applyFont="1" applyFill="1" applyBorder="1" applyAlignment="1" applyProtection="1">
      <alignment horizontal="center" vertical="center" wrapText="1"/>
    </xf>
    <xf numFmtId="37" fontId="27" fillId="12" borderId="5" xfId="2" applyNumberFormat="1" applyFont="1" applyFill="1" applyBorder="1" applyProtection="1"/>
    <xf numFmtId="0" fontId="5" fillId="11" borderId="0" xfId="0" applyFont="1" applyFill="1" applyBorder="1" applyAlignment="1" applyProtection="1">
      <alignment horizontal="center" wrapText="1"/>
    </xf>
    <xf numFmtId="0" fontId="2" fillId="11" borderId="0" xfId="0" applyFont="1" applyFill="1" applyBorder="1" applyAlignment="1" applyProtection="1">
      <alignment horizontal="center" vertical="center" wrapText="1"/>
    </xf>
    <xf numFmtId="0" fontId="5" fillId="12" borderId="1" xfId="0" applyFont="1" applyFill="1" applyBorder="1" applyAlignment="1" applyProtection="1"/>
    <xf numFmtId="0" fontId="33" fillId="0" borderId="75" xfId="0" applyFont="1" applyBorder="1" applyAlignment="1" applyProtection="1">
      <alignment horizontal="left"/>
    </xf>
    <xf numFmtId="0" fontId="33" fillId="0" borderId="19" xfId="0" applyFont="1" applyBorder="1" applyProtection="1"/>
    <xf numFmtId="164" fontId="9" fillId="6" borderId="46" xfId="0" applyNumberFormat="1" applyFont="1" applyFill="1" applyBorder="1" applyAlignment="1" applyProtection="1">
      <alignment horizontal="center"/>
    </xf>
    <xf numFmtId="0" fontId="5" fillId="7" borderId="24" xfId="0" applyFont="1" applyFill="1" applyBorder="1" applyAlignment="1" applyProtection="1">
      <alignment horizontal="right"/>
    </xf>
    <xf numFmtId="0" fontId="9" fillId="7" borderId="3" xfId="0" applyFont="1" applyFill="1" applyBorder="1" applyAlignment="1" applyProtection="1">
      <alignment horizontal="left"/>
    </xf>
    <xf numFmtId="0" fontId="23" fillId="0" borderId="3" xfId="0" applyFont="1" applyFill="1" applyBorder="1" applyProtection="1"/>
    <xf numFmtId="0" fontId="9" fillId="0" borderId="11" xfId="0" applyFont="1" applyFill="1" applyBorder="1" applyAlignment="1" applyProtection="1">
      <alignment horizontal="center"/>
    </xf>
    <xf numFmtId="0" fontId="1" fillId="7" borderId="17" xfId="0" applyFont="1" applyFill="1" applyBorder="1" applyAlignment="1" applyProtection="1">
      <alignment horizontal="center"/>
    </xf>
    <xf numFmtId="0" fontId="5" fillId="10" borderId="30" xfId="0" applyFont="1" applyFill="1" applyBorder="1" applyAlignment="1" applyProtection="1">
      <alignment horizontal="right"/>
    </xf>
    <xf numFmtId="0" fontId="5" fillId="10" borderId="13" xfId="0" applyFont="1" applyFill="1" applyBorder="1" applyAlignment="1" applyProtection="1">
      <alignment horizontal="right"/>
    </xf>
    <xf numFmtId="0" fontId="2" fillId="10" borderId="13" xfId="0" applyFont="1" applyFill="1" applyBorder="1" applyAlignment="1" applyProtection="1">
      <alignment horizontal="center"/>
    </xf>
    <xf numFmtId="0" fontId="9" fillId="10" borderId="51" xfId="0" applyFont="1" applyFill="1" applyBorder="1" applyAlignment="1" applyProtection="1">
      <alignment horizontal="center"/>
    </xf>
    <xf numFmtId="0" fontId="9" fillId="10" borderId="49" xfId="0" applyFont="1" applyFill="1" applyBorder="1" applyAlignment="1" applyProtection="1">
      <alignment horizontal="left"/>
    </xf>
    <xf numFmtId="0" fontId="2" fillId="10" borderId="49" xfId="0" applyFont="1" applyFill="1" applyBorder="1" applyAlignment="1" applyProtection="1">
      <alignment wrapText="1"/>
    </xf>
    <xf numFmtId="0" fontId="5" fillId="10" borderId="49" xfId="0" applyFont="1" applyFill="1" applyBorder="1" applyAlignment="1" applyProtection="1">
      <alignment horizontal="left"/>
    </xf>
    <xf numFmtId="0" fontId="2" fillId="10" borderId="49" xfId="0" applyFont="1" applyFill="1" applyBorder="1" applyAlignment="1" applyProtection="1">
      <alignment horizontal="right"/>
    </xf>
    <xf numFmtId="0" fontId="5" fillId="10" borderId="49" xfId="0" applyFont="1" applyFill="1" applyBorder="1" applyAlignment="1" applyProtection="1">
      <alignment horizontal="right"/>
    </xf>
    <xf numFmtId="0" fontId="5" fillId="10" borderId="63" xfId="0" applyFont="1" applyFill="1" applyBorder="1" applyAlignment="1" applyProtection="1">
      <alignment horizontal="right"/>
    </xf>
    <xf numFmtId="164" fontId="9" fillId="10" borderId="4" xfId="0" applyNumberFormat="1" applyFont="1" applyFill="1" applyBorder="1" applyAlignment="1" applyProtection="1">
      <alignment horizontal="center"/>
    </xf>
    <xf numFmtId="164" fontId="9" fillId="11" borderId="4" xfId="0" applyNumberFormat="1" applyFont="1" applyFill="1" applyBorder="1" applyAlignment="1" applyProtection="1">
      <alignment horizontal="center"/>
    </xf>
    <xf numFmtId="0" fontId="5" fillId="5" borderId="30" xfId="0" applyFont="1" applyFill="1" applyBorder="1" applyAlignment="1" applyProtection="1">
      <alignment horizontal="center" wrapText="1"/>
    </xf>
    <xf numFmtId="44" fontId="5" fillId="5" borderId="22" xfId="2" applyFont="1" applyFill="1" applyBorder="1" applyProtection="1"/>
    <xf numFmtId="44" fontId="5" fillId="5" borderId="30" xfId="2" applyFont="1" applyFill="1" applyBorder="1" applyProtection="1"/>
    <xf numFmtId="9" fontId="9" fillId="5" borderId="1" xfId="2" applyNumberFormat="1" applyFont="1" applyFill="1" applyBorder="1" applyProtection="1"/>
    <xf numFmtId="2" fontId="9" fillId="5" borderId="1" xfId="2" applyNumberFormat="1" applyFont="1" applyFill="1" applyBorder="1" applyAlignment="1" applyProtection="1">
      <alignment horizontal="center"/>
    </xf>
    <xf numFmtId="0" fontId="2" fillId="10" borderId="27" xfId="0" applyFont="1" applyFill="1" applyBorder="1" applyAlignment="1" applyProtection="1"/>
    <xf numFmtId="0" fontId="2" fillId="10" borderId="18" xfId="0" applyFont="1" applyFill="1" applyBorder="1" applyAlignment="1" applyProtection="1"/>
    <xf numFmtId="0" fontId="2" fillId="10" borderId="18" xfId="0" applyFont="1" applyFill="1" applyBorder="1" applyAlignment="1" applyProtection="1">
      <alignment wrapText="1"/>
    </xf>
    <xf numFmtId="0" fontId="2" fillId="10" borderId="21" xfId="0" applyFont="1" applyFill="1" applyBorder="1" applyAlignment="1" applyProtection="1">
      <alignment wrapText="1"/>
    </xf>
    <xf numFmtId="0" fontId="5" fillId="12" borderId="1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9" fillId="2" borderId="3" xfId="0" applyFont="1" applyFill="1" applyBorder="1" applyAlignment="1" applyProtection="1"/>
    <xf numFmtId="0" fontId="9" fillId="0" borderId="3" xfId="0" applyFont="1" applyFill="1" applyBorder="1" applyAlignment="1" applyProtection="1"/>
    <xf numFmtId="0" fontId="12" fillId="0" borderId="4" xfId="0" applyFont="1" applyFill="1" applyBorder="1" applyAlignment="1" applyProtection="1">
      <alignment horizontal="left"/>
    </xf>
    <xf numFmtId="0" fontId="5" fillId="11" borderId="1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left"/>
    </xf>
    <xf numFmtId="0" fontId="1" fillId="7" borderId="3" xfId="0" applyFont="1" applyFill="1" applyBorder="1" applyAlignment="1" applyProtection="1">
      <alignment horizontal="center"/>
    </xf>
    <xf numFmtId="0" fontId="2" fillId="10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/>
    <xf numFmtId="0" fontId="2" fillId="0" borderId="0" xfId="0" applyFont="1" applyBorder="1" applyAlignment="1" applyProtection="1">
      <alignment horizontal="right"/>
    </xf>
    <xf numFmtId="44" fontId="35" fillId="3" borderId="1" xfId="2" applyFont="1" applyFill="1" applyBorder="1" applyProtection="1">
      <protection locked="0"/>
    </xf>
    <xf numFmtId="0" fontId="19" fillId="0" borderId="0" xfId="0" applyFont="1" applyBorder="1" applyAlignment="1" applyProtection="1"/>
    <xf numFmtId="0" fontId="3" fillId="0" borderId="0" xfId="0" applyFont="1" applyFill="1" applyBorder="1" applyAlignment="1" applyProtection="1">
      <alignment horizontal="right"/>
    </xf>
    <xf numFmtId="0" fontId="35" fillId="0" borderId="0" xfId="0" applyFont="1" applyAlignment="1" applyProtection="1">
      <alignment horizontal="center"/>
    </xf>
    <xf numFmtId="0" fontId="3" fillId="0" borderId="0" xfId="0" applyFont="1" applyBorder="1" applyAlignment="1" applyProtection="1"/>
    <xf numFmtId="0" fontId="35" fillId="0" borderId="0" xfId="0" applyFont="1" applyProtection="1"/>
    <xf numFmtId="0" fontId="3" fillId="0" borderId="0" xfId="0" applyFont="1" applyFill="1" applyBorder="1" applyAlignment="1" applyProtection="1"/>
    <xf numFmtId="14" fontId="37" fillId="3" borderId="44" xfId="2" applyNumberFormat="1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/>
    <xf numFmtId="0" fontId="3" fillId="0" borderId="0" xfId="0" applyFont="1" applyAlignment="1" applyProtection="1">
      <alignment horizontal="right"/>
    </xf>
    <xf numFmtId="0" fontId="37" fillId="3" borderId="44" xfId="2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44" fontId="36" fillId="0" borderId="0" xfId="2" applyFont="1" applyFill="1" applyBorder="1" applyProtection="1"/>
    <xf numFmtId="14" fontId="37" fillId="3" borderId="59" xfId="2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6" fillId="0" borderId="0" xfId="2" applyNumberFormat="1" applyFont="1" applyFill="1" applyBorder="1" applyAlignment="1" applyProtection="1">
      <alignment horizontal="center"/>
    </xf>
    <xf numFmtId="9" fontId="35" fillId="3" borderId="44" xfId="2" applyNumberFormat="1" applyFont="1" applyFill="1" applyBorder="1" applyAlignment="1" applyProtection="1">
      <alignment horizontal="center"/>
      <protection locked="0"/>
    </xf>
    <xf numFmtId="44" fontId="36" fillId="3" borderId="1" xfId="2" applyFont="1" applyFill="1" applyBorder="1" applyAlignment="1" applyProtection="1">
      <protection locked="0"/>
    </xf>
    <xf numFmtId="44" fontId="27" fillId="3" borderId="1" xfId="2" applyFont="1" applyFill="1" applyBorder="1" applyAlignment="1" applyProtection="1">
      <protection locked="0"/>
    </xf>
    <xf numFmtId="37" fontId="27" fillId="12" borderId="29" xfId="2" applyNumberFormat="1" applyFont="1" applyFill="1" applyBorder="1" applyAlignment="1" applyProtection="1"/>
    <xf numFmtId="14" fontId="38" fillId="3" borderId="44" xfId="2" applyNumberFormat="1" applyFont="1" applyFill="1" applyBorder="1" applyAlignment="1" applyProtection="1">
      <alignment horizontal="center"/>
      <protection locked="0"/>
    </xf>
    <xf numFmtId="14" fontId="38" fillId="3" borderId="59" xfId="2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0" fontId="2" fillId="0" borderId="0" xfId="0" applyFont="1" applyBorder="1" applyAlignment="1" applyProtection="1"/>
    <xf numFmtId="1" fontId="9" fillId="7" borderId="44" xfId="2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2" fillId="0" borderId="0" xfId="0" applyFont="1" applyProtection="1"/>
    <xf numFmtId="0" fontId="3" fillId="0" borderId="0" xfId="0" applyFont="1" applyProtection="1"/>
    <xf numFmtId="0" fontId="22" fillId="0" borderId="0" xfId="0" applyFont="1" applyFill="1" applyBorder="1" applyProtection="1"/>
    <xf numFmtId="44" fontId="27" fillId="0" borderId="0" xfId="2" applyFont="1" applyFill="1" applyBorder="1" applyAlignment="1" applyProtection="1"/>
    <xf numFmtId="44" fontId="18" fillId="0" borderId="0" xfId="2" applyFont="1" applyFill="1" applyBorder="1" applyAlignment="1" applyProtection="1"/>
    <xf numFmtId="44" fontId="36" fillId="0" borderId="0" xfId="2" applyFont="1" applyFill="1" applyBorder="1" applyAlignment="1" applyProtection="1"/>
    <xf numFmtId="0" fontId="5" fillId="0" borderId="0" xfId="0" applyFont="1" applyProtection="1"/>
  </cellXfs>
  <cellStyles count="6">
    <cellStyle name="Comma" xfId="1" builtinId="3"/>
    <cellStyle name="Currency" xfId="2" builtinId="4"/>
    <cellStyle name="Hyperlink 2" xfId="3"/>
    <cellStyle name="Normal" xfId="0" builtinId="0"/>
    <cellStyle name="Normal 2" xfId="4"/>
    <cellStyle name="Percent" xfId="5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222"/>
  <sheetViews>
    <sheetView zoomScaleNormal="100" workbookViewId="0">
      <selection activeCell="I11" sqref="I11"/>
    </sheetView>
  </sheetViews>
  <sheetFormatPr defaultColWidth="0" defaultRowHeight="13.8" zeroHeight="1" x14ac:dyDescent="0.3"/>
  <cols>
    <col min="1" max="2" width="16.109375" style="1" bestFit="1" customWidth="1"/>
    <col min="3" max="3" width="9.33203125" style="1" customWidth="1"/>
    <col min="4" max="4" width="3.5546875" style="1" customWidth="1"/>
    <col min="5" max="5" width="74.109375" style="1" customWidth="1"/>
    <col min="6" max="6" width="11.33203125" style="1" bestFit="1" customWidth="1"/>
    <col min="7" max="7" width="12.109375" style="1" customWidth="1"/>
    <col min="8" max="8" width="11.33203125" style="1" customWidth="1"/>
    <col min="9" max="9" width="16.5546875" style="1" customWidth="1"/>
    <col min="10" max="10" width="8.109375" style="1" bestFit="1" customWidth="1"/>
    <col min="11" max="11" width="9.109375" style="1" customWidth="1"/>
    <col min="12" max="12" width="17.109375" style="1" customWidth="1"/>
    <col min="13" max="13" width="14" style="1" customWidth="1"/>
    <col min="14" max="14" width="11.5546875" style="223" customWidth="1"/>
    <col min="15" max="15" width="14.109375" style="1" customWidth="1"/>
    <col min="16" max="16" width="8" style="1" bestFit="1" customWidth="1"/>
    <col min="17" max="17" width="12.33203125" style="1" hidden="1" customWidth="1"/>
    <col min="18" max="26" width="9.109375" style="1" hidden="1" customWidth="1"/>
    <col min="27" max="51" width="0" style="1" hidden="1" customWidth="1"/>
    <col min="52" max="16384" width="9.109375" style="1" hidden="1"/>
  </cols>
  <sheetData>
    <row r="1" spans="1:51" ht="15.6" x14ac:dyDescent="0.3">
      <c r="A1" s="507" t="s">
        <v>64</v>
      </c>
      <c r="B1" s="507"/>
      <c r="L1" s="223"/>
      <c r="N1" s="1"/>
      <c r="O1" s="893" t="s">
        <v>395</v>
      </c>
    </row>
    <row r="2" spans="1:51" ht="16.2" thickBot="1" x14ac:dyDescent="0.35">
      <c r="A2" s="228"/>
      <c r="B2" s="859" t="s">
        <v>44</v>
      </c>
      <c r="C2" s="860"/>
      <c r="D2" s="224"/>
      <c r="E2" s="509" t="s">
        <v>78</v>
      </c>
      <c r="F2" s="368"/>
      <c r="H2" s="510"/>
      <c r="I2" s="511"/>
      <c r="J2" s="512" t="s">
        <v>40</v>
      </c>
      <c r="K2" s="369"/>
      <c r="L2" s="223"/>
      <c r="N2" s="1"/>
    </row>
    <row r="3" spans="1:51" ht="15.6" x14ac:dyDescent="0.3">
      <c r="C3" s="227"/>
      <c r="D3" s="227"/>
      <c r="E3" s="509" t="s">
        <v>79</v>
      </c>
      <c r="F3" s="368"/>
      <c r="G3" s="885"/>
      <c r="J3" s="510"/>
      <c r="K3" s="511"/>
      <c r="L3" s="513"/>
      <c r="M3" s="514"/>
      <c r="O3" s="122"/>
    </row>
    <row r="4" spans="1:51" ht="16.2" thickBot="1" x14ac:dyDescent="0.35">
      <c r="C4" s="227"/>
      <c r="D4" s="227"/>
      <c r="E4" s="228"/>
      <c r="F4" s="224"/>
      <c r="G4" s="228"/>
      <c r="H4" s="515"/>
      <c r="I4" s="516"/>
      <c r="J4" s="512" t="s">
        <v>67</v>
      </c>
      <c r="K4" s="370">
        <v>0.05</v>
      </c>
      <c r="O4" s="122"/>
    </row>
    <row r="5" spans="1:51" x14ac:dyDescent="0.3">
      <c r="C5" s="227"/>
      <c r="D5" s="227"/>
      <c r="E5" s="228"/>
      <c r="F5" s="224"/>
      <c r="G5" s="228"/>
      <c r="H5" s="224"/>
      <c r="I5" s="228"/>
      <c r="J5" s="226"/>
      <c r="K5" s="225"/>
      <c r="L5" s="229"/>
      <c r="M5" s="230"/>
      <c r="O5" s="122"/>
    </row>
    <row r="6" spans="1:51" x14ac:dyDescent="0.3">
      <c r="C6" s="227"/>
      <c r="D6" s="227"/>
      <c r="E6" s="228"/>
      <c r="F6" s="224"/>
      <c r="G6" s="228"/>
      <c r="H6" s="224"/>
      <c r="I6" s="228"/>
    </row>
    <row r="7" spans="1:51" ht="18.75" customHeight="1" thickBot="1" x14ac:dyDescent="0.35">
      <c r="F7" s="225"/>
      <c r="H7" s="225"/>
      <c r="K7" s="225"/>
      <c r="L7" s="229" t="s">
        <v>140</v>
      </c>
      <c r="M7" s="816">
        <f>F3-F2+1</f>
        <v>1</v>
      </c>
      <c r="N7" s="538">
        <f>ROUND(M7/30,0)</f>
        <v>0</v>
      </c>
    </row>
    <row r="8" spans="1:51" ht="14.4" thickBot="1" x14ac:dyDescent="0.35">
      <c r="E8" s="232"/>
      <c r="F8" s="225"/>
      <c r="H8" s="225"/>
      <c r="I8" s="457" t="s">
        <v>135</v>
      </c>
      <c r="J8" s="458"/>
      <c r="L8" s="459" t="s">
        <v>34</v>
      </c>
      <c r="M8" s="464"/>
      <c r="O8" s="234"/>
    </row>
    <row r="9" spans="1:51" ht="39" customHeight="1" thickBot="1" x14ac:dyDescent="0.3">
      <c r="A9" s="732" t="s">
        <v>81</v>
      </c>
      <c r="B9" s="733" t="s">
        <v>82</v>
      </c>
      <c r="C9" s="734" t="s">
        <v>29</v>
      </c>
      <c r="D9" s="732"/>
      <c r="E9" s="735" t="s">
        <v>35</v>
      </c>
      <c r="F9" s="736" t="s">
        <v>272</v>
      </c>
      <c r="G9" s="737" t="s">
        <v>6</v>
      </c>
      <c r="H9" s="738" t="s">
        <v>36</v>
      </c>
      <c r="I9" s="487" t="s">
        <v>63</v>
      </c>
      <c r="J9" s="739" t="s">
        <v>28</v>
      </c>
      <c r="K9" s="488" t="s">
        <v>37</v>
      </c>
      <c r="L9" s="489" t="s">
        <v>38</v>
      </c>
      <c r="M9" s="121" t="s">
        <v>39</v>
      </c>
      <c r="N9" s="488" t="s">
        <v>65</v>
      </c>
      <c r="O9" s="811" t="s">
        <v>66</v>
      </c>
      <c r="AY9" s="225">
        <v>5</v>
      </c>
    </row>
    <row r="10" spans="1:51" ht="13.5" customHeight="1" x14ac:dyDescent="0.25">
      <c r="A10" s="626"/>
      <c r="B10" s="627"/>
      <c r="C10" s="628"/>
      <c r="D10" s="628"/>
      <c r="E10" s="721" t="s">
        <v>334</v>
      </c>
      <c r="F10" s="628"/>
      <c r="G10" s="628"/>
      <c r="H10" s="629"/>
      <c r="I10" s="640"/>
      <c r="J10" s="640"/>
      <c r="K10" s="640"/>
      <c r="L10" s="640"/>
      <c r="M10" s="640"/>
      <c r="N10" s="640"/>
      <c r="O10" s="641"/>
      <c r="AY10" s="225"/>
    </row>
    <row r="11" spans="1:51" s="239" customFormat="1" ht="13.5" customHeight="1" x14ac:dyDescent="0.25">
      <c r="A11" s="241" t="s">
        <v>94</v>
      </c>
      <c r="B11" s="241" t="s">
        <v>94</v>
      </c>
      <c r="C11" s="262" t="s">
        <v>8</v>
      </c>
      <c r="D11" s="517"/>
      <c r="E11" s="126" t="s">
        <v>7</v>
      </c>
      <c r="F11" s="12" t="s">
        <v>9</v>
      </c>
      <c r="G11" s="12">
        <v>28</v>
      </c>
      <c r="H11" s="13">
        <f>G11*K11</f>
        <v>3024</v>
      </c>
      <c r="I11" s="60"/>
      <c r="J11" s="61"/>
      <c r="K11" s="46">
        <v>108</v>
      </c>
      <c r="L11" s="8">
        <f>ROUND(M11/H11,0)</f>
        <v>0</v>
      </c>
      <c r="M11" s="9">
        <f>I11</f>
        <v>0</v>
      </c>
      <c r="N11" s="106">
        <f>((L11/$M$7)*G11)</f>
        <v>0</v>
      </c>
      <c r="O11" s="238"/>
    </row>
    <row r="12" spans="1:51" s="239" customFormat="1" ht="13.5" customHeight="1" x14ac:dyDescent="0.25">
      <c r="A12" s="236" t="s">
        <v>95</v>
      </c>
      <c r="B12" s="236" t="s">
        <v>95</v>
      </c>
      <c r="C12" s="262" t="s">
        <v>8</v>
      </c>
      <c r="D12" s="517"/>
      <c r="E12" s="126" t="s">
        <v>10</v>
      </c>
      <c r="F12" s="12" t="s">
        <v>9</v>
      </c>
      <c r="G12" s="12">
        <v>35</v>
      </c>
      <c r="H12" s="13">
        <f>G12*K12</f>
        <v>1435</v>
      </c>
      <c r="I12" s="16"/>
      <c r="J12" s="61"/>
      <c r="K12" s="63">
        <v>41</v>
      </c>
      <c r="L12" s="8">
        <f>ROUND(M12/H12,0)</f>
        <v>0</v>
      </c>
      <c r="M12" s="14">
        <f>I12</f>
        <v>0</v>
      </c>
      <c r="N12" s="104">
        <f>((L12/$M$7)*G12)</f>
        <v>0</v>
      </c>
      <c r="O12" s="238"/>
    </row>
    <row r="13" spans="1:51" s="239" customFormat="1" ht="13.5" customHeight="1" thickBot="1" x14ac:dyDescent="0.3">
      <c r="A13" s="241" t="s">
        <v>100</v>
      </c>
      <c r="B13" s="241" t="s">
        <v>100</v>
      </c>
      <c r="C13" s="264" t="s">
        <v>8</v>
      </c>
      <c r="D13" s="517"/>
      <c r="E13" s="59" t="s">
        <v>14</v>
      </c>
      <c r="F13" s="4" t="s">
        <v>13</v>
      </c>
      <c r="G13" s="4">
        <v>9</v>
      </c>
      <c r="H13" s="5">
        <f>(G13*K13)</f>
        <v>522</v>
      </c>
      <c r="I13" s="596"/>
      <c r="J13" s="61"/>
      <c r="K13" s="313">
        <v>58</v>
      </c>
      <c r="L13" s="8">
        <f>ROUND(M13/(H13+H14+H15),0)</f>
        <v>0</v>
      </c>
      <c r="M13" s="314">
        <f>I13</f>
        <v>0</v>
      </c>
      <c r="N13" s="322">
        <f>((L13/$M$7)*SUM(G13:G15))</f>
        <v>0</v>
      </c>
      <c r="O13" s="238"/>
    </row>
    <row r="14" spans="1:51" s="239" customFormat="1" ht="13.5" customHeight="1" x14ac:dyDescent="0.25">
      <c r="A14" s="236" t="s">
        <v>101</v>
      </c>
      <c r="B14" s="236" t="s">
        <v>101</v>
      </c>
      <c r="C14" s="262" t="s">
        <v>8</v>
      </c>
      <c r="D14" s="517"/>
      <c r="E14" s="126" t="s">
        <v>45</v>
      </c>
      <c r="F14" s="12" t="s">
        <v>13</v>
      </c>
      <c r="G14" s="12">
        <v>10</v>
      </c>
      <c r="H14" s="13">
        <f>(G14*K14)</f>
        <v>180</v>
      </c>
      <c r="I14" s="331"/>
      <c r="J14" s="61"/>
      <c r="K14" s="306">
        <v>18</v>
      </c>
      <c r="L14" s="96"/>
      <c r="M14" s="62"/>
      <c r="N14" s="99"/>
      <c r="O14" s="238"/>
    </row>
    <row r="15" spans="1:51" s="239" customFormat="1" ht="13.5" customHeight="1" thickBot="1" x14ac:dyDescent="0.3">
      <c r="A15" s="236" t="s">
        <v>102</v>
      </c>
      <c r="B15" s="236" t="s">
        <v>102</v>
      </c>
      <c r="C15" s="262" t="s">
        <v>8</v>
      </c>
      <c r="D15" s="517"/>
      <c r="E15" s="126" t="s">
        <v>46</v>
      </c>
      <c r="F15" s="12" t="s">
        <v>13</v>
      </c>
      <c r="G15" s="12">
        <v>32</v>
      </c>
      <c r="H15" s="13">
        <f>(G15*K15)</f>
        <v>544</v>
      </c>
      <c r="I15" s="186"/>
      <c r="J15" s="61"/>
      <c r="K15" s="306">
        <v>17</v>
      </c>
      <c r="L15" s="55"/>
      <c r="M15" s="52"/>
      <c r="N15" s="99"/>
      <c r="O15" s="238"/>
    </row>
    <row r="16" spans="1:51" s="239" customFormat="1" ht="13.5" customHeight="1" thickBot="1" x14ac:dyDescent="0.3">
      <c r="A16" s="236" t="s">
        <v>96</v>
      </c>
      <c r="B16" s="236" t="s">
        <v>96</v>
      </c>
      <c r="C16" s="262" t="s">
        <v>8</v>
      </c>
      <c r="D16" s="517"/>
      <c r="E16" s="126" t="s">
        <v>11</v>
      </c>
      <c r="F16" s="12" t="s">
        <v>9</v>
      </c>
      <c r="G16" s="12">
        <v>5</v>
      </c>
      <c r="H16" s="13">
        <f>G16*K16</f>
        <v>1120</v>
      </c>
      <c r="I16" s="16"/>
      <c r="J16" s="61"/>
      <c r="K16" s="313">
        <v>224</v>
      </c>
      <c r="L16" s="64">
        <f>ROUND(M16/H16,0)</f>
        <v>0</v>
      </c>
      <c r="M16" s="65">
        <f>I16</f>
        <v>0</v>
      </c>
      <c r="N16" s="105">
        <f>(L16/$M$7)*G16</f>
        <v>0</v>
      </c>
      <c r="O16" s="238"/>
    </row>
    <row r="17" spans="1:16" s="239" customFormat="1" ht="13.5" customHeight="1" thickBot="1" x14ac:dyDescent="0.3">
      <c r="A17" s="236" t="s">
        <v>97</v>
      </c>
      <c r="B17" s="236" t="s">
        <v>97</v>
      </c>
      <c r="C17" s="262" t="s">
        <v>8</v>
      </c>
      <c r="D17" s="517"/>
      <c r="E17" s="126" t="s">
        <v>12</v>
      </c>
      <c r="F17" s="12" t="s">
        <v>9</v>
      </c>
      <c r="G17" s="12">
        <v>6</v>
      </c>
      <c r="H17" s="13">
        <f>G17*K17</f>
        <v>510</v>
      </c>
      <c r="I17" s="16"/>
      <c r="J17" s="61"/>
      <c r="K17" s="46">
        <v>85</v>
      </c>
      <c r="L17" s="64">
        <f>ROUND(M17/H17,0)</f>
        <v>0</v>
      </c>
      <c r="M17" s="14">
        <f>I17</f>
        <v>0</v>
      </c>
      <c r="N17" s="106">
        <f>(L17/$M$7)*G17</f>
        <v>0</v>
      </c>
      <c r="O17" s="238"/>
    </row>
    <row r="18" spans="1:16" s="239" customFormat="1" ht="13.5" customHeight="1" thickBot="1" x14ac:dyDescent="0.3">
      <c r="A18" s="236" t="s">
        <v>98</v>
      </c>
      <c r="B18" s="236" t="s">
        <v>98</v>
      </c>
      <c r="C18" s="262" t="s">
        <v>8</v>
      </c>
      <c r="D18" s="517"/>
      <c r="E18" s="126" t="s">
        <v>83</v>
      </c>
      <c r="F18" s="12" t="s">
        <v>9</v>
      </c>
      <c r="G18" s="12">
        <v>28</v>
      </c>
      <c r="H18" s="13">
        <f>K18*G18</f>
        <v>4816</v>
      </c>
      <c r="I18" s="60"/>
      <c r="J18" s="61"/>
      <c r="K18" s="313">
        <v>172</v>
      </c>
      <c r="L18" s="64">
        <f>ROUND(M18/H18,0)</f>
        <v>0</v>
      </c>
      <c r="M18" s="18">
        <f>I18</f>
        <v>0</v>
      </c>
      <c r="N18" s="322">
        <f>(L18/$M$7)*G18</f>
        <v>0</v>
      </c>
      <c r="O18" s="238"/>
    </row>
    <row r="19" spans="1:16" s="239" customFormat="1" ht="13.5" customHeight="1" thickBot="1" x14ac:dyDescent="0.3">
      <c r="A19" s="518" t="s">
        <v>99</v>
      </c>
      <c r="B19" s="518" t="s">
        <v>99</v>
      </c>
      <c r="C19" s="323" t="s">
        <v>8</v>
      </c>
      <c r="D19" s="30"/>
      <c r="E19" s="75" t="s">
        <v>385</v>
      </c>
      <c r="F19" s="24" t="s">
        <v>9</v>
      </c>
      <c r="G19" s="19">
        <v>28</v>
      </c>
      <c r="H19" s="22">
        <f>G19*K19</f>
        <v>952</v>
      </c>
      <c r="I19" s="331"/>
      <c r="J19" s="61"/>
      <c r="K19" s="316">
        <v>34</v>
      </c>
      <c r="L19" s="96"/>
      <c r="M19" s="62"/>
      <c r="N19" s="99"/>
      <c r="O19" s="238"/>
    </row>
    <row r="20" spans="1:16" s="239" customFormat="1" ht="13.5" customHeight="1" thickBot="1" x14ac:dyDescent="0.3">
      <c r="A20" s="634"/>
      <c r="B20" s="468"/>
      <c r="C20" s="466"/>
      <c r="D20" s="635" t="s">
        <v>75</v>
      </c>
      <c r="E20" s="636"/>
      <c r="F20" s="467"/>
      <c r="G20" s="468"/>
      <c r="H20" s="637"/>
      <c r="I20" s="186"/>
      <c r="J20" s="15"/>
      <c r="K20" s="491"/>
      <c r="L20" s="55"/>
      <c r="M20" s="52"/>
      <c r="N20" s="99"/>
      <c r="O20" s="238"/>
    </row>
    <row r="21" spans="1:16" s="239" customFormat="1" ht="13.5" customHeight="1" x14ac:dyDescent="0.25">
      <c r="A21" s="547" t="s">
        <v>133</v>
      </c>
      <c r="B21" s="547" t="s">
        <v>133</v>
      </c>
      <c r="C21" s="262" t="s">
        <v>8</v>
      </c>
      <c r="D21" s="30"/>
      <c r="E21" s="442" t="s">
        <v>4</v>
      </c>
      <c r="F21" s="294" t="s">
        <v>233</v>
      </c>
      <c r="G21" s="19">
        <v>365</v>
      </c>
      <c r="H21" s="22">
        <f>G21*K21</f>
        <v>8760</v>
      </c>
      <c r="I21" s="324"/>
      <c r="J21" s="76"/>
      <c r="K21" s="102">
        <v>24</v>
      </c>
      <c r="L21" s="64">
        <f>ROUND(M21/H21*G21/M$7,0)</f>
        <v>0</v>
      </c>
      <c r="M21" s="65">
        <f>I21</f>
        <v>0</v>
      </c>
      <c r="N21" s="321">
        <f>L21</f>
        <v>0</v>
      </c>
      <c r="O21" s="238"/>
    </row>
    <row r="22" spans="1:16" s="239" customFormat="1" ht="13.5" customHeight="1" thickBot="1" x14ac:dyDescent="0.3">
      <c r="A22" s="123" t="s">
        <v>134</v>
      </c>
      <c r="B22" s="123" t="s">
        <v>134</v>
      </c>
      <c r="C22" s="264" t="s">
        <v>8</v>
      </c>
      <c r="D22" s="27"/>
      <c r="E22" s="28" t="s">
        <v>5</v>
      </c>
      <c r="F22" s="273" t="s">
        <v>233</v>
      </c>
      <c r="G22" s="4">
        <v>365</v>
      </c>
      <c r="H22" s="5">
        <f>G22*K22</f>
        <v>6205</v>
      </c>
      <c r="I22" s="16"/>
      <c r="J22" s="76"/>
      <c r="K22" s="102">
        <v>17</v>
      </c>
      <c r="L22" s="17">
        <f>ROUND(M22/H22*G22/M7,0)</f>
        <v>0</v>
      </c>
      <c r="M22" s="314">
        <f>I22-I23</f>
        <v>0</v>
      </c>
      <c r="N22" s="322">
        <f>L22</f>
        <v>0</v>
      </c>
      <c r="O22" s="238"/>
      <c r="P22" s="519"/>
    </row>
    <row r="23" spans="1:16" s="239" customFormat="1" ht="13.5" customHeight="1" thickBot="1" x14ac:dyDescent="0.3">
      <c r="A23" s="397" t="s">
        <v>335</v>
      </c>
      <c r="B23" s="397" t="s">
        <v>335</v>
      </c>
      <c r="C23" s="264" t="s">
        <v>8</v>
      </c>
      <c r="D23" s="107"/>
      <c r="E23" s="520" t="s">
        <v>337</v>
      </c>
      <c r="F23" s="290" t="s">
        <v>336</v>
      </c>
      <c r="G23" s="24">
        <v>12</v>
      </c>
      <c r="H23" s="5">
        <f>K23*G23</f>
        <v>11744.039999999999</v>
      </c>
      <c r="I23" s="187"/>
      <c r="J23" s="15"/>
      <c r="K23" s="102">
        <v>978.67</v>
      </c>
      <c r="L23" s="64" t="e">
        <f>ROUND(M23/(H23+H24)*G23/N7,0)</f>
        <v>#DIV/0!</v>
      </c>
      <c r="M23" s="65">
        <f>I23</f>
        <v>0</v>
      </c>
      <c r="N23" s="321" t="e">
        <f>L23</f>
        <v>#DIV/0!</v>
      </c>
      <c r="O23" s="238"/>
      <c r="P23" s="519"/>
    </row>
    <row r="24" spans="1:16" s="239" customFormat="1" ht="13.5" customHeight="1" thickBot="1" x14ac:dyDescent="0.3">
      <c r="A24" s="397" t="s">
        <v>348</v>
      </c>
      <c r="B24" s="397" t="s">
        <v>348</v>
      </c>
      <c r="C24" s="264" t="s">
        <v>8</v>
      </c>
      <c r="D24" s="439"/>
      <c r="E24" s="520" t="s">
        <v>347</v>
      </c>
      <c r="F24" s="441" t="s">
        <v>336</v>
      </c>
      <c r="G24" s="385">
        <v>12</v>
      </c>
      <c r="H24" s="5">
        <f t="shared" ref="H24" si="0">G24*K24</f>
        <v>2820</v>
      </c>
      <c r="I24" s="615"/>
      <c r="J24" s="15"/>
      <c r="K24" s="102">
        <v>235</v>
      </c>
      <c r="L24" s="253"/>
      <c r="M24" s="501"/>
      <c r="N24" s="253"/>
      <c r="O24" s="238"/>
      <c r="P24" s="519"/>
    </row>
    <row r="25" spans="1:16" s="239" customFormat="1" ht="13.5" customHeight="1" thickBot="1" x14ac:dyDescent="0.3">
      <c r="A25" s="123" t="s">
        <v>107</v>
      </c>
      <c r="B25" s="123" t="s">
        <v>107</v>
      </c>
      <c r="C25" s="264" t="s">
        <v>8</v>
      </c>
      <c r="D25" s="30"/>
      <c r="E25" s="112" t="s">
        <v>92</v>
      </c>
      <c r="F25" s="273" t="s">
        <v>141</v>
      </c>
      <c r="G25" s="24">
        <v>1</v>
      </c>
      <c r="H25" s="71">
        <v>40.270000000000003</v>
      </c>
      <c r="I25" s="754"/>
      <c r="J25" s="103">
        <v>0.05</v>
      </c>
      <c r="K25" s="465">
        <v>40.270000000000003</v>
      </c>
      <c r="L25" s="33"/>
      <c r="M25" s="361">
        <f>I25</f>
        <v>0</v>
      </c>
      <c r="N25" s="99"/>
      <c r="O25" s="238"/>
      <c r="P25" s="519"/>
    </row>
    <row r="26" spans="1:16" s="239" customFormat="1" ht="13.5" customHeight="1" x14ac:dyDescent="0.25">
      <c r="A26" s="123" t="s">
        <v>103</v>
      </c>
      <c r="B26" s="123" t="s">
        <v>103</v>
      </c>
      <c r="C26" s="264" t="s">
        <v>8</v>
      </c>
      <c r="D26" s="84"/>
      <c r="E26" s="108" t="s">
        <v>55</v>
      </c>
      <c r="F26" s="273" t="s">
        <v>141</v>
      </c>
      <c r="G26" s="4">
        <v>1</v>
      </c>
      <c r="H26" s="116">
        <v>11.84</v>
      </c>
      <c r="I26" s="31"/>
      <c r="J26" s="15"/>
      <c r="K26" s="102">
        <v>11.84</v>
      </c>
      <c r="L26" s="78"/>
      <c r="M26" s="254"/>
      <c r="N26" s="99"/>
      <c r="O26" s="238"/>
      <c r="P26" s="519"/>
    </row>
    <row r="27" spans="1:16" s="239" customFormat="1" ht="13.5" customHeight="1" x14ac:dyDescent="0.25">
      <c r="A27" s="123" t="s">
        <v>104</v>
      </c>
      <c r="B27" s="123" t="s">
        <v>104</v>
      </c>
      <c r="C27" s="264" t="s">
        <v>8</v>
      </c>
      <c r="D27" s="27"/>
      <c r="E27" s="108" t="s">
        <v>56</v>
      </c>
      <c r="F27" s="273" t="s">
        <v>141</v>
      </c>
      <c r="G27" s="4">
        <v>1</v>
      </c>
      <c r="H27" s="72">
        <v>16.350000000000001</v>
      </c>
      <c r="I27" s="31"/>
      <c r="J27" s="15"/>
      <c r="K27" s="102">
        <v>16.350000000000001</v>
      </c>
      <c r="L27" s="33"/>
      <c r="M27" s="34"/>
      <c r="N27" s="99"/>
      <c r="O27" s="238"/>
      <c r="P27" s="519"/>
    </row>
    <row r="28" spans="1:16" s="239" customFormat="1" ht="13.5" customHeight="1" x14ac:dyDescent="0.25">
      <c r="A28" s="123" t="s">
        <v>105</v>
      </c>
      <c r="B28" s="123" t="s">
        <v>105</v>
      </c>
      <c r="C28" s="264" t="s">
        <v>8</v>
      </c>
      <c r="D28" s="30"/>
      <c r="E28" s="101" t="s">
        <v>58</v>
      </c>
      <c r="F28" s="273" t="s">
        <v>141</v>
      </c>
      <c r="G28" s="24">
        <v>1</v>
      </c>
      <c r="H28" s="71">
        <v>10.18</v>
      </c>
      <c r="I28" s="31"/>
      <c r="J28" s="15"/>
      <c r="K28" s="102">
        <v>10.18</v>
      </c>
      <c r="L28" s="33"/>
      <c r="M28" s="34"/>
      <c r="N28" s="99"/>
      <c r="O28" s="238"/>
      <c r="P28" s="519"/>
    </row>
    <row r="29" spans="1:16" s="239" customFormat="1" ht="13.5" customHeight="1" x14ac:dyDescent="0.25">
      <c r="A29" s="123" t="s">
        <v>106</v>
      </c>
      <c r="B29" s="123" t="s">
        <v>106</v>
      </c>
      <c r="C29" s="264" t="s">
        <v>8</v>
      </c>
      <c r="D29" s="27"/>
      <c r="E29" s="108" t="s">
        <v>57</v>
      </c>
      <c r="F29" s="273" t="s">
        <v>141</v>
      </c>
      <c r="G29" s="4">
        <v>1</v>
      </c>
      <c r="H29" s="72">
        <v>27.6</v>
      </c>
      <c r="I29" s="31"/>
      <c r="J29" s="15"/>
      <c r="K29" s="102">
        <v>27.6</v>
      </c>
      <c r="L29" s="33"/>
      <c r="M29" s="34"/>
      <c r="N29" s="99"/>
      <c r="O29" s="238"/>
      <c r="P29" s="519"/>
    </row>
    <row r="30" spans="1:16" s="239" customFormat="1" ht="13.5" customHeight="1" x14ac:dyDescent="0.25">
      <c r="A30" s="123" t="s">
        <v>108</v>
      </c>
      <c r="B30" s="123" t="s">
        <v>108</v>
      </c>
      <c r="C30" s="264" t="s">
        <v>8</v>
      </c>
      <c r="D30" s="27"/>
      <c r="E30" s="117" t="s">
        <v>59</v>
      </c>
      <c r="F30" s="273" t="s">
        <v>141</v>
      </c>
      <c r="G30" s="4">
        <v>1</v>
      </c>
      <c r="H30" s="71">
        <v>40.21</v>
      </c>
      <c r="I30" s="31"/>
      <c r="J30" s="15"/>
      <c r="K30" s="102">
        <v>40.21</v>
      </c>
      <c r="L30" s="33"/>
      <c r="M30" s="115"/>
      <c r="N30" s="114"/>
      <c r="O30" s="238"/>
      <c r="P30" s="519"/>
    </row>
    <row r="31" spans="1:16" s="239" customFormat="1" ht="13.5" customHeight="1" x14ac:dyDescent="0.25">
      <c r="A31" s="123" t="s">
        <v>259</v>
      </c>
      <c r="B31" s="123" t="s">
        <v>259</v>
      </c>
      <c r="C31" s="264" t="s">
        <v>8</v>
      </c>
      <c r="D31" s="27"/>
      <c r="E31" s="108" t="s">
        <v>80</v>
      </c>
      <c r="F31" s="273" t="s">
        <v>141</v>
      </c>
      <c r="G31" s="4">
        <v>1</v>
      </c>
      <c r="H31" s="72">
        <v>40.21</v>
      </c>
      <c r="I31" s="31"/>
      <c r="J31" s="15"/>
      <c r="K31" s="102">
        <v>40.21</v>
      </c>
      <c r="L31" s="33"/>
      <c r="M31" s="115"/>
      <c r="N31" s="114"/>
      <c r="O31" s="238"/>
      <c r="P31" s="519"/>
    </row>
    <row r="32" spans="1:16" s="239" customFormat="1" ht="13.5" customHeight="1" x14ac:dyDescent="0.25">
      <c r="A32" s="123" t="s">
        <v>261</v>
      </c>
      <c r="B32" s="123" t="s">
        <v>261</v>
      </c>
      <c r="C32" s="264" t="s">
        <v>8</v>
      </c>
      <c r="D32" s="23"/>
      <c r="E32" s="108" t="s">
        <v>60</v>
      </c>
      <c r="F32" s="273" t="s">
        <v>141</v>
      </c>
      <c r="G32" s="24">
        <v>1</v>
      </c>
      <c r="H32" s="72">
        <v>11.12</v>
      </c>
      <c r="I32" s="31"/>
      <c r="J32" s="15"/>
      <c r="K32" s="102">
        <v>11.12</v>
      </c>
      <c r="L32" s="33"/>
      <c r="M32" s="115"/>
      <c r="N32" s="114"/>
      <c r="O32" s="238"/>
      <c r="P32" s="519"/>
    </row>
    <row r="33" spans="1:51" s="239" customFormat="1" ht="13.5" customHeight="1" thickBot="1" x14ac:dyDescent="0.3">
      <c r="A33" s="548" t="s">
        <v>260</v>
      </c>
      <c r="B33" s="548" t="s">
        <v>260</v>
      </c>
      <c r="C33" s="265" t="s">
        <v>8</v>
      </c>
      <c r="D33" s="23"/>
      <c r="E33" s="456" t="s">
        <v>61</v>
      </c>
      <c r="F33" s="282" t="s">
        <v>141</v>
      </c>
      <c r="G33" s="24">
        <v>1</v>
      </c>
      <c r="H33" s="483">
        <v>33.270000000000003</v>
      </c>
      <c r="I33" s="31"/>
      <c r="J33" s="15"/>
      <c r="K33" s="102">
        <v>33.270000000000003</v>
      </c>
      <c r="L33" s="33"/>
      <c r="M33" s="34"/>
      <c r="N33" s="99"/>
      <c r="O33" s="238"/>
      <c r="P33" s="519"/>
    </row>
    <row r="34" spans="1:51" s="239" customFormat="1" ht="13.5" customHeight="1" thickBot="1" x14ac:dyDescent="0.3">
      <c r="A34" s="634"/>
      <c r="B34" s="468"/>
      <c r="C34" s="466"/>
      <c r="D34" s="633" t="s">
        <v>256</v>
      </c>
      <c r="E34" s="467"/>
      <c r="F34" s="467"/>
      <c r="G34" s="468"/>
      <c r="H34" s="638"/>
      <c r="I34" s="754"/>
      <c r="J34" s="103">
        <v>7.0000000000000007E-2</v>
      </c>
      <c r="K34" s="492"/>
      <c r="L34" s="33"/>
      <c r="M34" s="361">
        <f>I34</f>
        <v>0</v>
      </c>
      <c r="N34" s="99"/>
      <c r="O34" s="238"/>
      <c r="P34" s="519"/>
    </row>
    <row r="35" spans="1:51" s="239" customFormat="1" ht="13.5" customHeight="1" x14ac:dyDescent="0.25">
      <c r="A35" s="241" t="s">
        <v>262</v>
      </c>
      <c r="B35" s="241" t="s">
        <v>262</v>
      </c>
      <c r="C35" s="262" t="s">
        <v>8</v>
      </c>
      <c r="D35" s="30"/>
      <c r="E35" s="404" t="s">
        <v>257</v>
      </c>
      <c r="F35" s="290" t="s">
        <v>141</v>
      </c>
      <c r="G35" s="19">
        <v>7</v>
      </c>
      <c r="H35" s="639">
        <f>G35*K35</f>
        <v>391.09</v>
      </c>
      <c r="I35" s="31"/>
      <c r="J35" s="15"/>
      <c r="K35" s="319">
        <v>55.87</v>
      </c>
      <c r="L35" s="33"/>
      <c r="M35" s="34"/>
      <c r="N35" s="99"/>
      <c r="O35" s="238"/>
      <c r="P35" s="519"/>
    </row>
    <row r="36" spans="1:51" s="239" customFormat="1" ht="13.5" customHeight="1" x14ac:dyDescent="0.25">
      <c r="A36" s="236" t="s">
        <v>263</v>
      </c>
      <c r="B36" s="236" t="s">
        <v>263</v>
      </c>
      <c r="C36" s="264" t="s">
        <v>8</v>
      </c>
      <c r="D36" s="23"/>
      <c r="E36" s="400" t="s">
        <v>244</v>
      </c>
      <c r="F36" s="273" t="s">
        <v>141</v>
      </c>
      <c r="G36" s="24">
        <v>1</v>
      </c>
      <c r="H36" s="72">
        <f t="shared" ref="H36:H37" si="1">G36*K36</f>
        <v>21.1</v>
      </c>
      <c r="I36" s="31"/>
      <c r="J36" s="15"/>
      <c r="K36" s="317">
        <v>21.1</v>
      </c>
      <c r="L36" s="33"/>
      <c r="M36" s="34"/>
      <c r="N36" s="99"/>
      <c r="O36" s="238"/>
      <c r="P36" s="519"/>
    </row>
    <row r="37" spans="1:51" s="239" customFormat="1" ht="13.5" customHeight="1" x14ac:dyDescent="0.25">
      <c r="A37" s="236" t="s">
        <v>264</v>
      </c>
      <c r="B37" s="236" t="s">
        <v>264</v>
      </c>
      <c r="C37" s="264" t="s">
        <v>8</v>
      </c>
      <c r="D37" s="23"/>
      <c r="E37" s="400" t="s">
        <v>245</v>
      </c>
      <c r="F37" s="273" t="s">
        <v>141</v>
      </c>
      <c r="G37" s="24">
        <v>3</v>
      </c>
      <c r="H37" s="72">
        <f t="shared" si="1"/>
        <v>115.94999999999999</v>
      </c>
      <c r="I37" s="31"/>
      <c r="J37" s="15"/>
      <c r="K37" s="317">
        <v>38.65</v>
      </c>
      <c r="L37" s="33"/>
      <c r="M37" s="34"/>
      <c r="N37" s="99"/>
      <c r="O37" s="238"/>
      <c r="P37" s="519"/>
    </row>
    <row r="38" spans="1:51" s="239" customFormat="1" ht="13.5" customHeight="1" x14ac:dyDescent="0.25">
      <c r="A38" s="236" t="s">
        <v>265</v>
      </c>
      <c r="B38" s="236" t="s">
        <v>265</v>
      </c>
      <c r="C38" s="264" t="s">
        <v>8</v>
      </c>
      <c r="D38" s="23"/>
      <c r="E38" s="400" t="s">
        <v>251</v>
      </c>
      <c r="F38" s="273" t="s">
        <v>141</v>
      </c>
      <c r="G38" s="24">
        <v>1</v>
      </c>
      <c r="H38" s="72">
        <f>K38</f>
        <v>113.91</v>
      </c>
      <c r="I38" s="31"/>
      <c r="J38" s="15"/>
      <c r="K38" s="317">
        <v>113.91</v>
      </c>
      <c r="L38" s="33"/>
      <c r="M38" s="34"/>
      <c r="N38" s="99"/>
      <c r="O38" s="238"/>
      <c r="P38" s="519"/>
    </row>
    <row r="39" spans="1:51" s="239" customFormat="1" ht="13.5" customHeight="1" x14ac:dyDescent="0.25">
      <c r="A39" s="236" t="s">
        <v>266</v>
      </c>
      <c r="B39" s="236" t="s">
        <v>266</v>
      </c>
      <c r="C39" s="264" t="s">
        <v>8</v>
      </c>
      <c r="D39" s="23"/>
      <c r="E39" s="400" t="s">
        <v>258</v>
      </c>
      <c r="F39" s="273" t="s">
        <v>141</v>
      </c>
      <c r="G39" s="24">
        <v>1</v>
      </c>
      <c r="H39" s="72">
        <f>K39</f>
        <v>44.66</v>
      </c>
      <c r="I39" s="31"/>
      <c r="J39" s="15"/>
      <c r="K39" s="317">
        <v>44.66</v>
      </c>
      <c r="L39" s="33"/>
      <c r="M39" s="34"/>
      <c r="N39" s="99"/>
      <c r="O39" s="238"/>
      <c r="P39" s="519"/>
    </row>
    <row r="40" spans="1:51" s="239" customFormat="1" ht="13.5" customHeight="1" thickBot="1" x14ac:dyDescent="0.3">
      <c r="A40" s="518" t="s">
        <v>267</v>
      </c>
      <c r="B40" s="518" t="s">
        <v>267</v>
      </c>
      <c r="C40" s="265" t="s">
        <v>8</v>
      </c>
      <c r="D40" s="23"/>
      <c r="E40" s="456" t="s">
        <v>246</v>
      </c>
      <c r="F40" s="282" t="s">
        <v>141</v>
      </c>
      <c r="G40" s="24">
        <v>1</v>
      </c>
      <c r="H40" s="483">
        <f>K40</f>
        <v>60.34</v>
      </c>
      <c r="I40" s="31"/>
      <c r="J40" s="15"/>
      <c r="K40" s="318">
        <v>60.34</v>
      </c>
      <c r="L40" s="33"/>
      <c r="M40" s="34"/>
      <c r="N40" s="99"/>
      <c r="O40" s="238"/>
      <c r="P40" s="519"/>
    </row>
    <row r="41" spans="1:51" s="521" customFormat="1" ht="13.5" customHeight="1" thickBot="1" x14ac:dyDescent="0.3">
      <c r="A41" s="732"/>
      <c r="B41" s="741"/>
      <c r="C41" s="741"/>
      <c r="D41" s="741"/>
      <c r="E41" s="742"/>
      <c r="F41" s="741"/>
      <c r="G41" s="741"/>
      <c r="H41" s="741"/>
      <c r="I41" s="741" t="s">
        <v>30</v>
      </c>
      <c r="J41" s="743"/>
      <c r="K41" s="744"/>
      <c r="L41" s="745"/>
      <c r="M41" s="761">
        <f>SUM(M10:M40)</f>
        <v>0</v>
      </c>
      <c r="N41" s="746"/>
      <c r="O41" s="337">
        <f>M41*K4</f>
        <v>0</v>
      </c>
      <c r="P41" s="519"/>
    </row>
    <row r="42" spans="1:51" ht="13.5" customHeight="1" thickBot="1" x14ac:dyDescent="0.3">
      <c r="A42" s="626"/>
      <c r="B42" s="627"/>
      <c r="C42" s="628"/>
      <c r="D42" s="817"/>
      <c r="E42" s="818" t="s">
        <v>376</v>
      </c>
      <c r="F42" s="628"/>
      <c r="G42" s="628"/>
      <c r="H42" s="629"/>
      <c r="I42" s="630"/>
      <c r="J42" s="630"/>
      <c r="K42" s="630"/>
      <c r="L42" s="630"/>
      <c r="M42" s="630"/>
      <c r="N42" s="490"/>
      <c r="O42" s="490"/>
      <c r="AY42" s="225"/>
    </row>
    <row r="43" spans="1:51" s="239" customFormat="1" ht="13.5" customHeight="1" thickBot="1" x14ac:dyDescent="0.3">
      <c r="A43" s="241" t="s">
        <v>109</v>
      </c>
      <c r="B43" s="241" t="s">
        <v>109</v>
      </c>
      <c r="C43" s="74" t="s">
        <v>16</v>
      </c>
      <c r="D43" s="850"/>
      <c r="E43" s="851" t="s">
        <v>18</v>
      </c>
      <c r="F43" s="20" t="s">
        <v>9</v>
      </c>
      <c r="G43" s="19">
        <v>30</v>
      </c>
      <c r="H43" s="22">
        <f t="shared" ref="H43:H48" si="2">G43*K43</f>
        <v>3240</v>
      </c>
      <c r="I43" s="16"/>
      <c r="J43" s="15"/>
      <c r="K43" s="329">
        <v>108</v>
      </c>
      <c r="L43" s="41">
        <f>ROUND(M43/H43,0)</f>
        <v>0</v>
      </c>
      <c r="M43" s="346">
        <f>I43</f>
        <v>0</v>
      </c>
      <c r="N43" s="347">
        <f>(L43/M7)*G43</f>
        <v>0</v>
      </c>
      <c r="O43" s="238"/>
    </row>
    <row r="44" spans="1:51" s="239" customFormat="1" ht="13.5" customHeight="1" thickBot="1" x14ac:dyDescent="0.3">
      <c r="A44" s="236" t="s">
        <v>110</v>
      </c>
      <c r="B44" s="236" t="s">
        <v>110</v>
      </c>
      <c r="C44" s="42" t="s">
        <v>16</v>
      </c>
      <c r="D44" s="850"/>
      <c r="E44" s="851" t="s">
        <v>19</v>
      </c>
      <c r="F44" s="3" t="s">
        <v>9</v>
      </c>
      <c r="G44" s="4">
        <v>30</v>
      </c>
      <c r="H44" s="5">
        <f t="shared" si="2"/>
        <v>2370</v>
      </c>
      <c r="I44" s="16"/>
      <c r="J44" s="15"/>
      <c r="K44" s="313">
        <v>79</v>
      </c>
      <c r="L44" s="41">
        <f>ROUND(M44/H44,0)</f>
        <v>0</v>
      </c>
      <c r="M44" s="90">
        <f>I44</f>
        <v>0</v>
      </c>
      <c r="N44" s="348">
        <f>(L44/M7)*G44</f>
        <v>0</v>
      </c>
      <c r="O44" s="238"/>
    </row>
    <row r="45" spans="1:51" s="239" customFormat="1" ht="13.5" customHeight="1" thickBot="1" x14ac:dyDescent="0.3">
      <c r="A45" s="236" t="s">
        <v>113</v>
      </c>
      <c r="B45" s="236" t="s">
        <v>113</v>
      </c>
      <c r="C45" s="141" t="s">
        <v>16</v>
      </c>
      <c r="D45" s="850"/>
      <c r="E45" s="852" t="s">
        <v>20</v>
      </c>
      <c r="F45" s="144" t="s">
        <v>9</v>
      </c>
      <c r="G45" s="143">
        <v>45</v>
      </c>
      <c r="H45" s="145">
        <f t="shared" si="2"/>
        <v>9360</v>
      </c>
      <c r="I45" s="597"/>
      <c r="J45" s="15"/>
      <c r="K45" s="330">
        <v>208</v>
      </c>
      <c r="L45" s="41">
        <f>ROUND(M45/H45,0)</f>
        <v>0</v>
      </c>
      <c r="M45" s="350">
        <f>I45</f>
        <v>0</v>
      </c>
      <c r="N45" s="351">
        <f>(L45/M7)*G45</f>
        <v>0</v>
      </c>
      <c r="O45" s="238"/>
    </row>
    <row r="46" spans="1:51" s="239" customFormat="1" ht="13.5" customHeight="1" x14ac:dyDescent="0.25">
      <c r="A46" s="236" t="s">
        <v>114</v>
      </c>
      <c r="B46" s="236" t="s">
        <v>114</v>
      </c>
      <c r="C46" s="141" t="s">
        <v>16</v>
      </c>
      <c r="D46" s="146"/>
      <c r="E46" s="147" t="s">
        <v>386</v>
      </c>
      <c r="F46" s="144" t="s">
        <v>9</v>
      </c>
      <c r="G46" s="143">
        <v>35</v>
      </c>
      <c r="H46" s="145">
        <f t="shared" si="2"/>
        <v>1820</v>
      </c>
      <c r="I46" s="331"/>
      <c r="J46" s="15"/>
      <c r="K46" s="306">
        <v>52</v>
      </c>
      <c r="L46" s="55"/>
      <c r="M46" s="52"/>
      <c r="N46" s="99"/>
      <c r="O46" s="238"/>
    </row>
    <row r="47" spans="1:51" s="239" customFormat="1" ht="13.5" customHeight="1" thickBot="1" x14ac:dyDescent="0.3">
      <c r="A47" s="236" t="s">
        <v>115</v>
      </c>
      <c r="B47" s="236" t="s">
        <v>115</v>
      </c>
      <c r="C47" s="141" t="s">
        <v>16</v>
      </c>
      <c r="D47" s="146"/>
      <c r="E47" s="147" t="s">
        <v>387</v>
      </c>
      <c r="F47" s="144" t="s">
        <v>9</v>
      </c>
      <c r="G47" s="143">
        <v>35</v>
      </c>
      <c r="H47" s="145">
        <f t="shared" si="2"/>
        <v>3605</v>
      </c>
      <c r="I47" s="35"/>
      <c r="J47" s="15"/>
      <c r="K47" s="306">
        <v>103</v>
      </c>
      <c r="L47" s="55"/>
      <c r="M47" s="52"/>
      <c r="N47" s="99"/>
      <c r="O47" s="238"/>
    </row>
    <row r="48" spans="1:51" s="239" customFormat="1" ht="13.5" customHeight="1" x14ac:dyDescent="0.25">
      <c r="A48" s="236" t="s">
        <v>116</v>
      </c>
      <c r="B48" s="236" t="s">
        <v>116</v>
      </c>
      <c r="C48" s="141" t="s">
        <v>16</v>
      </c>
      <c r="D48" s="850"/>
      <c r="E48" s="852" t="s">
        <v>21</v>
      </c>
      <c r="F48" s="144" t="s">
        <v>9</v>
      </c>
      <c r="G48" s="143">
        <v>35</v>
      </c>
      <c r="H48" s="88">
        <f t="shared" si="2"/>
        <v>6195</v>
      </c>
      <c r="I48" s="324"/>
      <c r="J48" s="15"/>
      <c r="K48" s="330">
        <v>177</v>
      </c>
      <c r="L48" s="41">
        <f>ROUND(M48/H48,0)</f>
        <v>0</v>
      </c>
      <c r="M48" s="346">
        <f>I48</f>
        <v>0</v>
      </c>
      <c r="N48" s="347">
        <f>(L48/M7)*G48</f>
        <v>0</v>
      </c>
      <c r="O48" s="238"/>
    </row>
    <row r="49" spans="1:51" s="239" customFormat="1" ht="13.5" customHeight="1" thickBot="1" x14ac:dyDescent="0.3">
      <c r="A49" s="236" t="s">
        <v>117</v>
      </c>
      <c r="B49" s="236" t="s">
        <v>117</v>
      </c>
      <c r="C49" s="141" t="s">
        <v>16</v>
      </c>
      <c r="D49" s="850"/>
      <c r="E49" s="852" t="s">
        <v>22</v>
      </c>
      <c r="F49" s="144" t="s">
        <v>13</v>
      </c>
      <c r="G49" s="143">
        <v>9</v>
      </c>
      <c r="H49" s="145">
        <f>(G49*K49)</f>
        <v>693</v>
      </c>
      <c r="I49" s="597"/>
      <c r="J49" s="15"/>
      <c r="K49" s="313">
        <v>77</v>
      </c>
      <c r="L49" s="349">
        <f>ROUND(M49/(H49+H50+H51),0)</f>
        <v>0</v>
      </c>
      <c r="M49" s="350">
        <f>I49</f>
        <v>0</v>
      </c>
      <c r="N49" s="351">
        <f>(L49/M7)*SUM(G49:G51)</f>
        <v>0</v>
      </c>
      <c r="O49" s="238"/>
    </row>
    <row r="50" spans="1:51" s="239" customFormat="1" ht="13.5" customHeight="1" x14ac:dyDescent="0.25">
      <c r="A50" s="236" t="s">
        <v>118</v>
      </c>
      <c r="B50" s="236" t="s">
        <v>118</v>
      </c>
      <c r="C50" s="141" t="s">
        <v>16</v>
      </c>
      <c r="D50" s="850"/>
      <c r="E50" s="852" t="s">
        <v>47</v>
      </c>
      <c r="F50" s="144" t="s">
        <v>13</v>
      </c>
      <c r="G50" s="143">
        <v>10</v>
      </c>
      <c r="H50" s="145">
        <f>(G50*K50)</f>
        <v>280</v>
      </c>
      <c r="I50" s="331"/>
      <c r="J50" s="15"/>
      <c r="K50" s="306">
        <v>28</v>
      </c>
      <c r="L50" s="33"/>
      <c r="M50" s="34"/>
      <c r="N50" s="99"/>
      <c r="O50" s="238"/>
    </row>
    <row r="51" spans="1:51" s="239" customFormat="1" ht="13.5" customHeight="1" thickBot="1" x14ac:dyDescent="0.3">
      <c r="A51" s="236" t="s">
        <v>119</v>
      </c>
      <c r="B51" s="236" t="s">
        <v>119</v>
      </c>
      <c r="C51" s="148" t="s">
        <v>16</v>
      </c>
      <c r="D51" s="850"/>
      <c r="E51" s="852" t="s">
        <v>48</v>
      </c>
      <c r="F51" s="73" t="s">
        <v>13</v>
      </c>
      <c r="G51" s="149">
        <v>32</v>
      </c>
      <c r="H51" s="111">
        <f>(G51*K51)</f>
        <v>544</v>
      </c>
      <c r="I51" s="35"/>
      <c r="J51" s="15"/>
      <c r="K51" s="306">
        <v>17</v>
      </c>
      <c r="L51" s="55"/>
      <c r="M51" s="52"/>
      <c r="N51" s="100"/>
      <c r="O51" s="238"/>
    </row>
    <row r="52" spans="1:51" s="239" customFormat="1" ht="13.5" customHeight="1" x14ac:dyDescent="0.25">
      <c r="A52" s="236" t="s">
        <v>111</v>
      </c>
      <c r="B52" s="236" t="s">
        <v>111</v>
      </c>
      <c r="C52" s="42" t="s">
        <v>16</v>
      </c>
      <c r="D52" s="850"/>
      <c r="E52" s="851" t="s">
        <v>17</v>
      </c>
      <c r="F52" s="3" t="s">
        <v>9</v>
      </c>
      <c r="G52" s="4">
        <v>5</v>
      </c>
      <c r="H52" s="5">
        <f>G52*K52</f>
        <v>1120</v>
      </c>
      <c r="I52" s="324"/>
      <c r="J52" s="15"/>
      <c r="K52" s="313">
        <v>224</v>
      </c>
      <c r="L52" s="315">
        <f>ROUND(M52/H52,0)</f>
        <v>0</v>
      </c>
      <c r="M52" s="352">
        <f>I52</f>
        <v>0</v>
      </c>
      <c r="N52" s="353">
        <f>(L52/M7)*G52</f>
        <v>0</v>
      </c>
      <c r="O52" s="238"/>
    </row>
    <row r="53" spans="1:51" s="239" customFormat="1" ht="13.5" customHeight="1" thickBot="1" x14ac:dyDescent="0.3">
      <c r="A53" s="518" t="s">
        <v>112</v>
      </c>
      <c r="B53" s="518" t="s">
        <v>112</v>
      </c>
      <c r="C53" s="74" t="s">
        <v>16</v>
      </c>
      <c r="D53" s="850"/>
      <c r="E53" s="851" t="s">
        <v>15</v>
      </c>
      <c r="F53" s="20" t="s">
        <v>9</v>
      </c>
      <c r="G53" s="19">
        <v>6</v>
      </c>
      <c r="H53" s="22">
        <f>G53*K53</f>
        <v>510</v>
      </c>
      <c r="I53" s="631"/>
      <c r="J53" s="15"/>
      <c r="K53" s="330">
        <v>85</v>
      </c>
      <c r="L53" s="40">
        <f>ROUND(M53/H53,0)</f>
        <v>0</v>
      </c>
      <c r="M53" s="86">
        <f>I53</f>
        <v>0</v>
      </c>
      <c r="N53" s="354">
        <f>(L53/M7)*G53</f>
        <v>0</v>
      </c>
      <c r="O53" s="238"/>
    </row>
    <row r="54" spans="1:51" s="521" customFormat="1" ht="13.5" customHeight="1" thickBot="1" x14ac:dyDescent="0.3">
      <c r="A54" s="732"/>
      <c r="B54" s="741"/>
      <c r="C54" s="741"/>
      <c r="D54" s="819"/>
      <c r="E54" s="849"/>
      <c r="F54" s="741"/>
      <c r="G54" s="741"/>
      <c r="H54" s="741"/>
      <c r="I54" s="741" t="s">
        <v>31</v>
      </c>
      <c r="J54" s="743"/>
      <c r="K54" s="744"/>
      <c r="L54" s="745"/>
      <c r="M54" s="761">
        <f>SUM(M43:M53)</f>
        <v>0</v>
      </c>
      <c r="N54" s="747"/>
      <c r="O54" s="337">
        <f>M54*$K$4</f>
        <v>0</v>
      </c>
    </row>
    <row r="55" spans="1:51" ht="13.5" customHeight="1" thickBot="1" x14ac:dyDescent="0.3">
      <c r="A55" s="626"/>
      <c r="B55" s="627"/>
      <c r="C55" s="628"/>
      <c r="D55" s="628"/>
      <c r="E55" s="721" t="s">
        <v>331</v>
      </c>
      <c r="F55" s="628"/>
      <c r="G55" s="628"/>
      <c r="H55" s="629"/>
      <c r="I55" s="630"/>
      <c r="J55" s="630"/>
      <c r="K55" s="630"/>
      <c r="L55" s="630"/>
      <c r="M55" s="630"/>
      <c r="N55" s="490"/>
      <c r="O55" s="490"/>
      <c r="AY55" s="225"/>
    </row>
    <row r="56" spans="1:51" s="521" customFormat="1" ht="13.5" customHeight="1" thickBot="1" x14ac:dyDescent="0.3">
      <c r="A56" s="600" t="s">
        <v>375</v>
      </c>
      <c r="B56" s="600" t="s">
        <v>375</v>
      </c>
      <c r="C56" s="151" t="s">
        <v>84</v>
      </c>
      <c r="E56" s="112" t="s">
        <v>85</v>
      </c>
      <c r="F56" s="152" t="s">
        <v>9</v>
      </c>
      <c r="G56" s="152">
        <v>60</v>
      </c>
      <c r="H56" s="69">
        <v>11340</v>
      </c>
      <c r="I56" s="383"/>
      <c r="J56" s="15"/>
      <c r="K56" s="726">
        <v>208</v>
      </c>
      <c r="L56" s="725">
        <f>ROUND(M56/H56,0)</f>
        <v>0</v>
      </c>
      <c r="M56" s="649">
        <f>I56</f>
        <v>0</v>
      </c>
      <c r="N56" s="345">
        <f>(L56/M7)*G56</f>
        <v>0</v>
      </c>
      <c r="O56" s="337"/>
    </row>
    <row r="57" spans="1:51" s="521" customFormat="1" ht="13.5" customHeight="1" thickBot="1" x14ac:dyDescent="0.3">
      <c r="A57" s="727" t="s">
        <v>268</v>
      </c>
      <c r="B57" s="728" t="s">
        <v>268</v>
      </c>
      <c r="C57" s="729" t="s">
        <v>84</v>
      </c>
      <c r="D57" s="730"/>
      <c r="E57" s="456" t="s">
        <v>388</v>
      </c>
      <c r="F57" s="731" t="s">
        <v>9</v>
      </c>
      <c r="G57" s="152">
        <v>60</v>
      </c>
      <c r="H57" s="69">
        <v>11340</v>
      </c>
      <c r="I57" s="724"/>
      <c r="J57" s="15"/>
      <c r="K57" s="312">
        <v>25</v>
      </c>
      <c r="L57" s="33"/>
      <c r="M57" s="34"/>
      <c r="N57" s="114"/>
      <c r="O57" s="34"/>
    </row>
    <row r="58" spans="1:51" s="521" customFormat="1" ht="13.5" customHeight="1" thickBot="1" x14ac:dyDescent="0.3">
      <c r="A58" s="732"/>
      <c r="B58" s="741"/>
      <c r="C58" s="748"/>
      <c r="D58" s="748"/>
      <c r="E58" s="742"/>
      <c r="F58" s="748"/>
      <c r="G58" s="748"/>
      <c r="H58" s="748"/>
      <c r="I58" s="749" t="s">
        <v>86</v>
      </c>
      <c r="J58" s="743"/>
      <c r="K58" s="750"/>
      <c r="L58" s="745"/>
      <c r="M58" s="747"/>
      <c r="N58" s="751"/>
      <c r="O58" s="648">
        <f>O56</f>
        <v>0</v>
      </c>
    </row>
    <row r="59" spans="1:51" ht="13.5" customHeight="1" thickBot="1" x14ac:dyDescent="0.3">
      <c r="A59" s="624"/>
      <c r="B59" s="625"/>
      <c r="C59" s="622"/>
      <c r="D59" s="622"/>
      <c r="E59" s="723" t="s">
        <v>332</v>
      </c>
      <c r="F59" s="622"/>
      <c r="G59" s="622"/>
      <c r="H59" s="623"/>
      <c r="I59" s="490"/>
      <c r="J59" s="490"/>
      <c r="K59" s="490"/>
      <c r="L59" s="490"/>
      <c r="M59" s="490"/>
      <c r="N59" s="490"/>
      <c r="O59" s="490"/>
      <c r="AY59" s="225"/>
    </row>
    <row r="60" spans="1:51" s="239" customFormat="1" ht="13.5" customHeight="1" thickBot="1" x14ac:dyDescent="0.3">
      <c r="A60" s="518" t="s">
        <v>269</v>
      </c>
      <c r="B60" s="323" t="s">
        <v>269</v>
      </c>
      <c r="C60" s="85" t="s">
        <v>23</v>
      </c>
      <c r="D60" s="850"/>
      <c r="E60" s="855" t="s">
        <v>383</v>
      </c>
      <c r="F60" s="4" t="s">
        <v>13</v>
      </c>
      <c r="G60" s="4">
        <v>17</v>
      </c>
      <c r="H60" s="127">
        <f>G60*K60</f>
        <v>1088</v>
      </c>
      <c r="I60" s="307"/>
      <c r="J60" s="15"/>
      <c r="K60" s="822">
        <v>64</v>
      </c>
      <c r="L60" s="336">
        <f>ROUND(M60/H60,0)</f>
        <v>0</v>
      </c>
      <c r="M60" s="166">
        <f>I60</f>
        <v>0</v>
      </c>
      <c r="N60" s="884">
        <f>(L60/M7)*G60</f>
        <v>0</v>
      </c>
      <c r="O60" s="502"/>
    </row>
    <row r="61" spans="1:51" s="239" customFormat="1" ht="13.5" customHeight="1" thickBot="1" x14ac:dyDescent="0.3">
      <c r="A61" s="820" t="s">
        <v>120</v>
      </c>
      <c r="B61" s="821" t="s">
        <v>120</v>
      </c>
      <c r="C61" s="546" t="s">
        <v>23</v>
      </c>
      <c r="E61" s="405" t="s">
        <v>382</v>
      </c>
      <c r="F61" s="294" t="s">
        <v>384</v>
      </c>
      <c r="G61" s="19">
        <v>17</v>
      </c>
      <c r="H61" s="32"/>
      <c r="I61" s="724"/>
      <c r="J61" s="15"/>
      <c r="K61" s="643">
        <v>64</v>
      </c>
      <c r="L61" s="33"/>
      <c r="M61" s="34"/>
      <c r="N61" s="99"/>
      <c r="O61" s="34"/>
    </row>
    <row r="62" spans="1:51" s="521" customFormat="1" ht="13.5" customHeight="1" thickBot="1" x14ac:dyDescent="0.3">
      <c r="A62" s="732"/>
      <c r="B62" s="741"/>
      <c r="C62" s="741"/>
      <c r="D62" s="741"/>
      <c r="E62" s="742"/>
      <c r="F62" s="741"/>
      <c r="G62" s="741"/>
      <c r="H62" s="741"/>
      <c r="I62" s="741" t="s">
        <v>32</v>
      </c>
      <c r="J62" s="743"/>
      <c r="K62" s="744"/>
      <c r="L62" s="745"/>
      <c r="M62" s="761">
        <f>SUM(M60)</f>
        <v>0</v>
      </c>
      <c r="N62" s="746"/>
      <c r="O62" s="361">
        <f>M62*$K$4</f>
        <v>0</v>
      </c>
    </row>
    <row r="63" spans="1:51" ht="13.5" customHeight="1" thickBot="1" x14ac:dyDescent="0.3">
      <c r="A63" s="650"/>
      <c r="B63" s="651"/>
      <c r="C63" s="652"/>
      <c r="D63" s="652"/>
      <c r="E63" s="722" t="s">
        <v>333</v>
      </c>
      <c r="F63" s="854"/>
      <c r="G63" s="652"/>
      <c r="H63" s="653"/>
      <c r="I63" s="630"/>
      <c r="J63" s="630"/>
      <c r="K63" s="630"/>
      <c r="L63" s="630"/>
      <c r="M63" s="630"/>
      <c r="N63" s="490"/>
      <c r="O63" s="490"/>
      <c r="AY63" s="225"/>
    </row>
    <row r="64" spans="1:51" s="239" customFormat="1" ht="13.5" customHeight="1" thickBot="1" x14ac:dyDescent="0.3">
      <c r="A64" s="547" t="s">
        <v>121</v>
      </c>
      <c r="B64" s="543" t="s">
        <v>121</v>
      </c>
      <c r="C64" s="85" t="s">
        <v>25</v>
      </c>
      <c r="E64" s="37" t="s">
        <v>24</v>
      </c>
      <c r="F64" s="24" t="s">
        <v>9</v>
      </c>
      <c r="G64" s="38">
        <v>60</v>
      </c>
      <c r="H64" s="39">
        <f>G64*K64</f>
        <v>9660</v>
      </c>
      <c r="I64" s="598"/>
      <c r="J64" s="333"/>
      <c r="K64" s="329">
        <v>161</v>
      </c>
      <c r="L64" s="336">
        <f>ROUND(M64/H64,0)</f>
        <v>0</v>
      </c>
      <c r="M64" s="337">
        <f>I64</f>
        <v>0</v>
      </c>
      <c r="N64" s="343">
        <f>(L64/M7)*G64</f>
        <v>0</v>
      </c>
      <c r="O64" s="503"/>
    </row>
    <row r="65" spans="1:16" s="239" customFormat="1" ht="13.5" customHeight="1" thickBot="1" x14ac:dyDescent="0.3">
      <c r="A65" s="123" t="s">
        <v>122</v>
      </c>
      <c r="B65" s="482" t="s">
        <v>122</v>
      </c>
      <c r="C65" s="91" t="s">
        <v>25</v>
      </c>
      <c r="D65" s="2"/>
      <c r="E65" s="853" t="s">
        <v>389</v>
      </c>
      <c r="F65" s="24" t="s">
        <v>9</v>
      </c>
      <c r="G65" s="45">
        <v>60</v>
      </c>
      <c r="H65" s="69">
        <f>G65*K65</f>
        <v>1500</v>
      </c>
      <c r="I65" s="240"/>
      <c r="J65" s="15"/>
      <c r="K65" s="306">
        <v>25</v>
      </c>
      <c r="L65" s="338"/>
      <c r="M65" s="52"/>
      <c r="N65" s="344"/>
      <c r="O65" s="238"/>
    </row>
    <row r="66" spans="1:16" s="239" customFormat="1" ht="13.5" customHeight="1" thickBot="1" x14ac:dyDescent="0.3">
      <c r="A66" s="123" t="s">
        <v>123</v>
      </c>
      <c r="B66" s="482" t="s">
        <v>123</v>
      </c>
      <c r="C66" s="93" t="s">
        <v>25</v>
      </c>
      <c r="D66" s="517"/>
      <c r="E66" s="59" t="s">
        <v>26</v>
      </c>
      <c r="F66" s="4" t="s">
        <v>9</v>
      </c>
      <c r="G66" s="45">
        <v>30</v>
      </c>
      <c r="H66" s="66">
        <v>3060</v>
      </c>
      <c r="I66" s="324"/>
      <c r="J66" s="334"/>
      <c r="K66" s="335">
        <v>102</v>
      </c>
      <c r="L66" s="336">
        <f>ROUND(M66/H66,0)</f>
        <v>0</v>
      </c>
      <c r="M66" s="337">
        <f>I66</f>
        <v>0</v>
      </c>
      <c r="N66" s="343">
        <f>(L66/M7)*G66</f>
        <v>0</v>
      </c>
      <c r="O66" s="503"/>
    </row>
    <row r="67" spans="1:16" ht="13.5" customHeight="1" thickBot="1" x14ac:dyDescent="0.3">
      <c r="A67" s="544"/>
      <c r="B67" s="545"/>
      <c r="C67" s="523" t="s">
        <v>25</v>
      </c>
      <c r="E67" s="37" t="s">
        <v>41</v>
      </c>
      <c r="F67" s="47"/>
      <c r="G67" s="47"/>
      <c r="H67" s="524"/>
      <c r="I67" s="597"/>
      <c r="J67" s="176"/>
      <c r="K67" s="253"/>
      <c r="L67" s="504"/>
      <c r="M67" s="253"/>
      <c r="N67" s="505"/>
      <c r="O67" s="238"/>
    </row>
    <row r="68" spans="1:16" s="239" customFormat="1" ht="13.5" customHeight="1" thickBot="1" x14ac:dyDescent="0.3">
      <c r="A68" s="123" t="s">
        <v>124</v>
      </c>
      <c r="B68" s="482" t="s">
        <v>124</v>
      </c>
      <c r="C68" s="523" t="s">
        <v>25</v>
      </c>
      <c r="D68" s="27"/>
      <c r="E68" s="91" t="s">
        <v>27</v>
      </c>
      <c r="F68" s="11" t="s">
        <v>13</v>
      </c>
      <c r="G68" s="50">
        <v>2</v>
      </c>
      <c r="H68" s="21">
        <f t="shared" ref="H68:H77" si="3">G68*K68</f>
        <v>116</v>
      </c>
      <c r="I68" s="29"/>
      <c r="J68" s="332">
        <v>0.16739999999999999</v>
      </c>
      <c r="K68" s="642">
        <v>58</v>
      </c>
      <c r="L68" s="644" t="str">
        <f>IF(I67&gt;0,ROUND(I67/(H68+H73+H74+H69+H70+H71+H72),0)," ")</f>
        <v xml:space="preserve"> </v>
      </c>
      <c r="M68" s="645">
        <f>ROUND(IF($I$67&gt;0,($I$67-$J$72)*J68, "0"),0)</f>
        <v>0</v>
      </c>
      <c r="N68" s="342" t="e">
        <f>(L68/M7)*SUM(G68:G74)</f>
        <v>#VALUE!</v>
      </c>
      <c r="O68" s="238"/>
    </row>
    <row r="69" spans="1:16" s="239" customFormat="1" ht="13.5" customHeight="1" x14ac:dyDescent="0.25">
      <c r="A69" s="123" t="s">
        <v>125</v>
      </c>
      <c r="B69" s="543" t="s">
        <v>125</v>
      </c>
      <c r="C69" s="523" t="s">
        <v>25</v>
      </c>
      <c r="D69" s="27"/>
      <c r="E69" s="91" t="s">
        <v>0</v>
      </c>
      <c r="F69" s="3" t="s">
        <v>13</v>
      </c>
      <c r="G69" s="43">
        <v>2</v>
      </c>
      <c r="H69" s="48">
        <f t="shared" si="3"/>
        <v>120</v>
      </c>
      <c r="I69" s="29"/>
      <c r="J69" s="49">
        <v>7.3200000000000001E-2</v>
      </c>
      <c r="K69" s="306">
        <v>60</v>
      </c>
      <c r="L69" s="33"/>
      <c r="M69" s="646">
        <f>ROUND(IF($I$67&gt;0,($I$67-$J$72)*J69, "0"),0)</f>
        <v>0</v>
      </c>
      <c r="N69" s="192"/>
      <c r="O69" s="238"/>
    </row>
    <row r="70" spans="1:16" s="239" customFormat="1" ht="13.5" customHeight="1" x14ac:dyDescent="0.25">
      <c r="A70" s="123" t="s">
        <v>126</v>
      </c>
      <c r="B70" s="482" t="s">
        <v>126</v>
      </c>
      <c r="C70" s="523" t="s">
        <v>25</v>
      </c>
      <c r="D70" s="27"/>
      <c r="E70" s="91" t="s">
        <v>1</v>
      </c>
      <c r="F70" s="3" t="s">
        <v>13</v>
      </c>
      <c r="G70" s="43">
        <v>16</v>
      </c>
      <c r="H70" s="48">
        <f t="shared" si="3"/>
        <v>1200</v>
      </c>
      <c r="I70" s="29"/>
      <c r="J70" s="49">
        <v>0.59819999999999995</v>
      </c>
      <c r="K70" s="306">
        <v>75</v>
      </c>
      <c r="L70" s="33"/>
      <c r="M70" s="646">
        <f>ROUND(IF($I$67&gt;0,($I$67-$J$72)*J70, "0"),0)</f>
        <v>0</v>
      </c>
      <c r="N70" s="192"/>
      <c r="O70" s="238"/>
    </row>
    <row r="71" spans="1:16" s="239" customFormat="1" ht="13.5" customHeight="1" x14ac:dyDescent="0.25">
      <c r="A71" s="123" t="s">
        <v>126</v>
      </c>
      <c r="B71" s="546" t="s">
        <v>126</v>
      </c>
      <c r="C71" s="523" t="s">
        <v>25</v>
      </c>
      <c r="D71" s="27"/>
      <c r="E71" s="91" t="s">
        <v>2</v>
      </c>
      <c r="F71" s="3" t="s">
        <v>13</v>
      </c>
      <c r="G71" s="43">
        <v>4</v>
      </c>
      <c r="H71" s="48">
        <f t="shared" si="3"/>
        <v>300</v>
      </c>
      <c r="I71" s="29"/>
      <c r="J71" s="49">
        <v>0.16120000000000001</v>
      </c>
      <c r="K71" s="306">
        <v>75</v>
      </c>
      <c r="L71" s="33"/>
      <c r="M71" s="646">
        <f>ROUND(IF($I$67&gt;0,($I$67-$J$72)*J71, "0"),0)</f>
        <v>0</v>
      </c>
      <c r="N71" s="192"/>
      <c r="O71" s="238"/>
    </row>
    <row r="72" spans="1:16" s="239" customFormat="1" ht="13.5" customHeight="1" thickBot="1" x14ac:dyDescent="0.3">
      <c r="A72" s="123" t="s">
        <v>127</v>
      </c>
      <c r="B72" s="482" t="s">
        <v>127</v>
      </c>
      <c r="C72" s="523" t="s">
        <v>25</v>
      </c>
      <c r="D72" s="27"/>
      <c r="E72" s="91" t="s">
        <v>3</v>
      </c>
      <c r="F72" s="3" t="s">
        <v>13</v>
      </c>
      <c r="G72" s="43">
        <v>1</v>
      </c>
      <c r="H72" s="48">
        <f t="shared" si="3"/>
        <v>125</v>
      </c>
      <c r="I72" s="29"/>
      <c r="J72" s="54">
        <v>1000</v>
      </c>
      <c r="K72" s="306">
        <v>125</v>
      </c>
      <c r="L72" s="33"/>
      <c r="M72" s="647">
        <f>I67-SUM(M68:M71)</f>
        <v>0</v>
      </c>
      <c r="N72" s="192" t="str">
        <f>IF((I67&gt;0),(IF(M68+M69+M70+M71+M72=I67," ","Rounding adjustment needed"))," ")</f>
        <v xml:space="preserve"> </v>
      </c>
      <c r="O72" s="238"/>
      <c r="P72" s="519" t="str">
        <f>IF((I67&gt;0),IF(M68+M69+M70+M71+M72=I67," ",+I67-M68-M69-M70-M71-M72), " ")</f>
        <v xml:space="preserve"> </v>
      </c>
    </row>
    <row r="73" spans="1:16" s="239" customFormat="1" ht="13.5" customHeight="1" x14ac:dyDescent="0.25">
      <c r="A73" s="123" t="s">
        <v>128</v>
      </c>
      <c r="B73" s="543" t="s">
        <v>128</v>
      </c>
      <c r="C73" s="522" t="s">
        <v>25</v>
      </c>
      <c r="D73" s="112"/>
      <c r="E73" s="91" t="s">
        <v>49</v>
      </c>
      <c r="F73" s="153" t="s">
        <v>13</v>
      </c>
      <c r="G73" s="150">
        <v>3</v>
      </c>
      <c r="H73" s="67">
        <f t="shared" si="3"/>
        <v>84</v>
      </c>
      <c r="I73" s="31"/>
      <c r="J73" s="325"/>
      <c r="K73" s="311">
        <v>28</v>
      </c>
      <c r="L73" s="33"/>
      <c r="M73" s="339"/>
      <c r="N73" s="340"/>
      <c r="O73" s="238"/>
    </row>
    <row r="74" spans="1:16" s="239" customFormat="1" ht="13.2" x14ac:dyDescent="0.25">
      <c r="A74" s="123" t="s">
        <v>129</v>
      </c>
      <c r="B74" s="482" t="s">
        <v>129</v>
      </c>
      <c r="C74" s="523" t="s">
        <v>25</v>
      </c>
      <c r="D74" s="27"/>
      <c r="E74" s="91" t="s">
        <v>50</v>
      </c>
      <c r="F74" s="3" t="s">
        <v>13</v>
      </c>
      <c r="G74" s="43">
        <v>9</v>
      </c>
      <c r="H74" s="68">
        <f t="shared" si="3"/>
        <v>153</v>
      </c>
      <c r="I74" s="170"/>
      <c r="J74" s="326"/>
      <c r="K74" s="306">
        <v>17</v>
      </c>
      <c r="L74" s="33"/>
      <c r="M74" s="52"/>
      <c r="N74" s="100"/>
      <c r="O74" s="238"/>
    </row>
    <row r="75" spans="1:16" s="239" customFormat="1" ht="13.2" x14ac:dyDescent="0.25">
      <c r="A75" s="123" t="s">
        <v>130</v>
      </c>
      <c r="B75" s="482" t="s">
        <v>130</v>
      </c>
      <c r="C75" s="523" t="s">
        <v>25</v>
      </c>
      <c r="D75" s="30"/>
      <c r="E75" s="147" t="s">
        <v>391</v>
      </c>
      <c r="F75" s="25" t="s">
        <v>13</v>
      </c>
      <c r="G75" s="45">
        <v>5</v>
      </c>
      <c r="H75" s="69">
        <f t="shared" si="3"/>
        <v>300</v>
      </c>
      <c r="I75" s="31"/>
      <c r="J75" s="327"/>
      <c r="K75" s="311">
        <v>60</v>
      </c>
      <c r="L75" s="33"/>
      <c r="M75" s="34"/>
      <c r="N75" s="340"/>
      <c r="O75" s="238"/>
    </row>
    <row r="76" spans="1:16" s="239" customFormat="1" ht="13.2" x14ac:dyDescent="0.25">
      <c r="A76" s="123" t="s">
        <v>131</v>
      </c>
      <c r="B76" s="482" t="s">
        <v>131</v>
      </c>
      <c r="C76" s="523" t="s">
        <v>25</v>
      </c>
      <c r="D76" s="27"/>
      <c r="E76" s="147" t="s">
        <v>390</v>
      </c>
      <c r="F76" s="3" t="s">
        <v>13</v>
      </c>
      <c r="G76" s="43">
        <v>6</v>
      </c>
      <c r="H76" s="68">
        <f t="shared" si="3"/>
        <v>450</v>
      </c>
      <c r="I76" s="31"/>
      <c r="J76" s="327"/>
      <c r="K76" s="306">
        <v>75</v>
      </c>
      <c r="L76" s="33"/>
      <c r="M76" s="34"/>
      <c r="N76" s="340"/>
      <c r="O76" s="238"/>
    </row>
    <row r="77" spans="1:16" s="239" customFormat="1" thickBot="1" x14ac:dyDescent="0.3">
      <c r="A77" s="123" t="s">
        <v>132</v>
      </c>
      <c r="B77" s="482" t="s">
        <v>132</v>
      </c>
      <c r="C77" s="525" t="s">
        <v>25</v>
      </c>
      <c r="D77" s="23"/>
      <c r="E77" s="147" t="s">
        <v>392</v>
      </c>
      <c r="F77" s="25" t="s">
        <v>13</v>
      </c>
      <c r="G77" s="45">
        <v>4</v>
      </c>
      <c r="H77" s="70">
        <f t="shared" si="3"/>
        <v>300</v>
      </c>
      <c r="I77" s="35"/>
      <c r="J77" s="328"/>
      <c r="K77" s="643">
        <v>75</v>
      </c>
      <c r="L77" s="33"/>
      <c r="M77" s="36"/>
      <c r="N77" s="341"/>
      <c r="O77" s="506"/>
    </row>
    <row r="78" spans="1:16" s="521" customFormat="1" ht="15.6" thickBot="1" x14ac:dyDescent="0.3">
      <c r="A78" s="732"/>
      <c r="B78" s="741"/>
      <c r="C78" s="741"/>
      <c r="D78" s="741"/>
      <c r="E78" s="741"/>
      <c r="F78" s="741"/>
      <c r="G78" s="741"/>
      <c r="H78" s="741"/>
      <c r="I78" s="741" t="s">
        <v>33</v>
      </c>
      <c r="J78" s="752"/>
      <c r="K78" s="744"/>
      <c r="L78" s="745"/>
      <c r="M78" s="761">
        <f>SUM(M64:M77)</f>
        <v>0</v>
      </c>
      <c r="N78" s="753"/>
      <c r="O78" s="337">
        <f>M78*$K$4</f>
        <v>0</v>
      </c>
    </row>
    <row r="79" spans="1:16" x14ac:dyDescent="0.3">
      <c r="A79" s="889" t="s">
        <v>393</v>
      </c>
    </row>
    <row r="80" spans="1:16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spans="3:14" hidden="1" x14ac:dyDescent="0.3"/>
    <row r="114" spans="3:14" hidden="1" x14ac:dyDescent="0.3"/>
    <row r="115" spans="3:14" hidden="1" x14ac:dyDescent="0.3"/>
    <row r="116" spans="3:14" hidden="1" x14ac:dyDescent="0.3"/>
    <row r="117" spans="3:14" s="526" customFormat="1" hidden="1" x14ac:dyDescent="0.3">
      <c r="N117" s="527"/>
    </row>
    <row r="118" spans="3:14" s="526" customFormat="1" hidden="1" x14ac:dyDescent="0.3">
      <c r="C118" s="528" t="s">
        <v>62</v>
      </c>
      <c r="N118" s="527"/>
    </row>
    <row r="119" spans="3:14" s="526" customFormat="1" hidden="1" x14ac:dyDescent="0.3">
      <c r="C119" s="528">
        <v>1</v>
      </c>
      <c r="N119" s="527"/>
    </row>
    <row r="120" spans="3:14" s="526" customFormat="1" hidden="1" x14ac:dyDescent="0.3">
      <c r="C120" s="528">
        <v>2</v>
      </c>
      <c r="N120" s="527"/>
    </row>
    <row r="121" spans="3:14" s="526" customFormat="1" hidden="1" x14ac:dyDescent="0.3">
      <c r="C121" s="528">
        <v>3</v>
      </c>
      <c r="N121" s="527"/>
    </row>
    <row r="122" spans="3:14" s="526" customFormat="1" hidden="1" x14ac:dyDescent="0.3">
      <c r="C122" s="528">
        <v>4</v>
      </c>
      <c r="N122" s="527"/>
    </row>
    <row r="123" spans="3:14" s="526" customFormat="1" hidden="1" x14ac:dyDescent="0.3">
      <c r="C123" s="528">
        <v>5</v>
      </c>
      <c r="N123" s="527"/>
    </row>
    <row r="124" spans="3:14" s="526" customFormat="1" hidden="1" x14ac:dyDescent="0.3">
      <c r="C124" s="528">
        <v>6</v>
      </c>
      <c r="N124" s="527"/>
    </row>
    <row r="125" spans="3:14" s="526" customFormat="1" hidden="1" x14ac:dyDescent="0.3">
      <c r="C125" s="528">
        <v>7</v>
      </c>
      <c r="N125" s="527"/>
    </row>
    <row r="126" spans="3:14" s="526" customFormat="1" hidden="1" x14ac:dyDescent="0.3">
      <c r="C126" s="528">
        <v>8</v>
      </c>
      <c r="N126" s="527"/>
    </row>
    <row r="127" spans="3:14" s="526" customFormat="1" hidden="1" x14ac:dyDescent="0.3">
      <c r="C127" s="528">
        <v>9</v>
      </c>
      <c r="N127" s="527"/>
    </row>
    <row r="128" spans="3:14" s="526" customFormat="1" hidden="1" x14ac:dyDescent="0.3">
      <c r="C128" s="528">
        <v>10</v>
      </c>
      <c r="N128" s="527"/>
    </row>
    <row r="129" spans="3:14" s="526" customFormat="1" hidden="1" x14ac:dyDescent="0.3">
      <c r="C129" s="528">
        <v>11</v>
      </c>
      <c r="N129" s="527"/>
    </row>
    <row r="130" spans="3:14" s="526" customFormat="1" hidden="1" x14ac:dyDescent="0.3">
      <c r="N130" s="527"/>
    </row>
    <row r="131" spans="3:14" s="526" customFormat="1" hidden="1" x14ac:dyDescent="0.3">
      <c r="N131" s="527"/>
    </row>
    <row r="132" spans="3:14" s="526" customFormat="1" hidden="1" x14ac:dyDescent="0.3">
      <c r="N132" s="527"/>
    </row>
    <row r="133" spans="3:14" s="526" customFormat="1" hidden="1" x14ac:dyDescent="0.3">
      <c r="N133" s="527"/>
    </row>
    <row r="134" spans="3:14" hidden="1" x14ac:dyDescent="0.3"/>
    <row r="135" spans="3:14" hidden="1" x14ac:dyDescent="0.3"/>
    <row r="136" spans="3:14" hidden="1" x14ac:dyDescent="0.3"/>
    <row r="137" spans="3:14" hidden="1" x14ac:dyDescent="0.3"/>
    <row r="138" spans="3:14" hidden="1" x14ac:dyDescent="0.3"/>
    <row r="139" spans="3:14" hidden="1" x14ac:dyDescent="0.3"/>
    <row r="140" spans="3:14" hidden="1" x14ac:dyDescent="0.3"/>
    <row r="141" spans="3:14" hidden="1" x14ac:dyDescent="0.3"/>
    <row r="142" spans="3:14" hidden="1" x14ac:dyDescent="0.3"/>
    <row r="143" spans="3:14" hidden="1" x14ac:dyDescent="0.3"/>
    <row r="144" spans="3:1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spans="1:1" hidden="1" x14ac:dyDescent="0.3"/>
    <row r="194" spans="1:1" hidden="1" x14ac:dyDescent="0.3"/>
    <row r="195" spans="1:1" hidden="1" x14ac:dyDescent="0.3"/>
    <row r="196" spans="1:1" hidden="1" x14ac:dyDescent="0.3"/>
    <row r="197" spans="1:1" hidden="1" x14ac:dyDescent="0.3"/>
    <row r="198" spans="1:1" hidden="1" x14ac:dyDescent="0.3"/>
    <row r="199" spans="1:1" hidden="1" x14ac:dyDescent="0.3"/>
    <row r="200" spans="1:1" hidden="1" x14ac:dyDescent="0.3"/>
    <row r="201" spans="1:1" hidden="1" x14ac:dyDescent="0.3"/>
    <row r="202" spans="1:1" hidden="1" x14ac:dyDescent="0.3"/>
    <row r="203" spans="1:1" hidden="1" x14ac:dyDescent="0.3"/>
    <row r="204" spans="1:1" hidden="1" x14ac:dyDescent="0.3">
      <c r="A204" s="599" t="s">
        <v>374</v>
      </c>
    </row>
    <row r="205" spans="1:1" hidden="1" x14ac:dyDescent="0.3"/>
    <row r="206" spans="1:1" hidden="1" x14ac:dyDescent="0.3"/>
    <row r="207" spans="1:1" hidden="1" x14ac:dyDescent="0.3"/>
    <row r="208" spans="1:1" hidden="1" x14ac:dyDescent="0.3"/>
    <row r="209" spans="5:5" hidden="1" x14ac:dyDescent="0.3"/>
    <row r="210" spans="5:5" hidden="1" x14ac:dyDescent="0.3"/>
    <row r="211" spans="5:5" hidden="1" x14ac:dyDescent="0.3"/>
    <row r="212" spans="5:5" hidden="1" x14ac:dyDescent="0.3"/>
    <row r="213" spans="5:5" hidden="1" x14ac:dyDescent="0.3"/>
    <row r="214" spans="5:5" hidden="1" x14ac:dyDescent="0.3">
      <c r="E214" s="225"/>
    </row>
    <row r="215" spans="5:5" hidden="1" x14ac:dyDescent="0.3"/>
    <row r="216" spans="5:5" hidden="1" x14ac:dyDescent="0.3"/>
    <row r="217" spans="5:5" hidden="1" x14ac:dyDescent="0.3">
      <c r="E217" s="225"/>
    </row>
    <row r="218" spans="5:5" hidden="1" x14ac:dyDescent="0.3">
      <c r="E218" s="225"/>
    </row>
    <row r="219" spans="5:5" hidden="1" x14ac:dyDescent="0.3">
      <c r="E219" s="225"/>
    </row>
    <row r="220" spans="5:5" hidden="1" x14ac:dyDescent="0.3">
      <c r="E220" s="225"/>
    </row>
    <row r="221" spans="5:5" hidden="1" x14ac:dyDescent="0.3">
      <c r="E221" s="225"/>
    </row>
    <row r="222" spans="5:5" hidden="1" x14ac:dyDescent="0.3">
      <c r="E222" s="225"/>
    </row>
  </sheetData>
  <sheetProtection algorithmName="SHA-512" hashValue="hDGxxBp3l4utPWBo/wROOBeQNHJKyetvS0iEc7kWM45t4Z/F/EnXUSl9rzWHUQ7Q18Fr7LnZGY8LQHuSRI/pWA==" saltValue="fyqMgJSllwN20nuS3GXavQ==" spinCount="100000" sheet="1" objects="1" scenarios="1" selectLockedCells="1"/>
  <customSheetViews>
    <customSheetView guid="{C6420BFA-ED47-4663-9C57-378E7F6357AD}" showPageBreaks="1" fitToPage="1" printArea="1">
      <selection activeCell="E5" sqref="E5"/>
      <rowBreaks count="2" manualBreakCount="2">
        <brk id="74" max="16" man="1"/>
        <brk id="144" max="16" man="1"/>
      </rowBreaks>
      <pageMargins left="0" right="0" top="0" bottom="0" header="0" footer="0.25"/>
      <pageSetup scale="56" orientation="landscape" r:id="rId1"/>
      <headerFooter alignWithMargins="0"/>
    </customSheetView>
    <customSheetView guid="{46DAEA1C-9AA2-41AF-B0D5-8FF77AE3DFC9}" fitToPage="1" topLeftCell="C5">
      <selection activeCell="K24" sqref="K24"/>
      <rowBreaks count="2" manualBreakCount="2">
        <brk id="78" max="16" man="1"/>
        <brk id="148" max="16" man="1"/>
      </rowBreaks>
      <pageMargins left="0" right="0" top="0" bottom="0" header="0" footer="0.25"/>
      <pageSetup scale="57" orientation="landscape" r:id="rId2"/>
      <headerFooter alignWithMargins="0"/>
    </customSheetView>
    <customSheetView guid="{E1836566-5413-4CEC-8A51-C2FC60CADFC0}" showPageBreaks="1" fitToPage="1" printArea="1" topLeftCell="C1">
      <selection activeCell="M23" sqref="M23"/>
      <rowBreaks count="2" manualBreakCount="2">
        <brk id="78" max="16" man="1"/>
        <brk id="148" max="16" man="1"/>
      </rowBreaks>
      <pageMargins left="0" right="0" top="0" bottom="0" header="0" footer="0.25"/>
      <pageSetup scale="56" orientation="landscape" r:id="rId3"/>
      <headerFooter alignWithMargins="0"/>
    </customSheetView>
  </customSheetViews>
  <phoneticPr fontId="6" type="noConversion"/>
  <dataValidations count="3">
    <dataValidation type="list" allowBlank="1" showInputMessage="1" showErrorMessage="1" sqref="G4:G6">
      <formula1>#REF!</formula1>
    </dataValidation>
    <dataValidation type="list" allowBlank="1" showInputMessage="1" showErrorMessage="1" sqref="M5 M3">
      <formula1>$E$214:$E$222</formula1>
    </dataValidation>
    <dataValidation type="list" allowBlank="1" showInputMessage="1" showErrorMessage="1" sqref="K2">
      <formula1>$C$117:$C$129</formula1>
    </dataValidation>
  </dataValidations>
  <pageMargins left="0" right="0" top="0" bottom="0" header="0" footer="0.25"/>
  <pageSetup scale="55" orientation="landscape" r:id="rId4"/>
  <headerFooter alignWithMargins="0"/>
  <rowBreaks count="2" manualBreakCount="2">
    <brk id="78" max="16" man="1"/>
    <brk id="148" max="16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47"/>
  <sheetViews>
    <sheetView zoomScaleNormal="100" workbookViewId="0">
      <selection activeCell="I12" sqref="I12"/>
    </sheetView>
  </sheetViews>
  <sheetFormatPr defaultColWidth="9.109375" defaultRowHeight="13.2" x14ac:dyDescent="0.25"/>
  <cols>
    <col min="1" max="1" width="16.44140625" style="1" bestFit="1" customWidth="1"/>
    <col min="2" max="2" width="16.5546875" style="1" bestFit="1" customWidth="1"/>
    <col min="3" max="3" width="12.88671875" style="1" customWidth="1"/>
    <col min="4" max="4" width="4.33203125" style="1" customWidth="1"/>
    <col min="5" max="5" width="67.88671875" style="1" bestFit="1" customWidth="1"/>
    <col min="6" max="8" width="9.109375" style="1"/>
    <col min="9" max="9" width="16.109375" style="1" customWidth="1"/>
    <col min="10" max="10" width="12" style="1" customWidth="1"/>
    <col min="11" max="12" width="9.109375" style="1"/>
    <col min="13" max="13" width="15.44140625" style="1" customWidth="1"/>
    <col min="14" max="14" width="9.109375" style="1"/>
    <col min="15" max="15" width="11.5546875" style="1" customWidth="1"/>
    <col min="16" max="16384" width="9.109375" style="1"/>
  </cols>
  <sheetData>
    <row r="1" spans="1:51" ht="15.6" x14ac:dyDescent="0.3">
      <c r="A1" s="887" t="s">
        <v>64</v>
      </c>
      <c r="B1" s="507"/>
      <c r="C1" s="507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223"/>
      <c r="O1" s="893" t="s">
        <v>395</v>
      </c>
    </row>
    <row r="2" spans="1:51" ht="16.2" thickBot="1" x14ac:dyDescent="0.35">
      <c r="B2" s="227"/>
      <c r="C2" s="890"/>
      <c r="D2" s="509" t="s">
        <v>44</v>
      </c>
      <c r="E2" s="878"/>
      <c r="F2" s="515"/>
      <c r="G2" s="511"/>
      <c r="H2" s="509" t="s">
        <v>78</v>
      </c>
      <c r="I2" s="368"/>
      <c r="J2" s="510"/>
      <c r="K2" s="511"/>
      <c r="L2" s="512" t="s">
        <v>40</v>
      </c>
      <c r="M2" s="369"/>
      <c r="N2" s="223"/>
    </row>
    <row r="3" spans="1:51" ht="15.6" x14ac:dyDescent="0.3">
      <c r="C3" s="508"/>
      <c r="D3" s="508"/>
      <c r="E3" s="516"/>
      <c r="F3" s="515"/>
      <c r="G3" s="511"/>
      <c r="H3" s="509" t="s">
        <v>79</v>
      </c>
      <c r="I3" s="368"/>
      <c r="J3" s="510"/>
      <c r="K3" s="511"/>
      <c r="L3" s="513"/>
      <c r="M3" s="514"/>
      <c r="N3" s="223"/>
      <c r="O3" s="122"/>
    </row>
    <row r="4" spans="1:51" ht="16.2" thickBot="1" x14ac:dyDescent="0.35">
      <c r="C4" s="508"/>
      <c r="D4" s="508"/>
      <c r="E4" s="516"/>
      <c r="F4" s="515"/>
      <c r="G4" s="516"/>
      <c r="H4" s="515"/>
      <c r="I4" s="516"/>
      <c r="J4" s="510"/>
      <c r="K4" s="511"/>
      <c r="L4" s="512" t="s">
        <v>67</v>
      </c>
      <c r="M4" s="370">
        <v>0.05</v>
      </c>
      <c r="N4" s="223"/>
      <c r="O4" s="122"/>
    </row>
    <row r="5" spans="1:51" ht="15.6" x14ac:dyDescent="0.3">
      <c r="C5" s="508"/>
      <c r="D5" s="508"/>
      <c r="E5" s="516"/>
      <c r="F5" s="515"/>
      <c r="G5" s="516"/>
      <c r="H5" s="515"/>
      <c r="I5" s="516"/>
      <c r="J5" s="510"/>
      <c r="K5" s="511"/>
      <c r="L5" s="513"/>
      <c r="M5" s="514"/>
      <c r="N5" s="223"/>
      <c r="O5" s="122"/>
    </row>
    <row r="6" spans="1:51" ht="15.6" x14ac:dyDescent="0.3">
      <c r="C6" s="508"/>
      <c r="D6" s="508"/>
      <c r="E6" s="516"/>
      <c r="F6" s="515"/>
      <c r="G6" s="516"/>
      <c r="H6" s="515"/>
      <c r="I6" s="516"/>
      <c r="J6" s="660"/>
      <c r="K6" s="660"/>
      <c r="L6" s="660"/>
      <c r="M6" s="660"/>
      <c r="N6" s="223"/>
    </row>
    <row r="7" spans="1:51" ht="18" customHeight="1" thickBot="1" x14ac:dyDescent="0.35">
      <c r="C7" s="660"/>
      <c r="D7" s="660"/>
      <c r="E7" s="660"/>
      <c r="F7" s="511"/>
      <c r="G7" s="660"/>
      <c r="H7" s="511"/>
      <c r="I7" s="660"/>
      <c r="J7" s="660"/>
      <c r="K7" s="511"/>
      <c r="L7" s="882" t="s">
        <v>140</v>
      </c>
      <c r="M7" s="814">
        <f>I3-I2+1</f>
        <v>1</v>
      </c>
      <c r="N7" s="538">
        <f>ROUND(M7/30,0)</f>
        <v>0</v>
      </c>
    </row>
    <row r="8" spans="1:51" ht="14.4" thickBot="1" x14ac:dyDescent="0.35">
      <c r="A8" s="1" t="s">
        <v>81</v>
      </c>
      <c r="B8" s="1" t="s">
        <v>82</v>
      </c>
      <c r="E8" s="232"/>
      <c r="F8" s="225"/>
      <c r="H8" s="225"/>
      <c r="I8" s="457" t="s">
        <v>135</v>
      </c>
      <c r="J8" s="458"/>
      <c r="K8" s="460"/>
      <c r="L8" s="461" t="s">
        <v>339</v>
      </c>
      <c r="M8" s="462"/>
      <c r="N8" s="223"/>
      <c r="O8" s="234"/>
    </row>
    <row r="9" spans="1:51" ht="39" customHeight="1" thickBot="1" x14ac:dyDescent="0.3">
      <c r="A9" s="732" t="s">
        <v>81</v>
      </c>
      <c r="B9" s="733" t="s">
        <v>82</v>
      </c>
      <c r="C9" s="737" t="s">
        <v>29</v>
      </c>
      <c r="D9" s="755" t="s">
        <v>340</v>
      </c>
      <c r="E9" s="736" t="s">
        <v>341</v>
      </c>
      <c r="F9" s="737" t="s">
        <v>272</v>
      </c>
      <c r="G9" s="737" t="s">
        <v>6</v>
      </c>
      <c r="H9" s="738" t="s">
        <v>36</v>
      </c>
      <c r="I9" s="177" t="s">
        <v>63</v>
      </c>
      <c r="J9" s="815" t="s">
        <v>147</v>
      </c>
      <c r="K9" s="670" t="s">
        <v>37</v>
      </c>
      <c r="L9" s="671" t="s">
        <v>38</v>
      </c>
      <c r="M9" s="672" t="s">
        <v>39</v>
      </c>
      <c r="N9" s="670" t="s">
        <v>65</v>
      </c>
      <c r="O9" s="813" t="s">
        <v>66</v>
      </c>
      <c r="AY9" s="225">
        <v>5</v>
      </c>
    </row>
    <row r="10" spans="1:51" ht="14.25" customHeight="1" x14ac:dyDescent="0.25">
      <c r="A10" s="626"/>
      <c r="B10" s="627"/>
      <c r="C10" s="628"/>
      <c r="D10" s="673"/>
      <c r="E10" s="628" t="s">
        <v>377</v>
      </c>
      <c r="F10" s="628"/>
      <c r="G10" s="628"/>
      <c r="H10" s="628"/>
      <c r="I10" s="840"/>
      <c r="J10" s="640"/>
      <c r="K10" s="640"/>
      <c r="L10" s="640"/>
      <c r="M10" s="640"/>
      <c r="N10" s="640"/>
      <c r="O10" s="641"/>
      <c r="AY10" s="225"/>
    </row>
    <row r="11" spans="1:51" s="239" customFormat="1" ht="14.25" customHeight="1" thickBot="1" x14ac:dyDescent="0.3">
      <c r="A11" s="447"/>
      <c r="B11" s="666"/>
      <c r="C11" s="667"/>
      <c r="D11" s="668" t="s">
        <v>69</v>
      </c>
      <c r="E11" s="666"/>
      <c r="F11" s="666"/>
      <c r="G11" s="666"/>
      <c r="H11" s="666"/>
      <c r="I11" s="841"/>
      <c r="J11" s="15"/>
      <c r="K11" s="32"/>
      <c r="L11" s="33"/>
      <c r="M11" s="669">
        <f>SUM(I12:I13)</f>
        <v>0</v>
      </c>
      <c r="N11" s="360"/>
      <c r="O11" s="238"/>
    </row>
    <row r="12" spans="1:51" s="239" customFormat="1" ht="14.25" customHeight="1" x14ac:dyDescent="0.25">
      <c r="A12" s="658" t="s">
        <v>278</v>
      </c>
      <c r="B12" s="658" t="s">
        <v>278</v>
      </c>
      <c r="C12" s="655" t="s">
        <v>72</v>
      </c>
      <c r="D12" s="517"/>
      <c r="E12" s="578" t="s">
        <v>292</v>
      </c>
      <c r="F12" s="20" t="s">
        <v>9</v>
      </c>
      <c r="G12" s="38">
        <v>6</v>
      </c>
      <c r="H12" s="39">
        <f>G12*K12</f>
        <v>510</v>
      </c>
      <c r="I12" s="324"/>
      <c r="J12" s="6"/>
      <c r="K12" s="356">
        <v>85</v>
      </c>
      <c r="L12" s="357">
        <f>ROUND(I12/H12,0)</f>
        <v>0</v>
      </c>
      <c r="M12" s="34"/>
      <c r="N12" s="363">
        <f>L12/M7*G12</f>
        <v>0</v>
      </c>
      <c r="O12" s="503"/>
    </row>
    <row r="13" spans="1:51" s="239" customFormat="1" ht="14.25" customHeight="1" thickBot="1" x14ac:dyDescent="0.3">
      <c r="A13" s="657" t="s">
        <v>279</v>
      </c>
      <c r="B13" s="657" t="s">
        <v>279</v>
      </c>
      <c r="C13" s="497" t="s">
        <v>72</v>
      </c>
      <c r="D13" s="576"/>
      <c r="E13" s="577" t="s">
        <v>291</v>
      </c>
      <c r="F13" s="152" t="s">
        <v>9</v>
      </c>
      <c r="G13" s="152">
        <v>5</v>
      </c>
      <c r="H13" s="69">
        <f>G13*K13</f>
        <v>1120</v>
      </c>
      <c r="I13" s="320"/>
      <c r="J13" s="6"/>
      <c r="K13" s="335">
        <v>224</v>
      </c>
      <c r="L13" s="358">
        <f>ROUND(I13/H13,0)</f>
        <v>0</v>
      </c>
      <c r="M13" s="34"/>
      <c r="N13" s="364">
        <f>L13/M7*G13</f>
        <v>0</v>
      </c>
      <c r="O13" s="503"/>
    </row>
    <row r="14" spans="1:51" s="521" customFormat="1" ht="14.25" customHeight="1" thickBot="1" x14ac:dyDescent="0.3">
      <c r="A14" s="453"/>
      <c r="B14" s="454"/>
      <c r="C14" s="575"/>
      <c r="D14" s="594" t="s">
        <v>68</v>
      </c>
      <c r="E14" s="579"/>
      <c r="F14" s="451"/>
      <c r="G14" s="451"/>
      <c r="H14" s="451"/>
      <c r="I14" s="842"/>
      <c r="J14" s="15"/>
      <c r="K14" s="32"/>
      <c r="L14" s="33"/>
      <c r="M14" s="361">
        <f>SUM(I15:I16)</f>
        <v>0</v>
      </c>
      <c r="N14" s="359"/>
      <c r="O14" s="58"/>
      <c r="P14" s="519"/>
    </row>
    <row r="15" spans="1:51" s="239" customFormat="1" ht="14.25" customHeight="1" x14ac:dyDescent="0.25">
      <c r="A15" s="658" t="s">
        <v>281</v>
      </c>
      <c r="B15" s="658" t="s">
        <v>281</v>
      </c>
      <c r="C15" s="655" t="s">
        <v>72</v>
      </c>
      <c r="D15" s="517"/>
      <c r="E15" s="284" t="s">
        <v>293</v>
      </c>
      <c r="F15" s="11" t="s">
        <v>9</v>
      </c>
      <c r="G15" s="50">
        <v>30</v>
      </c>
      <c r="H15" s="21">
        <f>G15*K15</f>
        <v>3240</v>
      </c>
      <c r="I15" s="324"/>
      <c r="J15" s="6"/>
      <c r="K15" s="356">
        <v>108</v>
      </c>
      <c r="L15" s="357">
        <f>ROUND(I15/H15,0)</f>
        <v>0</v>
      </c>
      <c r="M15" s="34"/>
      <c r="N15" s="363">
        <f>L15/M7*G15</f>
        <v>0</v>
      </c>
      <c r="O15" s="503"/>
    </row>
    <row r="16" spans="1:51" s="239" customFormat="1" ht="14.25" customHeight="1" thickBot="1" x14ac:dyDescent="0.3">
      <c r="A16" s="236" t="s">
        <v>280</v>
      </c>
      <c r="B16" s="236" t="s">
        <v>280</v>
      </c>
      <c r="C16" s="155" t="s">
        <v>72</v>
      </c>
      <c r="D16" s="112"/>
      <c r="E16" s="288" t="s">
        <v>294</v>
      </c>
      <c r="F16" s="142" t="s">
        <v>13</v>
      </c>
      <c r="G16" s="142">
        <v>9</v>
      </c>
      <c r="H16" s="68">
        <f>(G16*K16)</f>
        <v>693</v>
      </c>
      <c r="I16" s="320"/>
      <c r="J16" s="6"/>
      <c r="K16" s="97">
        <v>77</v>
      </c>
      <c r="L16" s="358">
        <f>ROUND(I16/(H16+H17+H18),0)</f>
        <v>0</v>
      </c>
      <c r="M16" s="34"/>
      <c r="N16" s="364">
        <f>L16/M7*G16</f>
        <v>0</v>
      </c>
      <c r="O16" s="503"/>
    </row>
    <row r="17" spans="1:16" s="239" customFormat="1" ht="14.25" customHeight="1" x14ac:dyDescent="0.25">
      <c r="A17" s="236" t="s">
        <v>118</v>
      </c>
      <c r="B17" s="236" t="s">
        <v>118</v>
      </c>
      <c r="C17" s="155" t="s">
        <v>72</v>
      </c>
      <c r="D17" s="154"/>
      <c r="E17" s="289" t="s">
        <v>295</v>
      </c>
      <c r="F17" s="142" t="s">
        <v>13</v>
      </c>
      <c r="G17" s="142">
        <v>10</v>
      </c>
      <c r="H17" s="68">
        <f>(G17*K17)</f>
        <v>280</v>
      </c>
      <c r="I17" s="31"/>
      <c r="J17" s="61"/>
      <c r="K17" s="306">
        <v>28</v>
      </c>
      <c r="L17" s="33"/>
      <c r="M17" s="34"/>
      <c r="N17" s="99"/>
      <c r="O17" s="238"/>
    </row>
    <row r="18" spans="1:16" s="239" customFormat="1" ht="14.25" customHeight="1" thickBot="1" x14ac:dyDescent="0.3">
      <c r="A18" s="518" t="s">
        <v>119</v>
      </c>
      <c r="B18" s="518" t="s">
        <v>119</v>
      </c>
      <c r="C18" s="497" t="s">
        <v>72</v>
      </c>
      <c r="D18" s="576"/>
      <c r="E18" s="577" t="s">
        <v>296</v>
      </c>
      <c r="F18" s="25" t="s">
        <v>13</v>
      </c>
      <c r="G18" s="45">
        <v>32</v>
      </c>
      <c r="H18" s="39">
        <f>(G18*K18)</f>
        <v>544</v>
      </c>
      <c r="I18" s="113"/>
      <c r="J18" s="326"/>
      <c r="K18" s="312">
        <v>17</v>
      </c>
      <c r="L18" s="55"/>
      <c r="M18" s="52"/>
      <c r="N18" s="100"/>
      <c r="O18" s="238"/>
    </row>
    <row r="19" spans="1:16" s="239" customFormat="1" ht="14.25" customHeight="1" thickBot="1" x14ac:dyDescent="0.3">
      <c r="A19" s="453"/>
      <c r="B19" s="454"/>
      <c r="C19" s="575"/>
      <c r="D19" s="594" t="s">
        <v>70</v>
      </c>
      <c r="E19" s="584"/>
      <c r="F19" s="454"/>
      <c r="G19" s="454"/>
      <c r="H19" s="838"/>
      <c r="I19" s="841"/>
      <c r="J19" s="15"/>
      <c r="K19" s="32"/>
      <c r="L19" s="33"/>
      <c r="M19" s="361">
        <f>SUM(I20:I20)</f>
        <v>0</v>
      </c>
      <c r="N19" s="344"/>
      <c r="O19" s="238"/>
    </row>
    <row r="20" spans="1:16" s="239" customFormat="1" ht="14.25" customHeight="1" thickBot="1" x14ac:dyDescent="0.3">
      <c r="A20" s="241" t="s">
        <v>282</v>
      </c>
      <c r="B20" s="241" t="s">
        <v>282</v>
      </c>
      <c r="C20" s="655" t="s">
        <v>72</v>
      </c>
      <c r="D20" s="112"/>
      <c r="E20" s="288" t="s">
        <v>297</v>
      </c>
      <c r="F20" s="150" t="s">
        <v>9</v>
      </c>
      <c r="G20" s="150">
        <v>45</v>
      </c>
      <c r="H20" s="67">
        <f>G20*K20</f>
        <v>9360</v>
      </c>
      <c r="I20" s="307"/>
      <c r="J20" s="6"/>
      <c r="K20" s="356">
        <v>208</v>
      </c>
      <c r="L20" s="365">
        <f>ROUND(I20/H20,0)</f>
        <v>0</v>
      </c>
      <c r="M20" s="34"/>
      <c r="N20" s="362">
        <f>L20/M7*G20</f>
        <v>0</v>
      </c>
      <c r="O20" s="503"/>
    </row>
    <row r="21" spans="1:16" s="239" customFormat="1" ht="14.25" customHeight="1" x14ac:dyDescent="0.25">
      <c r="A21" s="236" t="s">
        <v>284</v>
      </c>
      <c r="B21" s="236" t="s">
        <v>284</v>
      </c>
      <c r="C21" s="155" t="s">
        <v>72</v>
      </c>
      <c r="D21" s="80"/>
      <c r="E21" s="81" t="s">
        <v>298</v>
      </c>
      <c r="F21" s="11" t="s">
        <v>9</v>
      </c>
      <c r="G21" s="50">
        <v>35</v>
      </c>
      <c r="H21" s="67">
        <f>G21*K21</f>
        <v>1820</v>
      </c>
      <c r="I21" s="113"/>
      <c r="J21" s="61"/>
      <c r="K21" s="306">
        <v>52</v>
      </c>
      <c r="L21" s="55"/>
      <c r="M21" s="52"/>
      <c r="N21" s="99"/>
      <c r="O21" s="238"/>
    </row>
    <row r="22" spans="1:16" s="239" customFormat="1" ht="14.25" customHeight="1" thickBot="1" x14ac:dyDescent="0.3">
      <c r="A22" s="518" t="s">
        <v>283</v>
      </c>
      <c r="B22" s="518" t="s">
        <v>283</v>
      </c>
      <c r="C22" s="497" t="s">
        <v>72</v>
      </c>
      <c r="D22" s="82"/>
      <c r="E22" s="83" t="s">
        <v>299</v>
      </c>
      <c r="F22" s="20" t="s">
        <v>9</v>
      </c>
      <c r="G22" s="38">
        <v>35</v>
      </c>
      <c r="H22" s="69">
        <f>G22*K22</f>
        <v>3605</v>
      </c>
      <c r="I22" s="113"/>
      <c r="J22" s="61"/>
      <c r="K22" s="312">
        <v>103</v>
      </c>
      <c r="L22" s="55"/>
      <c r="M22" s="52"/>
      <c r="N22" s="99"/>
      <c r="O22" s="238"/>
    </row>
    <row r="23" spans="1:16" s="239" customFormat="1" ht="14.25" customHeight="1" thickBot="1" x14ac:dyDescent="0.3">
      <c r="A23" s="453"/>
      <c r="B23" s="454"/>
      <c r="C23" s="575"/>
      <c r="D23" s="594" t="s">
        <v>71</v>
      </c>
      <c r="E23" s="579"/>
      <c r="F23" s="454"/>
      <c r="G23" s="454"/>
      <c r="H23" s="838"/>
      <c r="I23" s="620">
        <v>200000</v>
      </c>
      <c r="J23" s="103">
        <v>0.88</v>
      </c>
      <c r="K23" s="32"/>
      <c r="L23" s="33"/>
      <c r="M23" s="361">
        <f>M24+M28</f>
        <v>86000</v>
      </c>
      <c r="N23" s="360"/>
      <c r="O23" s="238"/>
    </row>
    <row r="24" spans="1:16" s="239" customFormat="1" ht="14.25" customHeight="1" x14ac:dyDescent="0.25">
      <c r="A24" s="241" t="s">
        <v>270</v>
      </c>
      <c r="B24" s="241" t="s">
        <v>270</v>
      </c>
      <c r="C24" s="655" t="s">
        <v>72</v>
      </c>
      <c r="D24" s="30"/>
      <c r="E24" s="442" t="s">
        <v>4</v>
      </c>
      <c r="F24" s="19" t="s">
        <v>9</v>
      </c>
      <c r="G24" s="19">
        <v>365</v>
      </c>
      <c r="H24" s="22">
        <f>G24*K24</f>
        <v>9490</v>
      </c>
      <c r="I24" s="31"/>
      <c r="J24" s="395">
        <v>0.05</v>
      </c>
      <c r="K24" s="356">
        <v>26</v>
      </c>
      <c r="L24" s="357">
        <f>ROUND((M23/H24)*(G24/M7),0)</f>
        <v>3308</v>
      </c>
      <c r="M24" s="537">
        <f>ROUND((I23*J23)-I26,0)</f>
        <v>76000</v>
      </c>
      <c r="N24" s="363">
        <f>L24</f>
        <v>3308</v>
      </c>
      <c r="O24" s="238"/>
    </row>
    <row r="25" spans="1:16" s="239" customFormat="1" ht="14.25" customHeight="1" thickBot="1" x14ac:dyDescent="0.3">
      <c r="A25" s="236" t="s">
        <v>271</v>
      </c>
      <c r="B25" s="236" t="s">
        <v>271</v>
      </c>
      <c r="C25" s="155" t="s">
        <v>72</v>
      </c>
      <c r="D25" s="27"/>
      <c r="E25" s="28" t="s">
        <v>5</v>
      </c>
      <c r="F25" s="4" t="s">
        <v>9</v>
      </c>
      <c r="G25" s="4">
        <v>365</v>
      </c>
      <c r="H25" s="5">
        <f>G25*K25</f>
        <v>6570</v>
      </c>
      <c r="I25" s="31"/>
      <c r="J25" s="355">
        <v>0.95</v>
      </c>
      <c r="K25" s="313">
        <v>18</v>
      </c>
      <c r="L25" s="498">
        <f>ROUND((M23/H25)*(G25/M7),0)</f>
        <v>4778</v>
      </c>
      <c r="M25" s="178"/>
      <c r="N25" s="499">
        <f>L25</f>
        <v>4778</v>
      </c>
      <c r="O25" s="238"/>
      <c r="P25" s="519"/>
    </row>
    <row r="26" spans="1:16" s="239" customFormat="1" ht="13.5" customHeight="1" thickBot="1" x14ac:dyDescent="0.3">
      <c r="A26" s="397" t="s">
        <v>349</v>
      </c>
      <c r="B26" s="549" t="s">
        <v>349</v>
      </c>
      <c r="C26" s="155" t="s">
        <v>72</v>
      </c>
      <c r="D26" s="107"/>
      <c r="E26" s="520" t="s">
        <v>337</v>
      </c>
      <c r="F26" s="290" t="s">
        <v>336</v>
      </c>
      <c r="G26" s="24">
        <v>12</v>
      </c>
      <c r="H26" s="5">
        <f>K26*G26</f>
        <v>11744.039999999999</v>
      </c>
      <c r="I26" s="187">
        <v>100000</v>
      </c>
      <c r="J26" s="15"/>
      <c r="K26" s="465">
        <v>978.67</v>
      </c>
      <c r="L26" s="539" t="e">
        <f>ROUND((M26/(H26+H27))*(G26/N7),0)</f>
        <v>#DIV/0!</v>
      </c>
      <c r="M26" s="361">
        <f>I26</f>
        <v>100000</v>
      </c>
      <c r="N26" s="322" t="e">
        <f>L26</f>
        <v>#DIV/0!</v>
      </c>
      <c r="O26" s="238"/>
      <c r="P26" s="519"/>
    </row>
    <row r="27" spans="1:16" s="239" customFormat="1" ht="13.5" customHeight="1" x14ac:dyDescent="0.25">
      <c r="A27" s="397" t="s">
        <v>350</v>
      </c>
      <c r="B27" s="549" t="s">
        <v>350</v>
      </c>
      <c r="C27" s="155" t="s">
        <v>72</v>
      </c>
      <c r="D27" s="439"/>
      <c r="E27" s="520" t="s">
        <v>347</v>
      </c>
      <c r="F27" s="441" t="s">
        <v>336</v>
      </c>
      <c r="G27" s="385">
        <v>12</v>
      </c>
      <c r="H27" s="5">
        <f t="shared" ref="H27" si="0">G27*K27</f>
        <v>2820</v>
      </c>
      <c r="I27" s="615"/>
      <c r="J27" s="15"/>
      <c r="K27" s="102">
        <v>235</v>
      </c>
      <c r="L27" s="253"/>
      <c r="M27" s="253"/>
      <c r="N27" s="253"/>
      <c r="O27" s="238"/>
      <c r="P27" s="519"/>
    </row>
    <row r="28" spans="1:16" s="239" customFormat="1" ht="14.25" customHeight="1" x14ac:dyDescent="0.25">
      <c r="A28" s="236" t="s">
        <v>273</v>
      </c>
      <c r="B28" s="236" t="s">
        <v>273</v>
      </c>
      <c r="C28" s="155" t="s">
        <v>72</v>
      </c>
      <c r="D28" s="30"/>
      <c r="E28" s="112" t="s">
        <v>92</v>
      </c>
      <c r="F28" s="273" t="s">
        <v>141</v>
      </c>
      <c r="G28" s="24">
        <v>1</v>
      </c>
      <c r="H28" s="71">
        <v>40.270000000000003</v>
      </c>
      <c r="I28" s="31"/>
      <c r="J28" s="76">
        <v>0.05</v>
      </c>
      <c r="K28" s="317">
        <f t="shared" ref="K28:K33" si="1">H28</f>
        <v>40.270000000000003</v>
      </c>
      <c r="L28" s="33"/>
      <c r="M28" s="161">
        <f>ROUND(I23*J28,0)</f>
        <v>10000</v>
      </c>
      <c r="N28" s="99"/>
      <c r="O28" s="238"/>
      <c r="P28" s="519"/>
    </row>
    <row r="29" spans="1:16" s="239" customFormat="1" ht="14.25" customHeight="1" x14ac:dyDescent="0.25">
      <c r="A29" s="236" t="s">
        <v>274</v>
      </c>
      <c r="B29" s="236" t="s">
        <v>274</v>
      </c>
      <c r="C29" s="155" t="s">
        <v>72</v>
      </c>
      <c r="D29" s="84"/>
      <c r="E29" s="108" t="s">
        <v>55</v>
      </c>
      <c r="F29" s="273" t="s">
        <v>141</v>
      </c>
      <c r="G29" s="4">
        <v>1</v>
      </c>
      <c r="H29" s="72">
        <v>11.84</v>
      </c>
      <c r="I29" s="31"/>
      <c r="J29" s="77"/>
      <c r="K29" s="317">
        <f t="shared" si="1"/>
        <v>11.84</v>
      </c>
      <c r="L29" s="78"/>
      <c r="M29" s="254"/>
      <c r="N29" s="99"/>
      <c r="O29" s="238"/>
      <c r="P29" s="519"/>
    </row>
    <row r="30" spans="1:16" s="239" customFormat="1" ht="14.25" customHeight="1" x14ac:dyDescent="0.25">
      <c r="A30" s="236" t="s">
        <v>275</v>
      </c>
      <c r="B30" s="236" t="s">
        <v>275</v>
      </c>
      <c r="C30" s="155" t="s">
        <v>72</v>
      </c>
      <c r="D30" s="27"/>
      <c r="E30" s="108" t="s">
        <v>56</v>
      </c>
      <c r="F30" s="273" t="s">
        <v>141</v>
      </c>
      <c r="G30" s="4">
        <v>1</v>
      </c>
      <c r="H30" s="72">
        <v>16.350000000000001</v>
      </c>
      <c r="I30" s="31"/>
      <c r="J30" s="76"/>
      <c r="K30" s="317">
        <f t="shared" si="1"/>
        <v>16.350000000000001</v>
      </c>
      <c r="L30" s="33"/>
      <c r="M30" s="34"/>
      <c r="N30" s="99"/>
      <c r="O30" s="238"/>
      <c r="P30" s="519"/>
    </row>
    <row r="31" spans="1:16" s="239" customFormat="1" ht="14.25" customHeight="1" x14ac:dyDescent="0.25">
      <c r="A31" s="236" t="s">
        <v>276</v>
      </c>
      <c r="B31" s="236" t="s">
        <v>276</v>
      </c>
      <c r="C31" s="155" t="s">
        <v>72</v>
      </c>
      <c r="D31" s="84"/>
      <c r="E31" s="281" t="s">
        <v>57</v>
      </c>
      <c r="F31" s="273" t="s">
        <v>141</v>
      </c>
      <c r="G31" s="4">
        <v>1</v>
      </c>
      <c r="H31" s="72">
        <v>27.6</v>
      </c>
      <c r="I31" s="31"/>
      <c r="J31" s="76"/>
      <c r="K31" s="317">
        <v>27.6</v>
      </c>
      <c r="L31" s="33"/>
      <c r="M31" s="34"/>
      <c r="N31" s="99"/>
      <c r="O31" s="238"/>
      <c r="P31" s="519"/>
    </row>
    <row r="32" spans="1:16" s="239" customFormat="1" ht="14.25" customHeight="1" x14ac:dyDescent="0.25">
      <c r="A32" s="236" t="s">
        <v>277</v>
      </c>
      <c r="B32" s="236" t="s">
        <v>277</v>
      </c>
      <c r="C32" s="155" t="s">
        <v>72</v>
      </c>
      <c r="D32" s="30"/>
      <c r="E32" s="288" t="s">
        <v>58</v>
      </c>
      <c r="F32" s="273" t="s">
        <v>141</v>
      </c>
      <c r="G32" s="24">
        <v>1</v>
      </c>
      <c r="H32" s="116">
        <v>10.18</v>
      </c>
      <c r="I32" s="31"/>
      <c r="J32" s="76"/>
      <c r="K32" s="317">
        <v>10.18</v>
      </c>
      <c r="L32" s="33"/>
      <c r="M32" s="34"/>
      <c r="N32" s="99"/>
      <c r="O32" s="238"/>
      <c r="P32" s="519"/>
    </row>
    <row r="33" spans="1:20" s="239" customFormat="1" ht="14.25" customHeight="1" x14ac:dyDescent="0.25">
      <c r="A33" s="236" t="s">
        <v>285</v>
      </c>
      <c r="B33" s="236" t="s">
        <v>285</v>
      </c>
      <c r="C33" s="155" t="s">
        <v>72</v>
      </c>
      <c r="D33" s="27"/>
      <c r="E33" s="117" t="s">
        <v>59</v>
      </c>
      <c r="F33" s="273" t="s">
        <v>141</v>
      </c>
      <c r="G33" s="4">
        <v>1</v>
      </c>
      <c r="H33" s="71">
        <v>40.21</v>
      </c>
      <c r="I33" s="31"/>
      <c r="J33" s="76"/>
      <c r="K33" s="317">
        <f t="shared" si="1"/>
        <v>40.21</v>
      </c>
      <c r="L33" s="33"/>
      <c r="M33" s="115"/>
      <c r="N33" s="114"/>
      <c r="O33" s="238"/>
      <c r="P33" s="519"/>
    </row>
    <row r="34" spans="1:20" s="239" customFormat="1" ht="14.25" customHeight="1" x14ac:dyDescent="0.25">
      <c r="A34" s="236" t="s">
        <v>286</v>
      </c>
      <c r="B34" s="236" t="s">
        <v>286</v>
      </c>
      <c r="C34" s="155" t="s">
        <v>72</v>
      </c>
      <c r="D34" s="27"/>
      <c r="E34" s="108" t="s">
        <v>80</v>
      </c>
      <c r="F34" s="273" t="s">
        <v>141</v>
      </c>
      <c r="G34" s="4">
        <v>1</v>
      </c>
      <c r="H34" s="72">
        <v>40.21</v>
      </c>
      <c r="I34" s="31"/>
      <c r="J34" s="76"/>
      <c r="K34" s="317">
        <v>40.21</v>
      </c>
      <c r="L34" s="33"/>
      <c r="M34" s="115"/>
      <c r="N34" s="114"/>
      <c r="O34" s="238"/>
      <c r="P34" s="519"/>
    </row>
    <row r="35" spans="1:20" s="239" customFormat="1" ht="14.25" customHeight="1" x14ac:dyDescent="0.25">
      <c r="A35" s="236" t="s">
        <v>287</v>
      </c>
      <c r="B35" s="236" t="s">
        <v>287</v>
      </c>
      <c r="C35" s="155" t="s">
        <v>72</v>
      </c>
      <c r="D35" s="23"/>
      <c r="E35" s="108" t="s">
        <v>60</v>
      </c>
      <c r="F35" s="273" t="s">
        <v>141</v>
      </c>
      <c r="G35" s="24">
        <v>1</v>
      </c>
      <c r="H35" s="72">
        <v>11.12</v>
      </c>
      <c r="I35" s="31"/>
      <c r="J35" s="76"/>
      <c r="K35" s="317">
        <f>H35</f>
        <v>11.12</v>
      </c>
      <c r="L35" s="33"/>
      <c r="M35" s="115"/>
      <c r="N35" s="114"/>
      <c r="O35" s="238"/>
      <c r="P35" s="519"/>
    </row>
    <row r="36" spans="1:20" s="239" customFormat="1" ht="14.25" customHeight="1" x14ac:dyDescent="0.25">
      <c r="A36" s="236" t="s">
        <v>288</v>
      </c>
      <c r="B36" s="236" t="s">
        <v>288</v>
      </c>
      <c r="C36" s="155" t="s">
        <v>72</v>
      </c>
      <c r="D36" s="23"/>
      <c r="E36" s="109" t="s">
        <v>253</v>
      </c>
      <c r="F36" s="273" t="s">
        <v>141</v>
      </c>
      <c r="G36" s="24">
        <v>1</v>
      </c>
      <c r="H36" s="483">
        <v>6.42</v>
      </c>
      <c r="I36" s="31"/>
      <c r="J36" s="76"/>
      <c r="K36" s="366">
        <v>6.42</v>
      </c>
      <c r="L36" s="33"/>
      <c r="M36" s="115"/>
      <c r="N36" s="114"/>
      <c r="O36" s="238"/>
      <c r="P36" s="519"/>
    </row>
    <row r="37" spans="1:20" s="239" customFormat="1" ht="14.25" customHeight="1" x14ac:dyDescent="0.25">
      <c r="A37" s="236" t="s">
        <v>289</v>
      </c>
      <c r="B37" s="236" t="s">
        <v>289</v>
      </c>
      <c r="C37" s="155" t="s">
        <v>72</v>
      </c>
      <c r="D37" s="23"/>
      <c r="E37" s="109" t="s">
        <v>254</v>
      </c>
      <c r="F37" s="273" t="s">
        <v>141</v>
      </c>
      <c r="G37" s="24">
        <v>1</v>
      </c>
      <c r="H37" s="483">
        <v>6.42</v>
      </c>
      <c r="I37" s="31"/>
      <c r="J37" s="76"/>
      <c r="K37" s="366">
        <v>6.42</v>
      </c>
      <c r="L37" s="33"/>
      <c r="M37" s="115"/>
      <c r="N37" s="114"/>
      <c r="O37" s="238"/>
      <c r="P37" s="519"/>
    </row>
    <row r="38" spans="1:20" s="239" customFormat="1" ht="14.25" customHeight="1" x14ac:dyDescent="0.25">
      <c r="A38" s="236" t="s">
        <v>290</v>
      </c>
      <c r="B38" s="236" t="s">
        <v>290</v>
      </c>
      <c r="C38" s="155" t="s">
        <v>72</v>
      </c>
      <c r="D38" s="23"/>
      <c r="E38" s="109" t="s">
        <v>255</v>
      </c>
      <c r="F38" s="273" t="s">
        <v>141</v>
      </c>
      <c r="G38" s="24">
        <v>1</v>
      </c>
      <c r="H38" s="483">
        <v>9.99</v>
      </c>
      <c r="I38" s="31"/>
      <c r="J38" s="76"/>
      <c r="K38" s="366">
        <v>9.99</v>
      </c>
      <c r="L38" s="33"/>
      <c r="M38" s="115"/>
      <c r="N38" s="114"/>
      <c r="O38" s="238"/>
      <c r="P38" s="519"/>
    </row>
    <row r="39" spans="1:20" s="239" customFormat="1" ht="14.25" customHeight="1" thickBot="1" x14ac:dyDescent="0.3">
      <c r="A39" s="518" t="s">
        <v>209</v>
      </c>
      <c r="B39" s="518" t="s">
        <v>209</v>
      </c>
      <c r="C39" s="497" t="s">
        <v>72</v>
      </c>
      <c r="D39" s="23"/>
      <c r="E39" s="109" t="s">
        <v>61</v>
      </c>
      <c r="F39" s="282" t="s">
        <v>141</v>
      </c>
      <c r="G39" s="24">
        <v>1</v>
      </c>
      <c r="H39" s="483">
        <v>33.270000000000003</v>
      </c>
      <c r="I39" s="31"/>
      <c r="J39" s="76"/>
      <c r="K39" s="318">
        <f>H39</f>
        <v>33.270000000000003</v>
      </c>
      <c r="L39" s="33"/>
      <c r="M39" s="34"/>
      <c r="N39" s="99"/>
      <c r="O39" s="238"/>
      <c r="P39" s="519"/>
    </row>
    <row r="40" spans="1:20" s="239" customFormat="1" ht="14.25" customHeight="1" thickBot="1" x14ac:dyDescent="0.3">
      <c r="A40" s="654"/>
      <c r="B40" s="480"/>
      <c r="C40" s="656"/>
      <c r="D40" s="478" t="s">
        <v>256</v>
      </c>
      <c r="E40" s="617"/>
      <c r="F40" s="480"/>
      <c r="G40" s="480"/>
      <c r="H40" s="839"/>
      <c r="I40" s="31"/>
      <c r="J40" s="103">
        <v>7.0000000000000007E-2</v>
      </c>
      <c r="K40" s="367"/>
      <c r="L40" s="33"/>
      <c r="M40" s="361">
        <f>I23*J40</f>
        <v>14000.000000000002</v>
      </c>
      <c r="N40" s="99"/>
      <c r="O40" s="238"/>
      <c r="P40" s="519"/>
    </row>
    <row r="41" spans="1:20" s="239" customFormat="1" ht="14.25" customHeight="1" x14ac:dyDescent="0.25">
      <c r="A41" s="241" t="s">
        <v>300</v>
      </c>
      <c r="B41" s="241" t="s">
        <v>300</v>
      </c>
      <c r="C41" s="655" t="s">
        <v>72</v>
      </c>
      <c r="D41" s="30"/>
      <c r="E41" s="404" t="s">
        <v>257</v>
      </c>
      <c r="F41" s="290" t="s">
        <v>141</v>
      </c>
      <c r="G41" s="19">
        <v>7</v>
      </c>
      <c r="H41" s="71">
        <v>391.09</v>
      </c>
      <c r="I41" s="31"/>
      <c r="J41" s="76"/>
      <c r="K41" s="319">
        <v>55.87</v>
      </c>
      <c r="L41" s="33"/>
      <c r="M41" s="34"/>
      <c r="N41" s="99"/>
      <c r="O41" s="238"/>
      <c r="P41" s="519"/>
    </row>
    <row r="42" spans="1:20" s="239" customFormat="1" ht="14.25" customHeight="1" x14ac:dyDescent="0.25">
      <c r="A42" s="236" t="s">
        <v>301</v>
      </c>
      <c r="B42" s="236" t="s">
        <v>301</v>
      </c>
      <c r="C42" s="155" t="s">
        <v>72</v>
      </c>
      <c r="D42" s="23"/>
      <c r="E42" s="400" t="s">
        <v>244</v>
      </c>
      <c r="F42" s="273" t="s">
        <v>141</v>
      </c>
      <c r="G42" s="24">
        <v>1</v>
      </c>
      <c r="H42" s="483">
        <v>21.1</v>
      </c>
      <c r="I42" s="31"/>
      <c r="J42" s="76"/>
      <c r="K42" s="366">
        <f t="shared" ref="K42:K46" si="2">H42</f>
        <v>21.1</v>
      </c>
      <c r="L42" s="33"/>
      <c r="M42" s="34"/>
      <c r="N42" s="99"/>
      <c r="O42" s="238"/>
      <c r="P42" s="519"/>
    </row>
    <row r="43" spans="1:20" s="239" customFormat="1" ht="14.25" customHeight="1" x14ac:dyDescent="0.25">
      <c r="A43" s="236" t="s">
        <v>302</v>
      </c>
      <c r="B43" s="236" t="s">
        <v>302</v>
      </c>
      <c r="C43" s="155" t="s">
        <v>72</v>
      </c>
      <c r="D43" s="23"/>
      <c r="E43" s="400" t="s">
        <v>245</v>
      </c>
      <c r="F43" s="273" t="s">
        <v>141</v>
      </c>
      <c r="G43" s="24">
        <v>3</v>
      </c>
      <c r="H43" s="483">
        <v>115.94999999999999</v>
      </c>
      <c r="I43" s="31"/>
      <c r="J43" s="76"/>
      <c r="K43" s="366">
        <v>38.65</v>
      </c>
      <c r="L43" s="33"/>
      <c r="M43" s="34"/>
      <c r="N43" s="99"/>
      <c r="O43" s="238"/>
      <c r="P43" s="519"/>
    </row>
    <row r="44" spans="1:20" s="239" customFormat="1" ht="14.25" customHeight="1" x14ac:dyDescent="0.25">
      <c r="A44" s="236" t="s">
        <v>303</v>
      </c>
      <c r="B44" s="236" t="s">
        <v>303</v>
      </c>
      <c r="C44" s="155" t="s">
        <v>72</v>
      </c>
      <c r="D44" s="23"/>
      <c r="E44" s="400" t="s">
        <v>251</v>
      </c>
      <c r="F44" s="273" t="s">
        <v>141</v>
      </c>
      <c r="G44" s="24">
        <v>1</v>
      </c>
      <c r="H44" s="483">
        <v>113.91</v>
      </c>
      <c r="I44" s="31"/>
      <c r="J44" s="76"/>
      <c r="K44" s="366">
        <f t="shared" si="2"/>
        <v>113.91</v>
      </c>
      <c r="L44" s="33"/>
      <c r="M44" s="34"/>
      <c r="N44" s="99"/>
      <c r="O44" s="238"/>
      <c r="P44" s="519"/>
    </row>
    <row r="45" spans="1:20" s="239" customFormat="1" ht="14.25" customHeight="1" x14ac:dyDescent="0.25">
      <c r="A45" s="236" t="s">
        <v>304</v>
      </c>
      <c r="B45" s="236" t="s">
        <v>304</v>
      </c>
      <c r="C45" s="155" t="s">
        <v>72</v>
      </c>
      <c r="D45" s="23"/>
      <c r="E45" s="400" t="s">
        <v>258</v>
      </c>
      <c r="F45" s="273" t="s">
        <v>141</v>
      </c>
      <c r="G45" s="24">
        <v>1</v>
      </c>
      <c r="H45" s="483">
        <v>44.66</v>
      </c>
      <c r="I45" s="31"/>
      <c r="J45" s="76"/>
      <c r="K45" s="366">
        <f t="shared" si="2"/>
        <v>44.66</v>
      </c>
      <c r="L45" s="33"/>
      <c r="M45" s="34"/>
      <c r="N45" s="99"/>
      <c r="O45" s="238"/>
      <c r="P45" s="519"/>
    </row>
    <row r="46" spans="1:20" s="239" customFormat="1" ht="14.25" customHeight="1" thickBot="1" x14ac:dyDescent="0.3">
      <c r="A46" s="236" t="s">
        <v>305</v>
      </c>
      <c r="B46" s="236" t="s">
        <v>305</v>
      </c>
      <c r="C46" s="155" t="s">
        <v>72</v>
      </c>
      <c r="D46" s="23"/>
      <c r="E46" s="400" t="s">
        <v>246</v>
      </c>
      <c r="F46" s="273" t="s">
        <v>141</v>
      </c>
      <c r="G46" s="24">
        <v>1</v>
      </c>
      <c r="H46" s="483">
        <v>60.34</v>
      </c>
      <c r="I46" s="35"/>
      <c r="J46" s="843"/>
      <c r="K46" s="318">
        <f t="shared" si="2"/>
        <v>60.34</v>
      </c>
      <c r="L46" s="533"/>
      <c r="M46" s="36"/>
      <c r="N46" s="844"/>
      <c r="O46" s="244"/>
      <c r="P46" s="519"/>
    </row>
    <row r="47" spans="1:20" s="521" customFormat="1" ht="15.6" thickBot="1" x14ac:dyDescent="0.3">
      <c r="A47" s="732"/>
      <c r="B47" s="741"/>
      <c r="C47" s="741"/>
      <c r="D47" s="741"/>
      <c r="E47" s="741"/>
      <c r="F47" s="741"/>
      <c r="G47" s="741"/>
      <c r="H47" s="741"/>
      <c r="I47" s="741" t="s">
        <v>73</v>
      </c>
      <c r="J47" s="743"/>
      <c r="K47" s="750"/>
      <c r="L47" s="745"/>
      <c r="M47" s="760">
        <f>M11+M14+M19+M23+M26+M40</f>
        <v>200000</v>
      </c>
      <c r="N47" s="758"/>
      <c r="O47" s="759">
        <f>ROUND(M47*M4,0)</f>
        <v>10000</v>
      </c>
      <c r="P47" s="519"/>
      <c r="Q47" s="239"/>
      <c r="R47" s="239"/>
      <c r="S47" s="239"/>
      <c r="T47" s="239"/>
    </row>
  </sheetData>
  <sheetProtection algorithmName="SHA-512" hashValue="hVV4hSskgF1cWTptbT7sdyUQlVf4dD4wSW0Sk8XmJlrAI/gVL+avyigG64B/jm5RiQtm83DvB5yfc2SrYISk0A==" saltValue="CjG5ZBncjTd9X9/Vch8IEA==" spinCount="100000" sheet="1" objects="1" scenarios="1" selectLockedCells="1"/>
  <customSheetViews>
    <customSheetView guid="{C6420BFA-ED47-4663-9C57-378E7F6357AD}" topLeftCell="A10">
      <selection activeCell="E27" sqref="E27"/>
      <pageMargins left="0.7" right="0.7" top="0.75" bottom="0.75" header="0.3" footer="0.3"/>
      <pageSetup scale="60" fitToHeight="0" orientation="landscape" r:id="rId1"/>
    </customSheetView>
    <customSheetView guid="{46DAEA1C-9AA2-41AF-B0D5-8FF77AE3DFC9}" topLeftCell="A11">
      <selection activeCell="E29" sqref="E29"/>
      <pageMargins left="0.7" right="0.7" top="0.75" bottom="0.75" header="0.3" footer="0.3"/>
      <pageSetup scale="60" fitToHeight="0" orientation="landscape" r:id="rId2"/>
    </customSheetView>
    <customSheetView guid="{E1836566-5413-4CEC-8A51-C2FC60CADFC0}" topLeftCell="A11">
      <selection activeCell="E29" sqref="E29"/>
      <pageMargins left="0.7" right="0.7" top="0.75" bottom="0.75" header="0.3" footer="0.3"/>
      <pageSetup scale="60" fitToHeight="0" orientation="landscape" r:id="rId3"/>
    </customSheetView>
  </customSheetViews>
  <dataValidations count="2">
    <dataValidation type="list" allowBlank="1" showInputMessage="1" showErrorMessage="1" sqref="M5 M3">
      <formula1>$E$205:$E$213</formula1>
    </dataValidation>
    <dataValidation type="list" allowBlank="1" showInputMessage="1" showErrorMessage="1" sqref="G4:G6">
      <formula1>#REF!</formula1>
    </dataValidation>
  </dataValidations>
  <pageMargins left="0.7" right="0.7" top="0.75" bottom="0.75" header="0.3" footer="0.3"/>
  <pageSetup scale="54" fitToHeight="0" orientation="landscape" r:id="rId4"/>
  <colBreaks count="1" manualBreakCount="1">
    <brk id="15" max="1048575" man="1"/>
  </colBreak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23"/>
  <sheetViews>
    <sheetView zoomScaleNormal="100" workbookViewId="0">
      <selection activeCell="E2" sqref="E2"/>
    </sheetView>
  </sheetViews>
  <sheetFormatPr defaultColWidth="0" defaultRowHeight="13.2" zeroHeight="1" x14ac:dyDescent="0.25"/>
  <cols>
    <col min="1" max="1" width="17.5546875" style="1" customWidth="1"/>
    <col min="2" max="2" width="15.88671875" style="1" customWidth="1"/>
    <col min="3" max="3" width="16.44140625" style="1" bestFit="1" customWidth="1"/>
    <col min="4" max="4" width="3.109375" style="1" customWidth="1"/>
    <col min="5" max="5" width="77" style="1" bestFit="1" customWidth="1"/>
    <col min="6" max="6" width="9.88671875" style="1" bestFit="1" customWidth="1"/>
    <col min="7" max="7" width="9.109375" style="1" customWidth="1"/>
    <col min="8" max="8" width="9.88671875" style="1" customWidth="1"/>
    <col min="9" max="9" width="22.109375" style="1" customWidth="1"/>
    <col min="10" max="10" width="10.6640625" style="1" customWidth="1"/>
    <col min="11" max="12" width="9.109375" style="1" customWidth="1"/>
    <col min="13" max="13" width="21" style="1" customWidth="1"/>
    <col min="14" max="14" width="9.109375" style="1" customWidth="1"/>
    <col min="15" max="15" width="18.33203125" style="1" customWidth="1"/>
    <col min="16" max="16" width="9.109375" style="1" customWidth="1"/>
    <col min="17" max="26" width="9.109375" style="1" hidden="1" customWidth="1"/>
    <col min="27" max="254" width="0" style="1" hidden="1" customWidth="1"/>
    <col min="255" max="16384" width="9.109375" style="1" hidden="1"/>
  </cols>
  <sheetData>
    <row r="1" spans="1:254" ht="32.1" customHeight="1" thickBot="1" x14ac:dyDescent="0.35">
      <c r="A1" s="887" t="s">
        <v>64</v>
      </c>
      <c r="B1" s="883"/>
      <c r="C1" s="883"/>
      <c r="D1" s="883"/>
      <c r="E1" s="883"/>
      <c r="F1" s="660"/>
      <c r="G1" s="660"/>
      <c r="H1" s="660"/>
      <c r="I1" s="660"/>
      <c r="J1" s="660"/>
      <c r="K1" s="660"/>
      <c r="L1" s="660"/>
      <c r="M1" s="660"/>
      <c r="N1" s="223"/>
      <c r="O1" s="893" t="s">
        <v>395</v>
      </c>
    </row>
    <row r="2" spans="1:254" ht="32.1" customHeight="1" thickBot="1" x14ac:dyDescent="0.4">
      <c r="B2" s="891"/>
      <c r="C2" s="890"/>
      <c r="D2" s="509" t="s">
        <v>44</v>
      </c>
      <c r="E2" s="878"/>
      <c r="F2" s="515"/>
      <c r="G2" s="511"/>
      <c r="H2" s="509" t="s">
        <v>78</v>
      </c>
      <c r="I2" s="880"/>
      <c r="J2" s="511"/>
      <c r="K2" s="512"/>
      <c r="L2" s="512" t="s">
        <v>40</v>
      </c>
      <c r="M2" s="369"/>
      <c r="N2" s="223"/>
    </row>
    <row r="3" spans="1:254" ht="32.1" customHeight="1" thickBot="1" x14ac:dyDescent="0.35">
      <c r="C3" s="508"/>
      <c r="D3" s="508"/>
      <c r="E3" s="516"/>
      <c r="F3" s="515"/>
      <c r="G3" s="511"/>
      <c r="H3" s="509" t="s">
        <v>79</v>
      </c>
      <c r="I3" s="881"/>
      <c r="J3" s="511"/>
      <c r="K3" s="513"/>
      <c r="L3" s="513"/>
      <c r="M3" s="514"/>
      <c r="N3" s="223"/>
      <c r="O3" s="122"/>
    </row>
    <row r="4" spans="1:254" ht="32.1" customHeight="1" thickBot="1" x14ac:dyDescent="0.35">
      <c r="C4" s="508"/>
      <c r="D4" s="508"/>
      <c r="E4" s="516"/>
      <c r="F4" s="515"/>
      <c r="G4" s="516"/>
      <c r="H4" s="515"/>
      <c r="I4" s="516"/>
      <c r="J4" s="511"/>
      <c r="K4" s="512"/>
      <c r="L4" s="512" t="s">
        <v>67</v>
      </c>
      <c r="M4" s="370">
        <v>0.05</v>
      </c>
      <c r="N4" s="223"/>
      <c r="O4" s="122"/>
    </row>
    <row r="5" spans="1:254" ht="15.9" customHeight="1" x14ac:dyDescent="0.3">
      <c r="A5" s="231"/>
      <c r="C5" s="508"/>
      <c r="D5" s="508"/>
      <c r="E5" s="516"/>
      <c r="F5" s="515"/>
      <c r="G5" s="516"/>
      <c r="H5" s="515"/>
      <c r="I5" s="516"/>
      <c r="J5" s="510"/>
      <c r="K5" s="511"/>
      <c r="L5" s="513"/>
      <c r="M5" s="514"/>
      <c r="N5" s="223"/>
      <c r="O5" s="122"/>
    </row>
    <row r="6" spans="1:254" ht="15.9" customHeight="1" thickBot="1" x14ac:dyDescent="0.35">
      <c r="C6" s="508"/>
      <c r="D6" s="508"/>
      <c r="E6" s="516"/>
      <c r="F6" s="515"/>
      <c r="G6" s="516"/>
      <c r="H6" s="515"/>
      <c r="I6" s="516"/>
      <c r="J6" s="660"/>
      <c r="K6" s="660"/>
      <c r="L6" s="660"/>
      <c r="M6" s="660"/>
      <c r="N6" s="223"/>
    </row>
    <row r="7" spans="1:254" ht="29.25" customHeight="1" thickBot="1" x14ac:dyDescent="0.35">
      <c r="C7" s="660"/>
      <c r="D7" s="660"/>
      <c r="E7" s="660"/>
      <c r="F7" s="511"/>
      <c r="G7" s="660"/>
      <c r="H7" s="511"/>
      <c r="I7" s="660"/>
      <c r="J7" s="660"/>
      <c r="K7" s="660"/>
      <c r="L7" s="882" t="s">
        <v>140</v>
      </c>
      <c r="M7" s="879">
        <f>I3-I2+1</f>
        <v>1</v>
      </c>
      <c r="N7" s="538">
        <f>ROUND(Days/30,0)</f>
        <v>0</v>
      </c>
    </row>
    <row r="8" spans="1:254" ht="32.1" customHeight="1" thickBot="1" x14ac:dyDescent="0.35">
      <c r="E8" s="232"/>
      <c r="F8" s="225"/>
      <c r="H8" s="225"/>
      <c r="I8" s="233" t="s">
        <v>135</v>
      </c>
      <c r="K8" s="460"/>
      <c r="L8" s="463" t="s">
        <v>339</v>
      </c>
      <c r="M8" s="462"/>
      <c r="N8" s="223"/>
      <c r="O8" s="234"/>
    </row>
    <row r="9" spans="1:254" ht="39" customHeight="1" thickBot="1" x14ac:dyDescent="0.35">
      <c r="A9" s="767" t="s">
        <v>81</v>
      </c>
      <c r="B9" s="768" t="s">
        <v>82</v>
      </c>
      <c r="C9" s="769" t="s">
        <v>29</v>
      </c>
      <c r="D9" s="770" t="s">
        <v>342</v>
      </c>
      <c r="E9" s="771" t="s">
        <v>343</v>
      </c>
      <c r="F9" s="769" t="s">
        <v>145</v>
      </c>
      <c r="G9" s="737" t="s">
        <v>144</v>
      </c>
      <c r="H9" s="734" t="s">
        <v>36</v>
      </c>
      <c r="I9" s="678" t="s">
        <v>146</v>
      </c>
      <c r="J9" s="757" t="s">
        <v>147</v>
      </c>
      <c r="K9" s="679" t="s">
        <v>37</v>
      </c>
      <c r="L9" s="680" t="s">
        <v>38</v>
      </c>
      <c r="M9" s="681" t="s">
        <v>39</v>
      </c>
      <c r="N9" s="670" t="s">
        <v>65</v>
      </c>
      <c r="O9" s="813" t="s">
        <v>154</v>
      </c>
    </row>
    <row r="10" spans="1:254" ht="23.25" customHeight="1" x14ac:dyDescent="0.3">
      <c r="A10" s="778"/>
      <c r="B10" s="778"/>
      <c r="C10" s="778"/>
      <c r="D10" s="778"/>
      <c r="E10" s="779" t="s">
        <v>378</v>
      </c>
      <c r="F10" s="778"/>
      <c r="G10" s="778"/>
      <c r="H10" s="778"/>
      <c r="I10" s="676"/>
      <c r="J10" s="630"/>
      <c r="K10" s="676"/>
      <c r="L10" s="677"/>
      <c r="M10" s="677"/>
      <c r="N10" s="630"/>
      <c r="O10" s="630"/>
    </row>
    <row r="11" spans="1:254" s="235" customFormat="1" ht="15.9" customHeight="1" thickBot="1" x14ac:dyDescent="0.35">
      <c r="A11" s="682"/>
      <c r="B11" s="454"/>
      <c r="C11" s="683"/>
      <c r="D11" s="683" t="s">
        <v>142</v>
      </c>
      <c r="E11" s="665"/>
      <c r="F11" s="451"/>
      <c r="G11" s="451"/>
      <c r="H11" s="446"/>
      <c r="I11" s="532"/>
      <c r="J11" s="532"/>
      <c r="K11" s="663"/>
      <c r="L11" s="474">
        <f>SUM(L14:L16)</f>
        <v>0</v>
      </c>
      <c r="M11" s="674">
        <f>SUM(M12:M16)</f>
        <v>0</v>
      </c>
      <c r="N11" s="675"/>
      <c r="O11" s="5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235" customFormat="1" ht="15.9" customHeight="1" x14ac:dyDescent="0.25">
      <c r="A12" s="241" t="s">
        <v>96</v>
      </c>
      <c r="B12" s="262" t="s">
        <v>182</v>
      </c>
      <c r="C12" s="181" t="s">
        <v>136</v>
      </c>
      <c r="D12" s="377" t="s">
        <v>195</v>
      </c>
      <c r="E12" s="237"/>
      <c r="F12" s="92" t="s">
        <v>9</v>
      </c>
      <c r="G12" s="12">
        <v>5</v>
      </c>
      <c r="H12" s="13">
        <f>G12*K12</f>
        <v>1120</v>
      </c>
      <c r="I12" s="94"/>
      <c r="J12" s="98"/>
      <c r="K12" s="378">
        <v>224</v>
      </c>
      <c r="L12" s="414">
        <f>ROUND(M12/H12,0)</f>
        <v>0</v>
      </c>
      <c r="M12" s="415">
        <f>I12</f>
        <v>0</v>
      </c>
      <c r="N12" s="437">
        <f>ROUND(L12/Days*G12,0)</f>
        <v>0</v>
      </c>
      <c r="O12" s="5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35" customFormat="1" ht="15.9" customHeight="1" x14ac:dyDescent="0.25">
      <c r="A13" s="263" t="s">
        <v>156</v>
      </c>
      <c r="B13" s="264" t="s">
        <v>155</v>
      </c>
      <c r="C13" s="28" t="s">
        <v>136</v>
      </c>
      <c r="D13" s="10" t="s">
        <v>12</v>
      </c>
      <c r="E13" s="237"/>
      <c r="F13" s="92" t="s">
        <v>9</v>
      </c>
      <c r="G13" s="12">
        <v>6</v>
      </c>
      <c r="H13" s="13">
        <f>G13*K13</f>
        <v>510</v>
      </c>
      <c r="I13" s="16"/>
      <c r="J13" s="6"/>
      <c r="K13" s="171">
        <v>85</v>
      </c>
      <c r="L13" s="414">
        <f>ROUND(M13/H13,0)</f>
        <v>0</v>
      </c>
      <c r="M13" s="415">
        <f>I13</f>
        <v>0</v>
      </c>
      <c r="N13" s="437">
        <f>ROUND(L13/Days*G13,0)</f>
        <v>0</v>
      </c>
      <c r="O13" s="5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239" customFormat="1" ht="15.9" customHeight="1" thickBot="1" x14ac:dyDescent="0.3">
      <c r="A14" s="263" t="s">
        <v>157</v>
      </c>
      <c r="B14" s="264" t="s">
        <v>158</v>
      </c>
      <c r="C14" s="28" t="s">
        <v>136</v>
      </c>
      <c r="D14" s="10" t="s">
        <v>7</v>
      </c>
      <c r="E14" s="237"/>
      <c r="F14" s="92" t="s">
        <v>9</v>
      </c>
      <c r="G14" s="12">
        <v>28</v>
      </c>
      <c r="H14" s="13">
        <f>G14*K14</f>
        <v>3024</v>
      </c>
      <c r="I14" s="16"/>
      <c r="J14" s="6"/>
      <c r="K14" s="171">
        <v>108</v>
      </c>
      <c r="L14" s="414">
        <f>ROUND(M14/H14,0)</f>
        <v>0</v>
      </c>
      <c r="M14" s="415">
        <f>I14</f>
        <v>0</v>
      </c>
      <c r="N14" s="437">
        <f>ROUND(L14/Days*G14,0)</f>
        <v>0</v>
      </c>
      <c r="O14" s="238"/>
      <c r="P14" s="23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239" customFormat="1" ht="15.9" customHeight="1" thickBot="1" x14ac:dyDescent="0.3">
      <c r="A15" s="236" t="s">
        <v>95</v>
      </c>
      <c r="B15" s="264" t="s">
        <v>159</v>
      </c>
      <c r="C15" s="28" t="s">
        <v>136</v>
      </c>
      <c r="D15" s="10" t="s">
        <v>10</v>
      </c>
      <c r="E15" s="237"/>
      <c r="F15" s="92" t="s">
        <v>9</v>
      </c>
      <c r="G15" s="12">
        <v>35</v>
      </c>
      <c r="H15" s="13">
        <f>G15*K15</f>
        <v>1435</v>
      </c>
      <c r="I15" s="240"/>
      <c r="J15" s="61"/>
      <c r="K15" s="171">
        <v>41</v>
      </c>
      <c r="L15" s="414">
        <v>0</v>
      </c>
      <c r="M15" s="429"/>
      <c r="N15" s="430"/>
      <c r="O15" s="238"/>
      <c r="P15" s="23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239" customFormat="1" ht="15.9" customHeight="1" thickBot="1" x14ac:dyDescent="0.3">
      <c r="A16" s="241" t="s">
        <v>100</v>
      </c>
      <c r="B16" s="264" t="s">
        <v>160</v>
      </c>
      <c r="C16" s="28" t="s">
        <v>136</v>
      </c>
      <c r="D16" s="2" t="s">
        <v>14</v>
      </c>
      <c r="E16" s="91"/>
      <c r="F16" s="79" t="s">
        <v>13</v>
      </c>
      <c r="G16" s="4">
        <v>9</v>
      </c>
      <c r="H16" s="5">
        <f>(G16*K16)</f>
        <v>522</v>
      </c>
      <c r="I16" s="60"/>
      <c r="J16" s="6"/>
      <c r="K16" s="7">
        <v>58</v>
      </c>
      <c r="L16" s="434">
        <f>ROUND(M16/(H16+H17+H18),0)</f>
        <v>0</v>
      </c>
      <c r="M16" s="415">
        <f>I16</f>
        <v>0</v>
      </c>
      <c r="N16" s="437">
        <f>ROUND(L16/Days*(G16+G17+G18),0)</f>
        <v>0</v>
      </c>
      <c r="O16" s="238"/>
      <c r="P16" s="23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239" customFormat="1" ht="15.9" customHeight="1" x14ac:dyDescent="0.25">
      <c r="A17" s="236" t="s">
        <v>101</v>
      </c>
      <c r="B17" s="264" t="s">
        <v>161</v>
      </c>
      <c r="C17" s="28" t="s">
        <v>136</v>
      </c>
      <c r="D17" s="10" t="s">
        <v>45</v>
      </c>
      <c r="E17" s="237"/>
      <c r="F17" s="92" t="s">
        <v>13</v>
      </c>
      <c r="G17" s="12">
        <v>10</v>
      </c>
      <c r="H17" s="13">
        <f>(G17*K17)</f>
        <v>180</v>
      </c>
      <c r="I17" s="242"/>
      <c r="J17" s="61"/>
      <c r="K17" s="171">
        <v>18</v>
      </c>
      <c r="L17" s="411"/>
      <c r="M17" s="423"/>
      <c r="N17" s="412"/>
      <c r="O17" s="238"/>
      <c r="P17" s="23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239" customFormat="1" ht="15.9" customHeight="1" thickBot="1" x14ac:dyDescent="0.3">
      <c r="A18" s="236" t="s">
        <v>102</v>
      </c>
      <c r="B18" s="265" t="s">
        <v>162</v>
      </c>
      <c r="C18" s="182" t="s">
        <v>136</v>
      </c>
      <c r="D18" s="156" t="s">
        <v>46</v>
      </c>
      <c r="E18" s="243"/>
      <c r="F18" s="183" t="s">
        <v>13</v>
      </c>
      <c r="G18" s="95">
        <v>32</v>
      </c>
      <c r="H18" s="184">
        <f>(G18*K18)</f>
        <v>544</v>
      </c>
      <c r="I18" s="186"/>
      <c r="J18" s="185"/>
      <c r="K18" s="172">
        <v>17</v>
      </c>
      <c r="L18" s="422"/>
      <c r="M18" s="425"/>
      <c r="N18" s="412"/>
      <c r="O18" s="244"/>
      <c r="P18" s="23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248" customFormat="1" ht="15.9" customHeight="1" thickBot="1" x14ac:dyDescent="0.35">
      <c r="A19" s="772"/>
      <c r="B19" s="773"/>
      <c r="C19" s="774"/>
      <c r="D19" s="774"/>
      <c r="E19" s="774"/>
      <c r="F19" s="774"/>
      <c r="G19" s="774"/>
      <c r="H19" s="774"/>
      <c r="I19" s="774" t="s">
        <v>30</v>
      </c>
      <c r="J19" s="775"/>
      <c r="K19" s="776"/>
      <c r="L19" s="777"/>
      <c r="M19" s="762">
        <f>M11</f>
        <v>0</v>
      </c>
      <c r="N19" s="763"/>
      <c r="O19" s="245">
        <f>ROUND(M19*Match,0)</f>
        <v>0</v>
      </c>
      <c r="P19" s="246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7"/>
      <c r="DJ19" s="247"/>
      <c r="DK19" s="247"/>
      <c r="DL19" s="247"/>
      <c r="DM19" s="247"/>
      <c r="DN19" s="247"/>
      <c r="DO19" s="247"/>
      <c r="DP19" s="247"/>
      <c r="DQ19" s="247"/>
      <c r="DR19" s="247"/>
      <c r="DS19" s="247"/>
      <c r="DT19" s="247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  <c r="EX19" s="247"/>
      <c r="EY19" s="247"/>
      <c r="EZ19" s="247"/>
      <c r="FA19" s="247"/>
      <c r="FB19" s="247"/>
      <c r="FC19" s="247"/>
      <c r="FD19" s="247"/>
      <c r="FE19" s="247"/>
      <c r="FF19" s="247"/>
      <c r="FG19" s="247"/>
      <c r="FH19" s="247"/>
      <c r="FI19" s="247"/>
      <c r="FJ19" s="247"/>
      <c r="FK19" s="247"/>
      <c r="FL19" s="247"/>
      <c r="FM19" s="247"/>
      <c r="FN19" s="247"/>
      <c r="FO19" s="247"/>
      <c r="FP19" s="247"/>
      <c r="FQ19" s="247"/>
      <c r="FR19" s="247"/>
      <c r="FS19" s="247"/>
      <c r="FT19" s="247"/>
      <c r="FU19" s="247"/>
      <c r="FV19" s="247"/>
      <c r="FW19" s="247"/>
      <c r="FX19" s="247"/>
      <c r="FY19" s="247"/>
      <c r="FZ19" s="247"/>
      <c r="GA19" s="247"/>
      <c r="GB19" s="247"/>
      <c r="GC19" s="247"/>
      <c r="GD19" s="247"/>
      <c r="GE19" s="247"/>
      <c r="GF19" s="247"/>
      <c r="GG19" s="247"/>
      <c r="GH19" s="247"/>
      <c r="GI19" s="247"/>
      <c r="GJ19" s="247"/>
      <c r="GK19" s="247"/>
      <c r="GL19" s="247"/>
      <c r="GM19" s="247"/>
      <c r="GN19" s="247"/>
      <c r="GO19" s="247"/>
      <c r="GP19" s="247"/>
      <c r="GQ19" s="247"/>
      <c r="GR19" s="247"/>
      <c r="GS19" s="247"/>
      <c r="GT19" s="247"/>
      <c r="GU19" s="247"/>
      <c r="GV19" s="247"/>
      <c r="GW19" s="247"/>
      <c r="GX19" s="247"/>
      <c r="GY19" s="247"/>
      <c r="GZ19" s="247"/>
      <c r="HA19" s="247"/>
      <c r="HB19" s="247"/>
      <c r="HC19" s="247"/>
      <c r="HD19" s="247"/>
      <c r="HE19" s="247"/>
      <c r="HF19" s="247"/>
      <c r="HG19" s="247"/>
      <c r="HH19" s="247"/>
      <c r="HI19" s="247"/>
      <c r="HJ19" s="247"/>
      <c r="HK19" s="247"/>
      <c r="HL19" s="247"/>
      <c r="HM19" s="247"/>
      <c r="HN19" s="247"/>
      <c r="HO19" s="247"/>
      <c r="HP19" s="247"/>
      <c r="HQ19" s="247"/>
      <c r="HR19" s="247"/>
      <c r="HS19" s="247"/>
      <c r="HT19" s="247"/>
      <c r="HU19" s="247"/>
      <c r="HV19" s="247"/>
      <c r="HW19" s="247"/>
      <c r="HX19" s="247"/>
      <c r="HY19" s="247"/>
      <c r="HZ19" s="247"/>
      <c r="IA19" s="247"/>
      <c r="IB19" s="247"/>
      <c r="IC19" s="247"/>
      <c r="ID19" s="247"/>
      <c r="IE19" s="247"/>
      <c r="IF19" s="247"/>
      <c r="IG19" s="247"/>
      <c r="IH19" s="247"/>
      <c r="II19" s="247"/>
      <c r="IJ19" s="247"/>
      <c r="IK19" s="247"/>
      <c r="IL19" s="247"/>
      <c r="IM19" s="247"/>
      <c r="IN19" s="247"/>
      <c r="IO19" s="247"/>
      <c r="IP19" s="247"/>
      <c r="IQ19" s="247"/>
      <c r="IR19" s="247"/>
      <c r="IS19" s="247"/>
      <c r="IT19" s="247"/>
    </row>
    <row r="20" spans="1:254" s="235" customFormat="1" ht="15.9" customHeight="1" thickBot="1" x14ac:dyDescent="0.35">
      <c r="A20" s="682"/>
      <c r="B20" s="700"/>
      <c r="C20" s="719"/>
      <c r="D20" s="683" t="s">
        <v>91</v>
      </c>
      <c r="E20" s="585"/>
      <c r="F20" s="451"/>
      <c r="G20" s="451"/>
      <c r="H20" s="446"/>
      <c r="I20" s="162"/>
      <c r="J20" s="162"/>
      <c r="K20" s="163"/>
      <c r="L20" s="431">
        <f>SUM(L23:L25)</f>
        <v>0</v>
      </c>
      <c r="M20" s="417">
        <f>SUM(M21:M25)</f>
        <v>0</v>
      </c>
      <c r="N20" s="167"/>
      <c r="O20" s="5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235" customFormat="1" ht="15.9" customHeight="1" x14ac:dyDescent="0.25">
      <c r="A21" s="716" t="s">
        <v>112</v>
      </c>
      <c r="B21" s="262" t="s">
        <v>163</v>
      </c>
      <c r="C21" s="179" t="s">
        <v>137</v>
      </c>
      <c r="D21" s="377" t="s">
        <v>196</v>
      </c>
      <c r="E21" s="237"/>
      <c r="F21" s="11" t="s">
        <v>9</v>
      </c>
      <c r="G21" s="12">
        <v>5</v>
      </c>
      <c r="H21" s="13">
        <f>G21*K21</f>
        <v>1120</v>
      </c>
      <c r="I21" s="16"/>
      <c r="J21" s="6"/>
      <c r="K21" s="379">
        <v>224</v>
      </c>
      <c r="L21" s="414">
        <f>ROUND(M21/H21,0)</f>
        <v>0</v>
      </c>
      <c r="M21" s="415">
        <f>I21</f>
        <v>0</v>
      </c>
      <c r="N21" s="437">
        <f>ROUND(L21/Days*G21,0)</f>
        <v>0</v>
      </c>
      <c r="O21" s="5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35" customFormat="1" ht="15.9" customHeight="1" x14ac:dyDescent="0.25">
      <c r="A22" s="264" t="s">
        <v>183</v>
      </c>
      <c r="B22" s="264" t="s">
        <v>184</v>
      </c>
      <c r="C22" s="157" t="s">
        <v>137</v>
      </c>
      <c r="D22" s="2" t="s">
        <v>15</v>
      </c>
      <c r="E22" s="91"/>
      <c r="F22" s="92" t="s">
        <v>9</v>
      </c>
      <c r="G22" s="12">
        <v>6</v>
      </c>
      <c r="H22" s="13">
        <f>G22*K22</f>
        <v>510</v>
      </c>
      <c r="I22" s="16"/>
      <c r="J22" s="6"/>
      <c r="K22" s="171">
        <v>85</v>
      </c>
      <c r="L22" s="414">
        <f>ROUND(M22/H22,0)</f>
        <v>0</v>
      </c>
      <c r="M22" s="415">
        <f>I22</f>
        <v>0</v>
      </c>
      <c r="N22" s="437">
        <f>ROUND(L22/Days*G22,0)</f>
        <v>0</v>
      </c>
      <c r="O22" s="5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239" customFormat="1" ht="15.9" customHeight="1" thickBot="1" x14ac:dyDescent="0.3">
      <c r="A23" s="262" t="s">
        <v>185</v>
      </c>
      <c r="B23" s="262" t="s">
        <v>164</v>
      </c>
      <c r="C23" s="179" t="s">
        <v>137</v>
      </c>
      <c r="D23" s="89" t="s">
        <v>18</v>
      </c>
      <c r="E23" s="85"/>
      <c r="F23" s="92" t="s">
        <v>9</v>
      </c>
      <c r="G23" s="12">
        <v>30</v>
      </c>
      <c r="H23" s="13">
        <f>G23*K23</f>
        <v>3240</v>
      </c>
      <c r="I23" s="16"/>
      <c r="J23" s="6"/>
      <c r="K23" s="171">
        <v>108</v>
      </c>
      <c r="L23" s="414">
        <f>ROUND(M23/H23,0)</f>
        <v>0</v>
      </c>
      <c r="M23" s="415">
        <f>I23</f>
        <v>0</v>
      </c>
      <c r="N23" s="437">
        <f>ROUND(L23/Days*G23,0)</f>
        <v>0</v>
      </c>
      <c r="O23" s="238"/>
      <c r="P23" s="23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239" customFormat="1" ht="15.9" customHeight="1" thickBot="1" x14ac:dyDescent="0.3">
      <c r="A24" s="236" t="s">
        <v>110</v>
      </c>
      <c r="B24" s="264" t="s">
        <v>165</v>
      </c>
      <c r="C24" s="157" t="s">
        <v>137</v>
      </c>
      <c r="D24" s="376" t="s">
        <v>19</v>
      </c>
      <c r="E24" s="91"/>
      <c r="F24" s="3" t="s">
        <v>9</v>
      </c>
      <c r="G24" s="4">
        <v>30</v>
      </c>
      <c r="H24" s="5">
        <f>G24*K24</f>
        <v>2370</v>
      </c>
      <c r="I24" s="240"/>
      <c r="J24" s="61"/>
      <c r="K24" s="7">
        <v>79</v>
      </c>
      <c r="L24" s="414">
        <v>0</v>
      </c>
      <c r="M24" s="429"/>
      <c r="N24" s="430"/>
      <c r="O24" s="238"/>
      <c r="P24" s="23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239" customFormat="1" ht="15.9" customHeight="1" thickBot="1" x14ac:dyDescent="0.3">
      <c r="A25" s="236" t="s">
        <v>117</v>
      </c>
      <c r="B25" s="264" t="s">
        <v>166</v>
      </c>
      <c r="C25" s="157" t="s">
        <v>137</v>
      </c>
      <c r="D25" s="305" t="s">
        <v>197</v>
      </c>
      <c r="E25" s="249"/>
      <c r="F25" s="129" t="s">
        <v>13</v>
      </c>
      <c r="G25" s="128">
        <v>9</v>
      </c>
      <c r="H25" s="130">
        <f>(G25*K25)</f>
        <v>693</v>
      </c>
      <c r="I25" s="60"/>
      <c r="J25" s="6"/>
      <c r="K25" s="379">
        <v>77</v>
      </c>
      <c r="L25" s="434">
        <f>ROUND(M25/(H25+H26+H27),0)</f>
        <v>0</v>
      </c>
      <c r="M25" s="415">
        <f>I25</f>
        <v>0</v>
      </c>
      <c r="N25" s="428">
        <f>ROUND(L25/Days*(G25+G26+G27),0)</f>
        <v>0</v>
      </c>
      <c r="O25" s="238"/>
      <c r="P25" s="23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239" customFormat="1" ht="15.9" customHeight="1" x14ac:dyDescent="0.25">
      <c r="A26" s="236" t="s">
        <v>118</v>
      </c>
      <c r="B26" s="265" t="s">
        <v>167</v>
      </c>
      <c r="C26" s="157" t="s">
        <v>137</v>
      </c>
      <c r="D26" s="305" t="s">
        <v>198</v>
      </c>
      <c r="E26" s="249"/>
      <c r="F26" s="129" t="s">
        <v>13</v>
      </c>
      <c r="G26" s="128">
        <v>10</v>
      </c>
      <c r="H26" s="131">
        <f>(G26*K26)</f>
        <v>280</v>
      </c>
      <c r="I26" s="31"/>
      <c r="J26" s="61"/>
      <c r="K26" s="379">
        <v>28</v>
      </c>
      <c r="L26" s="411"/>
      <c r="M26" s="423"/>
      <c r="N26" s="412"/>
      <c r="O26" s="238"/>
      <c r="P26" s="23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239" customFormat="1" ht="15.9" customHeight="1" thickBot="1" x14ac:dyDescent="0.3">
      <c r="A27" s="518" t="s">
        <v>119</v>
      </c>
      <c r="B27" s="265" t="s">
        <v>168</v>
      </c>
      <c r="C27" s="715" t="s">
        <v>137</v>
      </c>
      <c r="D27" s="132" t="s">
        <v>48</v>
      </c>
      <c r="E27" s="250"/>
      <c r="F27" s="124" t="s">
        <v>13</v>
      </c>
      <c r="G27" s="125">
        <v>32</v>
      </c>
      <c r="H27" s="133">
        <f>(G27*K27)</f>
        <v>544</v>
      </c>
      <c r="I27" s="31"/>
      <c r="J27" s="185"/>
      <c r="K27" s="7">
        <v>17</v>
      </c>
      <c r="L27" s="422"/>
      <c r="M27" s="425"/>
      <c r="N27" s="412"/>
      <c r="O27" s="238"/>
      <c r="P27" s="23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239" customFormat="1" ht="15.9" customHeight="1" thickBot="1" x14ac:dyDescent="0.35">
      <c r="A28" s="453"/>
      <c r="B28" s="700"/>
      <c r="C28" s="719"/>
      <c r="D28" s="711" t="s">
        <v>90</v>
      </c>
      <c r="E28" s="720"/>
      <c r="F28" s="451"/>
      <c r="G28" s="451"/>
      <c r="H28" s="446"/>
      <c r="I28" s="162"/>
      <c r="J28" s="162"/>
      <c r="K28" s="163"/>
      <c r="L28" s="431">
        <f>SUM(L29:L32)</f>
        <v>0</v>
      </c>
      <c r="M28" s="432">
        <f>SUM(I29:I32)</f>
        <v>0</v>
      </c>
      <c r="N28" s="433"/>
      <c r="O28" s="238"/>
      <c r="P28" s="23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239" customFormat="1" ht="15.9" customHeight="1" thickBot="1" x14ac:dyDescent="0.3">
      <c r="A29" s="241" t="s">
        <v>113</v>
      </c>
      <c r="B29" s="262" t="s">
        <v>158</v>
      </c>
      <c r="C29" s="179" t="s">
        <v>137</v>
      </c>
      <c r="D29" s="375" t="s">
        <v>199</v>
      </c>
      <c r="E29" s="374"/>
      <c r="F29" s="139" t="s">
        <v>9</v>
      </c>
      <c r="G29" s="138">
        <v>45</v>
      </c>
      <c r="H29" s="160">
        <f>G29*K29</f>
        <v>9360</v>
      </c>
      <c r="I29" s="16"/>
      <c r="J29" s="6"/>
      <c r="K29" s="378">
        <v>208</v>
      </c>
      <c r="L29" s="416">
        <f>ROUND(M29/H29,0)</f>
        <v>0</v>
      </c>
      <c r="M29" s="415">
        <f>I29</f>
        <v>0</v>
      </c>
      <c r="N29" s="428">
        <f>ROUND(L29/Days*G29,0)</f>
        <v>0</v>
      </c>
      <c r="O29" s="238"/>
      <c r="P29" s="23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239" customFormat="1" ht="15.9" customHeight="1" x14ac:dyDescent="0.25">
      <c r="A30" s="236" t="s">
        <v>114</v>
      </c>
      <c r="B30" s="264" t="s">
        <v>186</v>
      </c>
      <c r="C30" s="157" t="s">
        <v>137</v>
      </c>
      <c r="D30" s="134"/>
      <c r="E30" s="135" t="s">
        <v>42</v>
      </c>
      <c r="F30" s="129" t="s">
        <v>9</v>
      </c>
      <c r="G30" s="128">
        <v>35</v>
      </c>
      <c r="H30" s="131">
        <f>G30*K30</f>
        <v>1820</v>
      </c>
      <c r="I30" s="31"/>
      <c r="J30" s="61"/>
      <c r="K30" s="7">
        <v>52</v>
      </c>
      <c r="L30" s="411"/>
      <c r="M30" s="423"/>
      <c r="N30" s="412"/>
      <c r="O30" s="238"/>
      <c r="P30" s="23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239" customFormat="1" ht="15.9" customHeight="1" thickBot="1" x14ac:dyDescent="0.3">
      <c r="A31" s="236" t="s">
        <v>115</v>
      </c>
      <c r="B31" s="264" t="s">
        <v>187</v>
      </c>
      <c r="C31" s="157" t="s">
        <v>137</v>
      </c>
      <c r="D31" s="80"/>
      <c r="E31" s="81" t="s">
        <v>43</v>
      </c>
      <c r="F31" s="3" t="s">
        <v>9</v>
      </c>
      <c r="G31" s="4">
        <v>35</v>
      </c>
      <c r="H31" s="88">
        <f>G31*K31</f>
        <v>3605</v>
      </c>
      <c r="I31" s="31"/>
      <c r="J31" s="61"/>
      <c r="K31" s="7">
        <v>103</v>
      </c>
      <c r="L31" s="411"/>
      <c r="M31" s="424"/>
      <c r="N31" s="412"/>
      <c r="O31" s="238"/>
      <c r="P31" s="23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239" customFormat="1" ht="15.9" customHeight="1" thickBot="1" x14ac:dyDescent="0.3">
      <c r="A32" s="236" t="s">
        <v>116</v>
      </c>
      <c r="B32" s="263" t="s">
        <v>169</v>
      </c>
      <c r="C32" s="157" t="s">
        <v>137</v>
      </c>
      <c r="D32" s="2" t="s">
        <v>21</v>
      </c>
      <c r="E32" s="91"/>
      <c r="F32" s="3" t="s">
        <v>9</v>
      </c>
      <c r="G32" s="4">
        <v>35</v>
      </c>
      <c r="H32" s="87">
        <f>G32*K32</f>
        <v>6195</v>
      </c>
      <c r="I32" s="186"/>
      <c r="J32" s="185"/>
      <c r="K32" s="7">
        <v>177</v>
      </c>
      <c r="L32" s="416">
        <v>0</v>
      </c>
      <c r="M32" s="425"/>
      <c r="N32" s="413"/>
      <c r="O32" s="238"/>
      <c r="P32" s="23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248" customFormat="1" ht="15.9" customHeight="1" thickBot="1" x14ac:dyDescent="0.35">
      <c r="A33" s="780"/>
      <c r="B33" s="780"/>
      <c r="C33" s="780"/>
      <c r="D33" s="780"/>
      <c r="E33" s="780"/>
      <c r="F33" s="780"/>
      <c r="G33" s="780"/>
      <c r="H33" s="780"/>
      <c r="I33" s="780" t="s">
        <v>31</v>
      </c>
      <c r="J33" s="775"/>
      <c r="K33" s="776"/>
      <c r="L33" s="777"/>
      <c r="M33" s="765">
        <f>M20+M28</f>
        <v>0</v>
      </c>
      <c r="N33" s="766"/>
      <c r="O33" s="245">
        <f>ROUND(M33*Match,0)</f>
        <v>0</v>
      </c>
      <c r="P33" s="246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247"/>
      <c r="FF33" s="247"/>
      <c r="FG33" s="247"/>
      <c r="FH33" s="247"/>
      <c r="FI33" s="247"/>
      <c r="FJ33" s="247"/>
      <c r="FK33" s="247"/>
      <c r="FL33" s="247"/>
      <c r="FM33" s="247"/>
      <c r="FN33" s="247"/>
      <c r="FO33" s="247"/>
      <c r="FP33" s="247"/>
      <c r="FQ33" s="247"/>
      <c r="FR33" s="247"/>
      <c r="FS33" s="247"/>
      <c r="FT33" s="247"/>
      <c r="FU33" s="247"/>
      <c r="FV33" s="247"/>
      <c r="FW33" s="247"/>
      <c r="FX33" s="247"/>
      <c r="FY33" s="247"/>
      <c r="FZ33" s="247"/>
      <c r="GA33" s="247"/>
      <c r="GB33" s="247"/>
      <c r="GC33" s="247"/>
      <c r="GD33" s="247"/>
      <c r="GE33" s="247"/>
      <c r="GF33" s="247"/>
      <c r="GG33" s="247"/>
      <c r="GH33" s="247"/>
      <c r="GI33" s="247"/>
      <c r="GJ33" s="247"/>
      <c r="GK33" s="247"/>
      <c r="GL33" s="247"/>
      <c r="GM33" s="247"/>
      <c r="GN33" s="247"/>
      <c r="GO33" s="247"/>
      <c r="GP33" s="247"/>
      <c r="GQ33" s="247"/>
      <c r="GR33" s="247"/>
      <c r="GS33" s="247"/>
      <c r="GT33" s="247"/>
      <c r="GU33" s="247"/>
      <c r="GV33" s="247"/>
      <c r="GW33" s="247"/>
      <c r="GX33" s="247"/>
      <c r="GY33" s="247"/>
      <c r="GZ33" s="247"/>
      <c r="HA33" s="247"/>
      <c r="HB33" s="247"/>
      <c r="HC33" s="247"/>
      <c r="HD33" s="247"/>
      <c r="HE33" s="247"/>
      <c r="HF33" s="247"/>
      <c r="HG33" s="247"/>
      <c r="HH33" s="247"/>
      <c r="HI33" s="247"/>
      <c r="HJ33" s="247"/>
      <c r="HK33" s="247"/>
      <c r="HL33" s="247"/>
      <c r="HM33" s="247"/>
      <c r="HN33" s="247"/>
      <c r="HO33" s="247"/>
      <c r="HP33" s="247"/>
      <c r="HQ33" s="247"/>
      <c r="HR33" s="247"/>
      <c r="HS33" s="247"/>
      <c r="HT33" s="247"/>
      <c r="HU33" s="247"/>
      <c r="HV33" s="247"/>
      <c r="HW33" s="247"/>
      <c r="HX33" s="247"/>
      <c r="HY33" s="247"/>
      <c r="HZ33" s="247"/>
      <c r="IA33" s="247"/>
      <c r="IB33" s="247"/>
      <c r="IC33" s="247"/>
      <c r="ID33" s="247"/>
      <c r="IE33" s="247"/>
      <c r="IF33" s="247"/>
      <c r="IG33" s="247"/>
      <c r="IH33" s="247"/>
      <c r="II33" s="247"/>
      <c r="IJ33" s="247"/>
      <c r="IK33" s="247"/>
      <c r="IL33" s="247"/>
      <c r="IM33" s="247"/>
      <c r="IN33" s="247"/>
      <c r="IO33" s="247"/>
      <c r="IP33" s="247"/>
      <c r="IQ33" s="247"/>
      <c r="IR33" s="247"/>
      <c r="IS33" s="247"/>
      <c r="IT33" s="247"/>
    </row>
    <row r="34" spans="1:254" s="660" customFormat="1" ht="15.75" customHeight="1" thickBot="1" x14ac:dyDescent="0.35">
      <c r="A34" s="845"/>
      <c r="B34" s="846"/>
      <c r="C34" s="846"/>
      <c r="D34" s="846"/>
      <c r="E34" s="847" t="s">
        <v>332</v>
      </c>
      <c r="F34" s="847"/>
      <c r="G34" s="847"/>
      <c r="H34" s="848"/>
      <c r="I34" s="659"/>
      <c r="J34" s="659"/>
      <c r="K34" s="659"/>
      <c r="L34" s="659"/>
      <c r="M34" s="659"/>
      <c r="N34" s="659"/>
      <c r="O34" s="659"/>
      <c r="AY34" s="511"/>
    </row>
    <row r="35" spans="1:254" s="239" customFormat="1" ht="13.5" customHeight="1" thickBot="1" x14ac:dyDescent="0.3">
      <c r="A35" s="518" t="s">
        <v>269</v>
      </c>
      <c r="B35" s="323" t="s">
        <v>269</v>
      </c>
      <c r="C35" s="85" t="s">
        <v>23</v>
      </c>
      <c r="D35" s="850"/>
      <c r="E35" s="855" t="s">
        <v>383</v>
      </c>
      <c r="F35" s="4" t="s">
        <v>13</v>
      </c>
      <c r="G35" s="4">
        <v>17</v>
      </c>
      <c r="H35" s="127">
        <f>G35*K35</f>
        <v>1088</v>
      </c>
      <c r="I35" s="307"/>
      <c r="J35" s="15"/>
      <c r="K35" s="822">
        <v>64</v>
      </c>
      <c r="L35" s="336">
        <f>ROUND(M35/H35,0)</f>
        <v>0</v>
      </c>
      <c r="M35" s="166">
        <f>I35</f>
        <v>0</v>
      </c>
      <c r="N35" s="884">
        <f>(L35/Days)*G35</f>
        <v>0</v>
      </c>
      <c r="O35" s="502"/>
    </row>
    <row r="36" spans="1:254" s="239" customFormat="1" ht="13.5" customHeight="1" thickBot="1" x14ac:dyDescent="0.3">
      <c r="A36" s="820" t="s">
        <v>120</v>
      </c>
      <c r="B36" s="821" t="s">
        <v>120</v>
      </c>
      <c r="C36" s="546" t="s">
        <v>23</v>
      </c>
      <c r="E36" s="405" t="s">
        <v>382</v>
      </c>
      <c r="F36" s="294" t="s">
        <v>384</v>
      </c>
      <c r="G36" s="19">
        <v>17</v>
      </c>
      <c r="H36" s="32"/>
      <c r="I36" s="724"/>
      <c r="J36" s="15"/>
      <c r="K36" s="643">
        <v>64</v>
      </c>
      <c r="L36" s="33"/>
      <c r="M36" s="34"/>
      <c r="N36" s="99"/>
      <c r="O36" s="34"/>
    </row>
    <row r="37" spans="1:254" s="248" customFormat="1" ht="15.9" customHeight="1" thickBot="1" x14ac:dyDescent="0.35">
      <c r="A37" s="781"/>
      <c r="B37" s="773"/>
      <c r="C37" s="774"/>
      <c r="D37" s="774"/>
      <c r="E37" s="774"/>
      <c r="F37" s="774"/>
      <c r="G37" s="774"/>
      <c r="H37" s="774"/>
      <c r="I37" s="780" t="s">
        <v>32</v>
      </c>
      <c r="J37" s="775"/>
      <c r="K37" s="776"/>
      <c r="L37" s="782"/>
      <c r="M37" s="765">
        <f>M34</f>
        <v>0</v>
      </c>
      <c r="N37" s="766"/>
      <c r="O37" s="245">
        <f>ROUND(M37*Match,0)</f>
        <v>0</v>
      </c>
      <c r="P37" s="246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7"/>
      <c r="DQ37" s="247"/>
      <c r="DR37" s="247"/>
      <c r="DS37" s="247"/>
      <c r="DT37" s="247"/>
      <c r="DU37" s="247"/>
      <c r="DV37" s="247"/>
      <c r="DW37" s="247"/>
      <c r="DX37" s="247"/>
      <c r="DY37" s="247"/>
      <c r="DZ37" s="247"/>
      <c r="EA37" s="247"/>
      <c r="EB37" s="247"/>
      <c r="EC37" s="247"/>
      <c r="ED37" s="247"/>
      <c r="EE37" s="247"/>
      <c r="EF37" s="247"/>
      <c r="EG37" s="247"/>
      <c r="EH37" s="247"/>
      <c r="EI37" s="247"/>
      <c r="EJ37" s="247"/>
      <c r="EK37" s="247"/>
      <c r="EL37" s="247"/>
      <c r="EM37" s="247"/>
      <c r="EN37" s="247"/>
      <c r="EO37" s="247"/>
      <c r="EP37" s="247"/>
      <c r="EQ37" s="247"/>
      <c r="ER37" s="247"/>
      <c r="ES37" s="247"/>
      <c r="ET37" s="247"/>
      <c r="EU37" s="247"/>
      <c r="EV37" s="247"/>
      <c r="EW37" s="247"/>
      <c r="EX37" s="247"/>
      <c r="EY37" s="247"/>
      <c r="EZ37" s="247"/>
      <c r="FA37" s="247"/>
      <c r="FB37" s="247"/>
      <c r="FC37" s="247"/>
      <c r="FD37" s="247"/>
      <c r="FE37" s="247"/>
      <c r="FF37" s="247"/>
      <c r="FG37" s="247"/>
      <c r="FH37" s="247"/>
      <c r="FI37" s="247"/>
      <c r="FJ37" s="247"/>
      <c r="FK37" s="247"/>
      <c r="FL37" s="247"/>
      <c r="FM37" s="247"/>
      <c r="FN37" s="247"/>
      <c r="FO37" s="247"/>
      <c r="FP37" s="247"/>
      <c r="FQ37" s="247"/>
      <c r="FR37" s="247"/>
      <c r="FS37" s="247"/>
      <c r="FT37" s="247"/>
      <c r="FU37" s="247"/>
      <c r="FV37" s="247"/>
      <c r="FW37" s="247"/>
      <c r="FX37" s="247"/>
      <c r="FY37" s="247"/>
      <c r="FZ37" s="247"/>
      <c r="GA37" s="247"/>
      <c r="GB37" s="247"/>
      <c r="GC37" s="247"/>
      <c r="GD37" s="247"/>
      <c r="GE37" s="247"/>
      <c r="GF37" s="247"/>
      <c r="GG37" s="247"/>
      <c r="GH37" s="247"/>
      <c r="GI37" s="247"/>
      <c r="GJ37" s="247"/>
      <c r="GK37" s="247"/>
      <c r="GL37" s="247"/>
      <c r="GM37" s="247"/>
      <c r="GN37" s="247"/>
      <c r="GO37" s="247"/>
      <c r="GP37" s="247"/>
      <c r="GQ37" s="247"/>
      <c r="GR37" s="247"/>
      <c r="GS37" s="247"/>
      <c r="GT37" s="247"/>
      <c r="GU37" s="247"/>
      <c r="GV37" s="247"/>
      <c r="GW37" s="247"/>
      <c r="GX37" s="247"/>
      <c r="GY37" s="247"/>
      <c r="GZ37" s="247"/>
      <c r="HA37" s="247"/>
      <c r="HB37" s="247"/>
      <c r="HC37" s="247"/>
      <c r="HD37" s="247"/>
      <c r="HE37" s="247"/>
      <c r="HF37" s="247"/>
      <c r="HG37" s="247"/>
      <c r="HH37" s="247"/>
      <c r="HI37" s="247"/>
      <c r="HJ37" s="247"/>
      <c r="HK37" s="247"/>
      <c r="HL37" s="247"/>
      <c r="HM37" s="247"/>
      <c r="HN37" s="247"/>
      <c r="HO37" s="247"/>
      <c r="HP37" s="247"/>
      <c r="HQ37" s="247"/>
      <c r="HR37" s="247"/>
      <c r="HS37" s="247"/>
      <c r="HT37" s="247"/>
      <c r="HU37" s="247"/>
      <c r="HV37" s="247"/>
      <c r="HW37" s="247"/>
      <c r="HX37" s="247"/>
      <c r="HY37" s="247"/>
      <c r="HZ37" s="247"/>
      <c r="IA37" s="247"/>
      <c r="IB37" s="247"/>
      <c r="IC37" s="247"/>
      <c r="ID37" s="247"/>
      <c r="IE37" s="247"/>
      <c r="IF37" s="247"/>
      <c r="IG37" s="247"/>
      <c r="IH37" s="247"/>
      <c r="II37" s="247"/>
      <c r="IJ37" s="247"/>
      <c r="IK37" s="247"/>
      <c r="IL37" s="247"/>
      <c r="IM37" s="247"/>
      <c r="IN37" s="247"/>
      <c r="IO37" s="247"/>
      <c r="IP37" s="247"/>
      <c r="IQ37" s="247"/>
      <c r="IR37" s="247"/>
      <c r="IS37" s="247"/>
      <c r="IT37" s="247"/>
    </row>
    <row r="38" spans="1:254" s="235" customFormat="1" ht="15.9" customHeight="1" thickBot="1" x14ac:dyDescent="0.35">
      <c r="A38" s="682"/>
      <c r="B38" s="593"/>
      <c r="C38" s="718"/>
      <c r="D38" s="594" t="s">
        <v>89</v>
      </c>
      <c r="E38" s="585"/>
      <c r="F38" s="451"/>
      <c r="G38" s="451"/>
      <c r="H38" s="446"/>
      <c r="I38" s="532"/>
      <c r="J38" s="532"/>
      <c r="K38" s="663"/>
      <c r="L38" s="434">
        <f>SUM(L39:L47)</f>
        <v>0</v>
      </c>
      <c r="M38" s="417">
        <f>SUM(M39:M47)</f>
        <v>0</v>
      </c>
      <c r="N38" s="418"/>
      <c r="O38" s="5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239" customFormat="1" ht="15.9" customHeight="1" thickBot="1" x14ac:dyDescent="0.3">
      <c r="A39" s="716" t="s">
        <v>188</v>
      </c>
      <c r="B39" s="716" t="s">
        <v>170</v>
      </c>
      <c r="C39" s="180" t="s">
        <v>138</v>
      </c>
      <c r="E39" s="37" t="s">
        <v>24</v>
      </c>
      <c r="F39" s="139" t="s">
        <v>9</v>
      </c>
      <c r="G39" s="38">
        <v>60</v>
      </c>
      <c r="H39" s="39">
        <f>G39*K39</f>
        <v>9660</v>
      </c>
      <c r="I39" s="165"/>
      <c r="J39" s="6"/>
      <c r="K39" s="53">
        <v>161</v>
      </c>
      <c r="L39" s="416">
        <f>ROUND(M39/H39,0)</f>
        <v>0</v>
      </c>
      <c r="M39" s="435">
        <f>I39</f>
        <v>0</v>
      </c>
      <c r="N39" s="428">
        <f>ROUND(L39/Days*G39,0)</f>
        <v>0</v>
      </c>
      <c r="O39" s="238"/>
      <c r="P39" s="23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239" customFormat="1" ht="15.9" customHeight="1" thickBot="1" x14ac:dyDescent="0.3">
      <c r="A40" s="236" t="s">
        <v>122</v>
      </c>
      <c r="B40" s="264" t="s">
        <v>171</v>
      </c>
      <c r="C40" s="85" t="s">
        <v>138</v>
      </c>
      <c r="D40" s="2"/>
      <c r="E40" s="135" t="s">
        <v>389</v>
      </c>
      <c r="F40" s="129" t="s">
        <v>9</v>
      </c>
      <c r="G40" s="45">
        <v>60</v>
      </c>
      <c r="H40" s="51">
        <f>G40*K40</f>
        <v>1500</v>
      </c>
      <c r="I40" s="240"/>
      <c r="J40" s="61"/>
      <c r="K40" s="164">
        <v>25</v>
      </c>
      <c r="L40" s="411"/>
      <c r="M40" s="423"/>
      <c r="N40" s="419"/>
      <c r="O40" s="238"/>
      <c r="P40" s="23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239" customFormat="1" ht="15.9" customHeight="1" thickBot="1" x14ac:dyDescent="0.3">
      <c r="A41" s="518" t="s">
        <v>123</v>
      </c>
      <c r="B41" s="267" t="s">
        <v>172</v>
      </c>
      <c r="C41" s="714" t="s">
        <v>138</v>
      </c>
      <c r="E41" s="44" t="s">
        <v>26</v>
      </c>
      <c r="F41" s="582" t="s">
        <v>9</v>
      </c>
      <c r="G41" s="45">
        <v>30</v>
      </c>
      <c r="H41" s="66">
        <v>3060</v>
      </c>
      <c r="I41" s="251"/>
      <c r="J41" s="61"/>
      <c r="K41" s="7">
        <v>102</v>
      </c>
      <c r="L41" s="416">
        <v>0</v>
      </c>
      <c r="M41" s="424"/>
      <c r="N41" s="412"/>
      <c r="O41" s="238"/>
      <c r="P41" s="23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15.9" customHeight="1" thickBot="1" x14ac:dyDescent="0.3">
      <c r="A42" s="453"/>
      <c r="B42" s="700"/>
      <c r="C42" s="584" t="s">
        <v>138</v>
      </c>
      <c r="D42" s="711" t="s">
        <v>41</v>
      </c>
      <c r="E42" s="584"/>
      <c r="F42" s="454"/>
      <c r="G42" s="455"/>
      <c r="H42" s="130">
        <v>2068</v>
      </c>
      <c r="I42" s="16"/>
      <c r="J42" s="252"/>
      <c r="K42" s="253"/>
      <c r="L42" s="426"/>
      <c r="M42" s="427"/>
      <c r="N42" s="420"/>
      <c r="O42" s="238"/>
      <c r="P42" s="235"/>
    </row>
    <row r="43" spans="1:254" s="239" customFormat="1" ht="15.9" customHeight="1" thickBot="1" x14ac:dyDescent="0.3">
      <c r="A43" s="241" t="s">
        <v>124</v>
      </c>
      <c r="B43" s="268" t="s">
        <v>173</v>
      </c>
      <c r="C43" s="180" t="s">
        <v>138</v>
      </c>
      <c r="D43" s="107"/>
      <c r="E43" s="583" t="s">
        <v>27</v>
      </c>
      <c r="F43" s="11" t="s">
        <v>13</v>
      </c>
      <c r="G43" s="50">
        <v>2</v>
      </c>
      <c r="H43" s="21">
        <f t="shared" ref="H43:H52" si="0">G43*K43</f>
        <v>116</v>
      </c>
      <c r="I43" s="113"/>
      <c r="J43" s="195">
        <v>0.16739999999999999</v>
      </c>
      <c r="K43" s="7">
        <v>58</v>
      </c>
      <c r="L43" s="414" t="str">
        <f>IF(YouthOutpatient&gt;0,ROUND(YouthOutpatient/(H43+H48+H49+H44+H45+H46+H47),0)," ")</f>
        <v xml:space="preserve"> </v>
      </c>
      <c r="M43" s="415">
        <f>ROUND(IF(YouthOutpatient&gt;0,((YouthOutpatient-Psychiatrist)*J43), "0"),0)</f>
        <v>0</v>
      </c>
      <c r="N43" s="428" t="str">
        <f>IF(YouthOutpatient&gt;0,ROUND(L43/Days*(G43+G44+G45+G46+G47+G48+G49),0),"0")</f>
        <v>0</v>
      </c>
      <c r="O43" s="238"/>
      <c r="P43" s="23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239" customFormat="1" ht="15.9" customHeight="1" x14ac:dyDescent="0.25">
      <c r="A44" s="263" t="s">
        <v>190</v>
      </c>
      <c r="B44" s="266" t="s">
        <v>174</v>
      </c>
      <c r="C44" s="158" t="s">
        <v>138</v>
      </c>
      <c r="D44" s="84"/>
      <c r="E44" s="159" t="s">
        <v>0</v>
      </c>
      <c r="F44" s="3" t="s">
        <v>13</v>
      </c>
      <c r="G44" s="43">
        <v>2</v>
      </c>
      <c r="H44" s="48">
        <f t="shared" si="0"/>
        <v>120</v>
      </c>
      <c r="I44" s="113"/>
      <c r="J44" s="195">
        <v>7.3200000000000001E-2</v>
      </c>
      <c r="K44" s="7">
        <v>60</v>
      </c>
      <c r="L44" s="556"/>
      <c r="M44" s="415">
        <f>ROUND(IF(YouthOutpatient&gt;0,((YouthOutpatient-Psychiatrist)*J44), "0"),0)</f>
        <v>0</v>
      </c>
      <c r="N44" s="421"/>
      <c r="O44" s="238"/>
      <c r="P44" s="23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239" customFormat="1" ht="15.9" customHeight="1" x14ac:dyDescent="0.25">
      <c r="A45" s="263" t="s">
        <v>191</v>
      </c>
      <c r="B45" s="267" t="s">
        <v>175</v>
      </c>
      <c r="C45" s="158" t="s">
        <v>138</v>
      </c>
      <c r="D45" s="27"/>
      <c r="E45" s="159" t="s">
        <v>1</v>
      </c>
      <c r="F45" s="3" t="s">
        <v>13</v>
      </c>
      <c r="G45" s="43">
        <v>16</v>
      </c>
      <c r="H45" s="48">
        <f t="shared" si="0"/>
        <v>1200</v>
      </c>
      <c r="I45" s="113"/>
      <c r="J45" s="195">
        <v>0.59819999999999995</v>
      </c>
      <c r="K45" s="7">
        <v>75</v>
      </c>
      <c r="L45" s="556"/>
      <c r="M45" s="415">
        <f>ROUND(IF(YouthOutpatient&gt;0,((YouthOutpatient-Psychiatrist)*J45), "0"),0)</f>
        <v>0</v>
      </c>
      <c r="N45" s="421"/>
      <c r="O45" s="238"/>
      <c r="P45" s="23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239" customFormat="1" ht="15.9" customHeight="1" x14ac:dyDescent="0.25">
      <c r="A46" s="263" t="s">
        <v>192</v>
      </c>
      <c r="B46" s="266" t="s">
        <v>189</v>
      </c>
      <c r="C46" s="158" t="s">
        <v>138</v>
      </c>
      <c r="D46" s="84"/>
      <c r="E46" s="159" t="s">
        <v>2</v>
      </c>
      <c r="F46" s="3" t="s">
        <v>13</v>
      </c>
      <c r="G46" s="43">
        <v>4</v>
      </c>
      <c r="H46" s="48">
        <f t="shared" si="0"/>
        <v>300</v>
      </c>
      <c r="I46" s="113"/>
      <c r="J46" s="195">
        <v>0.16120000000000001</v>
      </c>
      <c r="K46" s="7">
        <v>75</v>
      </c>
      <c r="L46" s="556"/>
      <c r="M46" s="415">
        <f>ROUND(IF(YouthOutpatient&gt;0,((YouthOutpatient-Psychiatrist)*J46), "0"),0)</f>
        <v>0</v>
      </c>
      <c r="N46" s="421"/>
      <c r="O46" s="238"/>
      <c r="P46" s="23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239" customFormat="1" ht="15.9" customHeight="1" thickBot="1" x14ac:dyDescent="0.3">
      <c r="A47" s="236" t="s">
        <v>127</v>
      </c>
      <c r="B47" s="266" t="s">
        <v>176</v>
      </c>
      <c r="C47" s="158" t="s">
        <v>138</v>
      </c>
      <c r="D47" s="84"/>
      <c r="E47" s="159" t="s">
        <v>3</v>
      </c>
      <c r="F47" s="3" t="s">
        <v>13</v>
      </c>
      <c r="G47" s="43">
        <v>1</v>
      </c>
      <c r="H47" s="48">
        <f t="shared" si="0"/>
        <v>125</v>
      </c>
      <c r="I47" s="113"/>
      <c r="J47" s="196">
        <v>1000</v>
      </c>
      <c r="K47" s="7">
        <v>125</v>
      </c>
      <c r="L47" s="556"/>
      <c r="M47" s="436" t="str">
        <f>IF(YouthOutpatient&gt;0,J47,"0")</f>
        <v>0</v>
      </c>
      <c r="N47" s="421"/>
      <c r="O47" s="238"/>
      <c r="P47" s="23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239" customFormat="1" ht="15.9" customHeight="1" x14ac:dyDescent="0.25">
      <c r="A48" s="236" t="s">
        <v>128</v>
      </c>
      <c r="B48" s="268" t="s">
        <v>177</v>
      </c>
      <c r="C48" s="158" t="s">
        <v>138</v>
      </c>
      <c r="D48" s="136"/>
      <c r="E48" s="373" t="s">
        <v>200</v>
      </c>
      <c r="F48" s="139" t="s">
        <v>13</v>
      </c>
      <c r="G48" s="137">
        <v>3</v>
      </c>
      <c r="H48" s="140">
        <f t="shared" si="0"/>
        <v>84</v>
      </c>
      <c r="I48" s="31"/>
      <c r="J48" s="61"/>
      <c r="K48" s="380">
        <v>28</v>
      </c>
      <c r="L48" s="411"/>
      <c r="M48" s="423"/>
      <c r="N48" s="412"/>
      <c r="O48" s="238"/>
      <c r="P48" s="23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239" customFormat="1" ht="15.9" customHeight="1" x14ac:dyDescent="0.25">
      <c r="A49" s="236" t="s">
        <v>129</v>
      </c>
      <c r="B49" s="266" t="s">
        <v>178</v>
      </c>
      <c r="C49" s="158" t="s">
        <v>138</v>
      </c>
      <c r="D49" s="84"/>
      <c r="E49" s="159" t="s">
        <v>50</v>
      </c>
      <c r="F49" s="3" t="s">
        <v>13</v>
      </c>
      <c r="G49" s="43">
        <v>9</v>
      </c>
      <c r="H49" s="68">
        <f t="shared" si="0"/>
        <v>153</v>
      </c>
      <c r="I49" s="170"/>
      <c r="J49" s="61"/>
      <c r="K49" s="7">
        <v>17</v>
      </c>
      <c r="L49" s="411"/>
      <c r="M49" s="424"/>
      <c r="N49" s="412"/>
      <c r="O49" s="238"/>
      <c r="P49" s="23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239" customFormat="1" ht="15.9" customHeight="1" x14ac:dyDescent="0.25">
      <c r="A50" s="236" t="s">
        <v>130</v>
      </c>
      <c r="B50" s="266" t="s">
        <v>179</v>
      </c>
      <c r="C50" s="158" t="s">
        <v>138</v>
      </c>
      <c r="D50" s="30"/>
      <c r="E50" s="193" t="s">
        <v>51</v>
      </c>
      <c r="F50" s="25" t="s">
        <v>13</v>
      </c>
      <c r="G50" s="45">
        <v>5</v>
      </c>
      <c r="H50" s="69">
        <f t="shared" si="0"/>
        <v>300</v>
      </c>
      <c r="I50" s="31"/>
      <c r="J50" s="61"/>
      <c r="K50" s="53">
        <v>60</v>
      </c>
      <c r="L50" s="411"/>
      <c r="M50" s="424"/>
      <c r="N50" s="412"/>
      <c r="O50" s="238"/>
      <c r="P50" s="235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239" customFormat="1" ht="15.9" customHeight="1" x14ac:dyDescent="0.25">
      <c r="A51" s="263" t="s">
        <v>193</v>
      </c>
      <c r="B51" s="266" t="s">
        <v>180</v>
      </c>
      <c r="C51" s="158" t="s">
        <v>138</v>
      </c>
      <c r="D51" s="27"/>
      <c r="E51" s="135" t="s">
        <v>52</v>
      </c>
      <c r="F51" s="3" t="s">
        <v>13</v>
      </c>
      <c r="G51" s="43">
        <v>6</v>
      </c>
      <c r="H51" s="68">
        <f t="shared" si="0"/>
        <v>450</v>
      </c>
      <c r="I51" s="31"/>
      <c r="J51" s="61"/>
      <c r="K51" s="7">
        <v>75</v>
      </c>
      <c r="L51" s="411"/>
      <c r="M51" s="424"/>
      <c r="N51" s="412"/>
      <c r="O51" s="238"/>
      <c r="P51" s="23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239" customFormat="1" ht="15.9" customHeight="1" thickBot="1" x14ac:dyDescent="0.3">
      <c r="A52" s="263" t="s">
        <v>192</v>
      </c>
      <c r="B52" s="264" t="s">
        <v>181</v>
      </c>
      <c r="C52" s="85" t="s">
        <v>138</v>
      </c>
      <c r="D52" s="23"/>
      <c r="E52" s="194" t="s">
        <v>53</v>
      </c>
      <c r="F52" s="25" t="s">
        <v>13</v>
      </c>
      <c r="G52" s="45">
        <v>4</v>
      </c>
      <c r="H52" s="70">
        <f t="shared" si="0"/>
        <v>300</v>
      </c>
      <c r="I52" s="186"/>
      <c r="J52" s="185"/>
      <c r="K52" s="173">
        <v>75</v>
      </c>
      <c r="L52" s="422"/>
      <c r="M52" s="425"/>
      <c r="N52" s="412"/>
      <c r="O52" s="58"/>
      <c r="P52" s="23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248" customFormat="1" ht="18" customHeight="1" thickBot="1" x14ac:dyDescent="0.35">
      <c r="A53" s="772"/>
      <c r="B53" s="773"/>
      <c r="C53" s="774"/>
      <c r="D53" s="774"/>
      <c r="E53" s="774"/>
      <c r="F53" s="774"/>
      <c r="G53" s="774"/>
      <c r="H53" s="780"/>
      <c r="I53" s="780" t="s">
        <v>33</v>
      </c>
      <c r="J53" s="775"/>
      <c r="K53" s="776"/>
      <c r="L53" s="777"/>
      <c r="M53" s="765">
        <f>M38</f>
        <v>0</v>
      </c>
      <c r="N53" s="766"/>
      <c r="O53" s="245">
        <f>ROUND(M53*Match,0)</f>
        <v>0</v>
      </c>
      <c r="P53" s="246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7"/>
      <c r="EB53" s="247"/>
      <c r="EC53" s="247"/>
      <c r="ED53" s="247"/>
      <c r="EE53" s="247"/>
      <c r="EF53" s="247"/>
      <c r="EG53" s="247"/>
      <c r="EH53" s="247"/>
      <c r="EI53" s="247"/>
      <c r="EJ53" s="247"/>
      <c r="EK53" s="247"/>
      <c r="EL53" s="247"/>
      <c r="EM53" s="247"/>
      <c r="EN53" s="247"/>
      <c r="EO53" s="247"/>
      <c r="EP53" s="247"/>
      <c r="EQ53" s="247"/>
      <c r="ER53" s="247"/>
      <c r="ES53" s="247"/>
      <c r="ET53" s="247"/>
      <c r="EU53" s="247"/>
      <c r="EV53" s="247"/>
      <c r="EW53" s="247"/>
      <c r="EX53" s="247"/>
      <c r="EY53" s="247"/>
      <c r="EZ53" s="247"/>
      <c r="FA53" s="247"/>
      <c r="FB53" s="247"/>
      <c r="FC53" s="247"/>
      <c r="FD53" s="247"/>
      <c r="FE53" s="247"/>
      <c r="FF53" s="247"/>
      <c r="FG53" s="247"/>
      <c r="FH53" s="247"/>
      <c r="FI53" s="247"/>
      <c r="FJ53" s="247"/>
      <c r="FK53" s="247"/>
      <c r="FL53" s="247"/>
      <c r="FM53" s="247"/>
      <c r="FN53" s="247"/>
      <c r="FO53" s="247"/>
      <c r="FP53" s="247"/>
      <c r="FQ53" s="247"/>
      <c r="FR53" s="247"/>
      <c r="FS53" s="247"/>
      <c r="FT53" s="247"/>
      <c r="FU53" s="247"/>
      <c r="FV53" s="247"/>
      <c r="FW53" s="247"/>
      <c r="FX53" s="247"/>
      <c r="FY53" s="247"/>
      <c r="FZ53" s="247"/>
      <c r="GA53" s="247"/>
      <c r="GB53" s="247"/>
      <c r="GC53" s="247"/>
      <c r="GD53" s="247"/>
      <c r="GE53" s="247"/>
      <c r="GF53" s="247"/>
      <c r="GG53" s="247"/>
      <c r="GH53" s="247"/>
      <c r="GI53" s="247"/>
      <c r="GJ53" s="247"/>
      <c r="GK53" s="247"/>
      <c r="GL53" s="247"/>
      <c r="GM53" s="247"/>
      <c r="GN53" s="247"/>
      <c r="GO53" s="247"/>
      <c r="GP53" s="247"/>
      <c r="GQ53" s="247"/>
      <c r="GR53" s="247"/>
      <c r="GS53" s="247"/>
      <c r="GT53" s="247"/>
      <c r="GU53" s="247"/>
      <c r="GV53" s="247"/>
      <c r="GW53" s="247"/>
      <c r="GX53" s="247"/>
      <c r="GY53" s="247"/>
      <c r="GZ53" s="247"/>
      <c r="HA53" s="247"/>
      <c r="HB53" s="247"/>
      <c r="HC53" s="247"/>
      <c r="HD53" s="247"/>
      <c r="HE53" s="247"/>
      <c r="HF53" s="247"/>
      <c r="HG53" s="247"/>
      <c r="HH53" s="247"/>
      <c r="HI53" s="247"/>
      <c r="HJ53" s="247"/>
      <c r="HK53" s="247"/>
      <c r="HL53" s="247"/>
      <c r="HM53" s="247"/>
      <c r="HN53" s="247"/>
      <c r="HO53" s="247"/>
      <c r="HP53" s="247"/>
      <c r="HQ53" s="247"/>
      <c r="HR53" s="247"/>
      <c r="HS53" s="247"/>
      <c r="HT53" s="247"/>
      <c r="HU53" s="247"/>
      <c r="HV53" s="247"/>
      <c r="HW53" s="247"/>
      <c r="HX53" s="247"/>
      <c r="HY53" s="247"/>
      <c r="HZ53" s="247"/>
      <c r="IA53" s="247"/>
      <c r="IB53" s="247"/>
      <c r="IC53" s="247"/>
      <c r="ID53" s="247"/>
      <c r="IE53" s="247"/>
      <c r="IF53" s="247"/>
      <c r="IG53" s="247"/>
      <c r="IH53" s="247"/>
      <c r="II53" s="247"/>
      <c r="IJ53" s="247"/>
      <c r="IK53" s="247"/>
      <c r="IL53" s="247"/>
      <c r="IM53" s="247"/>
      <c r="IN53" s="247"/>
      <c r="IO53" s="247"/>
      <c r="IP53" s="247"/>
      <c r="IQ53" s="247"/>
      <c r="IR53" s="247"/>
      <c r="IS53" s="247"/>
      <c r="IT53" s="247"/>
    </row>
    <row r="54" spans="1:254" s="235" customFormat="1" ht="18" customHeight="1" thickBot="1" x14ac:dyDescent="0.35">
      <c r="A54" s="453"/>
      <c r="B54" s="454"/>
      <c r="C54" s="665"/>
      <c r="D54" s="665"/>
      <c r="E54" s="665" t="s">
        <v>75</v>
      </c>
      <c r="F54" s="454"/>
      <c r="G54" s="455"/>
      <c r="H54" s="26">
        <f>(H55*J55)+(H56*J56)</f>
        <v>6332.75</v>
      </c>
      <c r="I54" s="307"/>
      <c r="J54" s="408">
        <v>0.88</v>
      </c>
      <c r="K54" s="372"/>
      <c r="L54" s="169">
        <f>ROUND(M55/H54*G55/Days,0)</f>
        <v>0</v>
      </c>
      <c r="M54" s="534">
        <f>M55+M59</f>
        <v>0</v>
      </c>
      <c r="N54" s="407">
        <f>L54</f>
        <v>0</v>
      </c>
      <c r="O54" s="23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235" customFormat="1" ht="18" customHeight="1" x14ac:dyDescent="0.25">
      <c r="A55" s="550" t="s">
        <v>323</v>
      </c>
      <c r="B55" s="550" t="s">
        <v>323</v>
      </c>
      <c r="C55" s="138" t="s">
        <v>143</v>
      </c>
      <c r="D55" s="439"/>
      <c r="E55" s="438" t="s">
        <v>5</v>
      </c>
      <c r="F55" s="138" t="s">
        <v>233</v>
      </c>
      <c r="G55" s="125">
        <v>365</v>
      </c>
      <c r="H55" s="388">
        <f>G55*K55</f>
        <v>6205</v>
      </c>
      <c r="I55" s="31"/>
      <c r="J55" s="409">
        <v>0.95</v>
      </c>
      <c r="K55" s="102">
        <v>17</v>
      </c>
      <c r="L55" s="33"/>
      <c r="M55" s="529">
        <f>ROUND((I54*J54)-I57,0)</f>
        <v>0</v>
      </c>
      <c r="N55" s="114"/>
      <c r="O55" s="23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235" customFormat="1" ht="18" customHeight="1" thickBot="1" x14ac:dyDescent="0.3">
      <c r="A56" s="397" t="s">
        <v>324</v>
      </c>
      <c r="B56" s="397" t="s">
        <v>324</v>
      </c>
      <c r="C56" s="128" t="s">
        <v>143</v>
      </c>
      <c r="D56" s="439"/>
      <c r="E56" s="438" t="s">
        <v>4</v>
      </c>
      <c r="F56" s="128" t="s">
        <v>233</v>
      </c>
      <c r="G56" s="385">
        <v>365</v>
      </c>
      <c r="H56" s="388">
        <f>G56*K56</f>
        <v>8760</v>
      </c>
      <c r="I56" s="31"/>
      <c r="J56" s="409">
        <v>0.05</v>
      </c>
      <c r="K56" s="472">
        <v>24</v>
      </c>
      <c r="L56" s="33"/>
      <c r="M56" s="115"/>
      <c r="N56" s="114"/>
      <c r="O56" s="23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239" customFormat="1" ht="18" customHeight="1" thickBot="1" x14ac:dyDescent="0.3">
      <c r="A57" s="397" t="s">
        <v>351</v>
      </c>
      <c r="B57" s="397" t="s">
        <v>351</v>
      </c>
      <c r="C57" s="128" t="s">
        <v>143</v>
      </c>
      <c r="D57" s="107"/>
      <c r="E57" s="520" t="s">
        <v>337</v>
      </c>
      <c r="F57" s="290" t="s">
        <v>336</v>
      </c>
      <c r="G57" s="24">
        <v>12</v>
      </c>
      <c r="H57" s="5">
        <f>K57*G57</f>
        <v>11744.039999999999</v>
      </c>
      <c r="I57" s="307"/>
      <c r="J57" s="15"/>
      <c r="K57" s="168">
        <v>978.67</v>
      </c>
      <c r="L57" s="535" t="e">
        <f>ROUND(M57/(H57+H58)*G57/N7,0)</f>
        <v>#DIV/0!</v>
      </c>
      <c r="M57" s="536">
        <f>I57</f>
        <v>0</v>
      </c>
      <c r="N57" s="362" t="e">
        <f>L57</f>
        <v>#DIV/0!</v>
      </c>
      <c r="O57" s="238"/>
      <c r="P57" s="519"/>
    </row>
    <row r="58" spans="1:254" s="239" customFormat="1" ht="18" customHeight="1" x14ac:dyDescent="0.25">
      <c r="A58" s="397" t="s">
        <v>338</v>
      </c>
      <c r="B58" s="397" t="s">
        <v>338</v>
      </c>
      <c r="C58" s="128" t="s">
        <v>143</v>
      </c>
      <c r="D58" s="439"/>
      <c r="E58" s="520" t="s">
        <v>347</v>
      </c>
      <c r="F58" s="441" t="s">
        <v>336</v>
      </c>
      <c r="G58" s="385">
        <v>12</v>
      </c>
      <c r="H58" s="5">
        <f t="shared" ref="H58" si="1">G58*K58</f>
        <v>2820</v>
      </c>
      <c r="I58" s="254"/>
      <c r="J58" s="15"/>
      <c r="K58" s="495">
        <v>235</v>
      </c>
      <c r="L58" s="253"/>
      <c r="M58" s="253"/>
      <c r="N58" s="253"/>
      <c r="O58" s="238"/>
      <c r="P58" s="519"/>
    </row>
    <row r="59" spans="1:254" s="235" customFormat="1" ht="18" customHeight="1" x14ac:dyDescent="0.25">
      <c r="A59" s="397" t="s">
        <v>201</v>
      </c>
      <c r="B59" s="601" t="s">
        <v>209</v>
      </c>
      <c r="C59" s="128" t="s">
        <v>143</v>
      </c>
      <c r="D59" s="439"/>
      <c r="E59" s="440" t="s">
        <v>54</v>
      </c>
      <c r="F59" s="827" t="s">
        <v>222</v>
      </c>
      <c r="G59" s="385">
        <v>1</v>
      </c>
      <c r="H59" s="386">
        <v>40.270000000000003</v>
      </c>
      <c r="I59" s="31"/>
      <c r="J59" s="103">
        <v>0.05</v>
      </c>
      <c r="K59" s="102">
        <f t="shared" ref="K59:K64" si="2">H59</f>
        <v>40.270000000000003</v>
      </c>
      <c r="L59" s="33"/>
      <c r="M59" s="529">
        <f>ROUND(I54*J59,0)</f>
        <v>0</v>
      </c>
      <c r="N59" s="114"/>
      <c r="O59" s="23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s="239" customFormat="1" ht="18" customHeight="1" x14ac:dyDescent="0.25">
      <c r="A60" s="602" t="s">
        <v>103</v>
      </c>
      <c r="B60" s="549" t="s">
        <v>205</v>
      </c>
      <c r="C60" s="128" t="s">
        <v>143</v>
      </c>
      <c r="D60" s="439"/>
      <c r="E60" s="390" t="s">
        <v>55</v>
      </c>
      <c r="F60" s="138" t="s">
        <v>139</v>
      </c>
      <c r="G60" s="138">
        <v>1</v>
      </c>
      <c r="H60" s="391">
        <v>11.84</v>
      </c>
      <c r="I60" s="31"/>
      <c r="J60" s="76"/>
      <c r="K60" s="102">
        <f t="shared" si="2"/>
        <v>11.84</v>
      </c>
      <c r="L60" s="33"/>
      <c r="M60" s="115"/>
      <c r="N60" s="114"/>
      <c r="O60" s="238"/>
      <c r="P60" s="23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s="239" customFormat="1" ht="18" customHeight="1" x14ac:dyDescent="0.25">
      <c r="A61" s="602" t="s">
        <v>104</v>
      </c>
      <c r="B61" s="552" t="s">
        <v>206</v>
      </c>
      <c r="C61" s="128" t="s">
        <v>143</v>
      </c>
      <c r="D61" s="439"/>
      <c r="E61" s="390" t="s">
        <v>56</v>
      </c>
      <c r="F61" s="128" t="s">
        <v>139</v>
      </c>
      <c r="G61" s="128">
        <v>1</v>
      </c>
      <c r="H61" s="388">
        <v>16.350000000000001</v>
      </c>
      <c r="I61" s="31"/>
      <c r="J61" s="76"/>
      <c r="K61" s="102">
        <f t="shared" si="2"/>
        <v>16.350000000000001</v>
      </c>
      <c r="L61" s="33"/>
      <c r="M61" s="115"/>
      <c r="N61" s="114"/>
      <c r="O61" s="238"/>
      <c r="P61" s="235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239" customFormat="1" ht="18" customHeight="1" x14ac:dyDescent="0.25">
      <c r="A62" s="602" t="s">
        <v>106</v>
      </c>
      <c r="B62" s="551" t="s">
        <v>208</v>
      </c>
      <c r="C62" s="128" t="s">
        <v>143</v>
      </c>
      <c r="D62" s="439"/>
      <c r="E62" s="387" t="s">
        <v>57</v>
      </c>
      <c r="F62" s="128" t="s">
        <v>139</v>
      </c>
      <c r="G62" s="128">
        <v>1</v>
      </c>
      <c r="H62" s="388">
        <v>27.6</v>
      </c>
      <c r="I62" s="31"/>
      <c r="J62" s="76"/>
      <c r="K62" s="102">
        <f t="shared" si="2"/>
        <v>27.6</v>
      </c>
      <c r="L62" s="33"/>
      <c r="M62" s="115"/>
      <c r="N62" s="114"/>
      <c r="O62" s="238"/>
      <c r="P62" s="23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239" customFormat="1" ht="18" customHeight="1" x14ac:dyDescent="0.25">
      <c r="A63" s="602" t="s">
        <v>105</v>
      </c>
      <c r="B63" s="549" t="s">
        <v>207</v>
      </c>
      <c r="C63" s="128" t="s">
        <v>143</v>
      </c>
      <c r="D63" s="439"/>
      <c r="E63" s="389" t="s">
        <v>58</v>
      </c>
      <c r="F63" s="385" t="s">
        <v>139</v>
      </c>
      <c r="G63" s="385">
        <v>1</v>
      </c>
      <c r="H63" s="386">
        <v>10.18</v>
      </c>
      <c r="I63" s="31"/>
      <c r="J63" s="76"/>
      <c r="K63" s="102">
        <f t="shared" si="2"/>
        <v>10.18</v>
      </c>
      <c r="L63" s="33"/>
      <c r="M63" s="115"/>
      <c r="N63" s="114"/>
      <c r="O63" s="238"/>
      <c r="P63" s="235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s="239" customFormat="1" ht="18" customHeight="1" x14ac:dyDescent="0.25">
      <c r="A64" s="602" t="s">
        <v>108</v>
      </c>
      <c r="B64" s="551" t="s">
        <v>204</v>
      </c>
      <c r="C64" s="128" t="s">
        <v>143</v>
      </c>
      <c r="D64" s="439"/>
      <c r="E64" s="390" t="s">
        <v>59</v>
      </c>
      <c r="F64" s="138" t="s">
        <v>139</v>
      </c>
      <c r="G64" s="128">
        <v>1</v>
      </c>
      <c r="H64" s="388">
        <v>40.21</v>
      </c>
      <c r="I64" s="31"/>
      <c r="J64" s="76"/>
      <c r="K64" s="102">
        <f t="shared" si="2"/>
        <v>40.21</v>
      </c>
      <c r="L64" s="33"/>
      <c r="M64" s="115"/>
      <c r="N64" s="114"/>
      <c r="O64" s="238"/>
      <c r="P64" s="23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s="239" customFormat="1" ht="18" customHeight="1" x14ac:dyDescent="0.25">
      <c r="A65" s="550" t="s">
        <v>202</v>
      </c>
      <c r="B65" s="551" t="s">
        <v>202</v>
      </c>
      <c r="C65" s="128" t="s">
        <v>143</v>
      </c>
      <c r="D65" s="439"/>
      <c r="E65" s="390" t="s">
        <v>80</v>
      </c>
      <c r="F65" s="128" t="s">
        <v>139</v>
      </c>
      <c r="G65" s="128">
        <v>1</v>
      </c>
      <c r="H65" s="388">
        <v>40.21</v>
      </c>
      <c r="I65" s="31"/>
      <c r="J65" s="254"/>
      <c r="K65" s="102">
        <v>40.21</v>
      </c>
      <c r="L65" s="33"/>
      <c r="M65" s="115"/>
      <c r="N65" s="114"/>
      <c r="O65" s="238"/>
      <c r="P65" s="235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s="239" customFormat="1" ht="18" customHeight="1" x14ac:dyDescent="0.25">
      <c r="A66" s="550" t="s">
        <v>203</v>
      </c>
      <c r="B66" s="551" t="s">
        <v>203</v>
      </c>
      <c r="C66" s="128" t="s">
        <v>143</v>
      </c>
      <c r="D66" s="439"/>
      <c r="E66" s="390" t="s">
        <v>60</v>
      </c>
      <c r="F66" s="138" t="s">
        <v>139</v>
      </c>
      <c r="G66" s="385">
        <v>1</v>
      </c>
      <c r="H66" s="388">
        <v>11.12</v>
      </c>
      <c r="I66" s="31"/>
      <c r="J66" s="76"/>
      <c r="K66" s="102">
        <f t="shared" ref="K66" si="3">H66</f>
        <v>11.12</v>
      </c>
      <c r="L66" s="33"/>
      <c r="M66" s="115"/>
      <c r="N66" s="114"/>
      <c r="O66" s="238"/>
      <c r="P66" s="23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239" customFormat="1" ht="18" customHeight="1" x14ac:dyDescent="0.25">
      <c r="A67" s="553" t="s">
        <v>214</v>
      </c>
      <c r="B67" s="553" t="s">
        <v>215</v>
      </c>
      <c r="C67" s="128" t="s">
        <v>143</v>
      </c>
      <c r="D67" s="384"/>
      <c r="E67" s="603" t="s">
        <v>93</v>
      </c>
      <c r="F67" s="128" t="s">
        <v>139</v>
      </c>
      <c r="G67" s="125">
        <v>1</v>
      </c>
      <c r="H67" s="386">
        <v>7.07</v>
      </c>
      <c r="I67" s="31"/>
      <c r="J67" s="76"/>
      <c r="K67" s="102">
        <v>7.07</v>
      </c>
      <c r="L67" s="33"/>
      <c r="M67" s="115"/>
      <c r="N67" s="114"/>
      <c r="O67" s="238"/>
      <c r="P67" s="235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s="239" customFormat="1" ht="18" customHeight="1" thickBot="1" x14ac:dyDescent="0.3">
      <c r="A68" s="706" t="s">
        <v>209</v>
      </c>
      <c r="B68" s="706" t="s">
        <v>209</v>
      </c>
      <c r="C68" s="385" t="s">
        <v>143</v>
      </c>
      <c r="D68" s="23"/>
      <c r="E68" s="109" t="s">
        <v>217</v>
      </c>
      <c r="F68" s="827" t="s">
        <v>222</v>
      </c>
      <c r="G68" s="175">
        <v>1</v>
      </c>
      <c r="H68" s="483">
        <v>33.270000000000003</v>
      </c>
      <c r="I68" s="31"/>
      <c r="J68" s="76"/>
      <c r="K68" s="102">
        <f>H68</f>
        <v>33.270000000000003</v>
      </c>
      <c r="L68" s="33"/>
      <c r="M68" s="34"/>
      <c r="N68" s="99"/>
      <c r="O68" s="238"/>
      <c r="P68" s="235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s="239" customFormat="1" ht="18" customHeight="1" thickBot="1" x14ac:dyDescent="0.35">
      <c r="A69" s="453"/>
      <c r="B69" s="454"/>
      <c r="C69" s="454"/>
      <c r="D69" s="452" t="s">
        <v>256</v>
      </c>
      <c r="E69" s="717"/>
      <c r="F69" s="580"/>
      <c r="G69" s="454"/>
      <c r="H69" s="581"/>
      <c r="I69" s="15"/>
      <c r="J69" s="392">
        <v>7.0000000000000007E-2</v>
      </c>
      <c r="K69" s="372"/>
      <c r="L69" s="33"/>
      <c r="M69" s="361">
        <f>ROUND(I54*J69,0)</f>
        <v>0</v>
      </c>
      <c r="N69" s="99"/>
      <c r="O69" s="238"/>
      <c r="P69" s="235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s="239" customFormat="1" ht="18" customHeight="1" x14ac:dyDescent="0.25">
      <c r="A70" s="710" t="s">
        <v>325</v>
      </c>
      <c r="B70" s="710" t="s">
        <v>325</v>
      </c>
      <c r="C70" s="138" t="s">
        <v>143</v>
      </c>
      <c r="D70" s="439"/>
      <c r="E70" s="404" t="s">
        <v>257</v>
      </c>
      <c r="F70" s="290" t="s">
        <v>141</v>
      </c>
      <c r="G70" s="586">
        <v>1</v>
      </c>
      <c r="H70" s="587">
        <v>391.09</v>
      </c>
      <c r="I70" s="31"/>
      <c r="J70" s="371"/>
      <c r="K70" s="102">
        <v>55.87</v>
      </c>
      <c r="L70" s="33"/>
      <c r="M70" s="34"/>
      <c r="N70" s="99"/>
      <c r="O70" s="238"/>
      <c r="P70" s="23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s="239" customFormat="1" ht="18" customHeight="1" x14ac:dyDescent="0.25">
      <c r="A71" s="602" t="s">
        <v>326</v>
      </c>
      <c r="B71" s="602" t="s">
        <v>326</v>
      </c>
      <c r="C71" s="128" t="s">
        <v>143</v>
      </c>
      <c r="D71" s="439"/>
      <c r="E71" s="400" t="s">
        <v>244</v>
      </c>
      <c r="F71" s="273" t="s">
        <v>141</v>
      </c>
      <c r="G71" s="174">
        <v>1</v>
      </c>
      <c r="H71" s="110">
        <v>21.1</v>
      </c>
      <c r="I71" s="31"/>
      <c r="J71" s="76"/>
      <c r="K71" s="102">
        <v>21.1</v>
      </c>
      <c r="L71" s="33"/>
      <c r="M71" s="34"/>
      <c r="N71" s="99"/>
      <c r="O71" s="238"/>
      <c r="P71" s="23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s="239" customFormat="1" ht="18" customHeight="1" x14ac:dyDescent="0.25">
      <c r="A72" s="602" t="s">
        <v>327</v>
      </c>
      <c r="B72" s="602" t="s">
        <v>327</v>
      </c>
      <c r="C72" s="128" t="s">
        <v>143</v>
      </c>
      <c r="D72" s="439"/>
      <c r="E72" s="400" t="s">
        <v>245</v>
      </c>
      <c r="F72" s="273" t="s">
        <v>141</v>
      </c>
      <c r="G72" s="174">
        <v>1</v>
      </c>
      <c r="H72" s="110">
        <v>115.94999999999999</v>
      </c>
      <c r="I72" s="31"/>
      <c r="J72" s="76"/>
      <c r="K72" s="102">
        <v>38.65</v>
      </c>
      <c r="L72" s="33"/>
      <c r="M72" s="34"/>
      <c r="N72" s="99"/>
      <c r="O72" s="238"/>
      <c r="P72" s="235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s="239" customFormat="1" ht="18" customHeight="1" x14ac:dyDescent="0.25">
      <c r="A73" s="602" t="s">
        <v>328</v>
      </c>
      <c r="B73" s="602" t="s">
        <v>328</v>
      </c>
      <c r="C73" s="128" t="s">
        <v>143</v>
      </c>
      <c r="D73" s="439"/>
      <c r="E73" s="400" t="s">
        <v>251</v>
      </c>
      <c r="F73" s="273" t="s">
        <v>141</v>
      </c>
      <c r="G73" s="174">
        <v>1</v>
      </c>
      <c r="H73" s="110">
        <v>113.91</v>
      </c>
      <c r="I73" s="31"/>
      <c r="J73" s="76"/>
      <c r="K73" s="102">
        <v>113.91</v>
      </c>
      <c r="L73" s="33"/>
      <c r="M73" s="34"/>
      <c r="N73" s="99"/>
      <c r="O73" s="238"/>
      <c r="P73" s="235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s="239" customFormat="1" ht="18" customHeight="1" x14ac:dyDescent="0.25">
      <c r="A74" s="602" t="s">
        <v>329</v>
      </c>
      <c r="B74" s="602" t="s">
        <v>329</v>
      </c>
      <c r="C74" s="128" t="s">
        <v>143</v>
      </c>
      <c r="D74" s="439"/>
      <c r="E74" s="400" t="s">
        <v>258</v>
      </c>
      <c r="F74" s="273" t="s">
        <v>141</v>
      </c>
      <c r="G74" s="174">
        <v>1</v>
      </c>
      <c r="H74" s="110">
        <v>44.66</v>
      </c>
      <c r="I74" s="31"/>
      <c r="J74" s="76"/>
      <c r="K74" s="472">
        <v>44.66</v>
      </c>
      <c r="L74" s="33"/>
      <c r="M74" s="34"/>
      <c r="N74" s="99"/>
      <c r="O74" s="238"/>
      <c r="P74" s="235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s="239" customFormat="1" ht="18" customHeight="1" thickBot="1" x14ac:dyDescent="0.3">
      <c r="A75" s="602" t="s">
        <v>330</v>
      </c>
      <c r="B75" s="602" t="s">
        <v>330</v>
      </c>
      <c r="C75" s="128" t="s">
        <v>143</v>
      </c>
      <c r="D75" s="384"/>
      <c r="E75" s="400" t="s">
        <v>246</v>
      </c>
      <c r="F75" s="273" t="s">
        <v>141</v>
      </c>
      <c r="G75" s="174">
        <v>1</v>
      </c>
      <c r="H75" s="471">
        <v>60.34</v>
      </c>
      <c r="I75" s="15"/>
      <c r="J75" s="76"/>
      <c r="K75" s="168">
        <v>60.34</v>
      </c>
      <c r="L75" s="33"/>
      <c r="M75" s="34"/>
      <c r="N75" s="99"/>
      <c r="O75" s="253"/>
      <c r="P75" s="23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s="248" customFormat="1" ht="18" customHeight="1" thickBot="1" x14ac:dyDescent="0.35">
      <c r="A76" s="783"/>
      <c r="B76" s="784"/>
      <c r="C76" s="780"/>
      <c r="D76" s="780"/>
      <c r="E76" s="780"/>
      <c r="F76" s="780"/>
      <c r="G76" s="780"/>
      <c r="H76" s="780"/>
      <c r="I76" s="780" t="s">
        <v>77</v>
      </c>
      <c r="J76" s="775"/>
      <c r="K76" s="776"/>
      <c r="L76" s="782"/>
      <c r="M76" s="762">
        <f>M54+M57+M69</f>
        <v>0</v>
      </c>
      <c r="N76" s="763"/>
      <c r="O76" s="764">
        <v>0</v>
      </c>
      <c r="P76" s="246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247"/>
      <c r="BN76" s="247"/>
      <c r="BO76" s="247"/>
      <c r="BP76" s="247"/>
      <c r="BQ76" s="247"/>
      <c r="BR76" s="247"/>
      <c r="BS76" s="247"/>
      <c r="BT76" s="247"/>
      <c r="BU76" s="247"/>
      <c r="BV76" s="247"/>
      <c r="BW76" s="247"/>
      <c r="BX76" s="247"/>
      <c r="BY76" s="247"/>
      <c r="BZ76" s="247"/>
      <c r="CA76" s="247"/>
      <c r="CB76" s="247"/>
      <c r="CC76" s="247"/>
      <c r="CD76" s="247"/>
      <c r="CE76" s="247"/>
      <c r="CF76" s="247"/>
      <c r="CG76" s="247"/>
      <c r="CH76" s="247"/>
      <c r="CI76" s="247"/>
      <c r="CJ76" s="247"/>
      <c r="CK76" s="247"/>
      <c r="CL76" s="247"/>
      <c r="CM76" s="247"/>
      <c r="CN76" s="247"/>
      <c r="CO76" s="247"/>
      <c r="CP76" s="247"/>
      <c r="CQ76" s="247"/>
      <c r="CR76" s="247"/>
      <c r="CS76" s="247"/>
      <c r="CT76" s="247"/>
      <c r="CU76" s="247"/>
      <c r="CV76" s="247"/>
      <c r="CW76" s="247"/>
      <c r="CX76" s="247"/>
      <c r="CY76" s="247"/>
      <c r="CZ76" s="247"/>
      <c r="DA76" s="247"/>
      <c r="DB76" s="247"/>
      <c r="DC76" s="247"/>
      <c r="DD76" s="247"/>
      <c r="DE76" s="247"/>
      <c r="DF76" s="247"/>
      <c r="DG76" s="247"/>
      <c r="DH76" s="247"/>
      <c r="DI76" s="247"/>
      <c r="DJ76" s="247"/>
      <c r="DK76" s="247"/>
      <c r="DL76" s="247"/>
      <c r="DM76" s="247"/>
      <c r="DN76" s="247"/>
      <c r="DO76" s="247"/>
      <c r="DP76" s="247"/>
      <c r="DQ76" s="247"/>
      <c r="DR76" s="247"/>
      <c r="DS76" s="247"/>
      <c r="DT76" s="247"/>
      <c r="DU76" s="247"/>
      <c r="DV76" s="247"/>
      <c r="DW76" s="247"/>
      <c r="DX76" s="247"/>
      <c r="DY76" s="247"/>
      <c r="DZ76" s="247"/>
      <c r="EA76" s="247"/>
      <c r="EB76" s="247"/>
      <c r="EC76" s="247"/>
      <c r="ED76" s="247"/>
      <c r="EE76" s="247"/>
      <c r="EF76" s="247"/>
      <c r="EG76" s="247"/>
      <c r="EH76" s="247"/>
      <c r="EI76" s="247"/>
      <c r="EJ76" s="247"/>
      <c r="EK76" s="247"/>
      <c r="EL76" s="247"/>
      <c r="EM76" s="247"/>
      <c r="EN76" s="247"/>
      <c r="EO76" s="247"/>
      <c r="EP76" s="247"/>
      <c r="EQ76" s="247"/>
      <c r="ER76" s="247"/>
      <c r="ES76" s="247"/>
      <c r="ET76" s="247"/>
      <c r="EU76" s="247"/>
      <c r="EV76" s="247"/>
      <c r="EW76" s="247"/>
      <c r="EX76" s="247"/>
      <c r="EY76" s="247"/>
      <c r="EZ76" s="247"/>
      <c r="FA76" s="247"/>
      <c r="FB76" s="247"/>
      <c r="FC76" s="247"/>
      <c r="FD76" s="247"/>
      <c r="FE76" s="247"/>
      <c r="FF76" s="247"/>
      <c r="FG76" s="247"/>
      <c r="FH76" s="247"/>
      <c r="FI76" s="247"/>
      <c r="FJ76" s="247"/>
      <c r="FK76" s="247"/>
      <c r="FL76" s="247"/>
      <c r="FM76" s="247"/>
      <c r="FN76" s="247"/>
      <c r="FO76" s="247"/>
      <c r="FP76" s="247"/>
      <c r="FQ76" s="247"/>
      <c r="FR76" s="247"/>
      <c r="FS76" s="247"/>
      <c r="FT76" s="247"/>
      <c r="FU76" s="247"/>
      <c r="FV76" s="247"/>
      <c r="FW76" s="247"/>
      <c r="FX76" s="247"/>
      <c r="FY76" s="247"/>
      <c r="FZ76" s="247"/>
      <c r="GA76" s="247"/>
      <c r="GB76" s="247"/>
      <c r="GC76" s="247"/>
      <c r="GD76" s="247"/>
      <c r="GE76" s="247"/>
      <c r="GF76" s="247"/>
      <c r="GG76" s="247"/>
      <c r="GH76" s="247"/>
      <c r="GI76" s="247"/>
      <c r="GJ76" s="247"/>
      <c r="GK76" s="247"/>
      <c r="GL76" s="247"/>
      <c r="GM76" s="247"/>
      <c r="GN76" s="247"/>
      <c r="GO76" s="247"/>
      <c r="GP76" s="247"/>
      <c r="GQ76" s="247"/>
      <c r="GR76" s="247"/>
      <c r="GS76" s="247"/>
      <c r="GT76" s="247"/>
      <c r="GU76" s="247"/>
      <c r="GV76" s="247"/>
      <c r="GW76" s="247"/>
      <c r="GX76" s="247"/>
      <c r="GY76" s="247"/>
      <c r="GZ76" s="247"/>
      <c r="HA76" s="247"/>
      <c r="HB76" s="247"/>
      <c r="HC76" s="247"/>
      <c r="HD76" s="247"/>
      <c r="HE76" s="247"/>
      <c r="HF76" s="247"/>
      <c r="HG76" s="247"/>
      <c r="HH76" s="247"/>
      <c r="HI76" s="247"/>
      <c r="HJ76" s="247"/>
      <c r="HK76" s="247"/>
      <c r="HL76" s="247"/>
      <c r="HM76" s="247"/>
      <c r="HN76" s="247"/>
      <c r="HO76" s="247"/>
      <c r="HP76" s="247"/>
      <c r="HQ76" s="247"/>
      <c r="HR76" s="247"/>
      <c r="HS76" s="247"/>
      <c r="HT76" s="247"/>
      <c r="HU76" s="247"/>
      <c r="HV76" s="247"/>
      <c r="HW76" s="247"/>
      <c r="HX76" s="247"/>
      <c r="HY76" s="247"/>
      <c r="HZ76" s="247"/>
      <c r="IA76" s="247"/>
      <c r="IB76" s="247"/>
      <c r="IC76" s="247"/>
      <c r="ID76" s="247"/>
      <c r="IE76" s="247"/>
      <c r="IF76" s="247"/>
      <c r="IG76" s="247"/>
      <c r="IH76" s="247"/>
      <c r="II76" s="247"/>
      <c r="IJ76" s="247"/>
      <c r="IK76" s="247"/>
      <c r="IL76" s="247"/>
      <c r="IM76" s="247"/>
      <c r="IN76" s="247"/>
      <c r="IO76" s="247"/>
      <c r="IP76" s="247"/>
      <c r="IQ76" s="247"/>
      <c r="IR76" s="247"/>
      <c r="IS76" s="247"/>
      <c r="IT76" s="247"/>
    </row>
    <row r="77" spans="1:254" ht="18" customHeight="1" thickBot="1" x14ac:dyDescent="0.35">
      <c r="A77" s="684"/>
      <c r="B77" s="666"/>
      <c r="C77" s="685"/>
      <c r="D77" s="857"/>
      <c r="E77" s="708" t="s">
        <v>306</v>
      </c>
      <c r="F77" s="661"/>
      <c r="G77" s="661"/>
      <c r="H77" s="686"/>
      <c r="I77" s="532"/>
      <c r="J77" s="532"/>
      <c r="K77" s="533"/>
      <c r="L77" s="687"/>
      <c r="M77" s="393"/>
      <c r="N77" s="394"/>
      <c r="O77" s="56"/>
    </row>
    <row r="78" spans="1:254" ht="18" customHeight="1" thickBot="1" x14ac:dyDescent="0.3">
      <c r="A78" s="269" t="s">
        <v>235</v>
      </c>
      <c r="B78" s="269" t="s">
        <v>235</v>
      </c>
      <c r="C78" s="279" t="s">
        <v>232</v>
      </c>
      <c r="D78" s="604"/>
      <c r="E78" s="858" t="s">
        <v>308</v>
      </c>
      <c r="F78" s="308" t="s">
        <v>233</v>
      </c>
      <c r="G78" s="19">
        <v>365</v>
      </c>
      <c r="H78" s="22">
        <f>G78*K78</f>
        <v>8760</v>
      </c>
      <c r="I78" s="307"/>
      <c r="J78" s="77"/>
      <c r="K78" s="311">
        <v>24</v>
      </c>
      <c r="L78" s="309">
        <f>ROUND(I78/H78/Days*G78,0)</f>
        <v>0</v>
      </c>
      <c r="M78" s="166">
        <f>I78-I80</f>
        <v>0</v>
      </c>
      <c r="N78" s="310">
        <f>L78</f>
        <v>0</v>
      </c>
      <c r="O78" s="238"/>
    </row>
    <row r="79" spans="1:254" ht="18" customHeight="1" thickBot="1" x14ac:dyDescent="0.3">
      <c r="A79" s="266" t="s">
        <v>321</v>
      </c>
      <c r="B79" s="266" t="s">
        <v>321</v>
      </c>
      <c r="C79" s="275" t="s">
        <v>232</v>
      </c>
      <c r="D79" s="604"/>
      <c r="E79" s="289" t="s">
        <v>307</v>
      </c>
      <c r="F79" s="856" t="s">
        <v>233</v>
      </c>
      <c r="G79" s="24">
        <v>365</v>
      </c>
      <c r="H79" s="26">
        <f>G79*K79</f>
        <v>9490</v>
      </c>
      <c r="I79" s="307"/>
      <c r="J79" s="77"/>
      <c r="K79" s="312">
        <v>26</v>
      </c>
      <c r="L79" s="309">
        <f>ROUND(I79/H79/Days*G79,0)</f>
        <v>0</v>
      </c>
      <c r="M79" s="166">
        <f>I79</f>
        <v>0</v>
      </c>
      <c r="N79" s="310">
        <f>L79</f>
        <v>0</v>
      </c>
      <c r="O79" s="238"/>
    </row>
    <row r="80" spans="1:254" s="239" customFormat="1" ht="18" customHeight="1" thickBot="1" x14ac:dyDescent="0.3">
      <c r="A80" s="236"/>
      <c r="B80" s="604"/>
      <c r="C80" s="543" t="s">
        <v>346</v>
      </c>
      <c r="D80" s="107"/>
      <c r="E80" s="520" t="s">
        <v>337</v>
      </c>
      <c r="F80" s="290" t="s">
        <v>336</v>
      </c>
      <c r="G80" s="24">
        <v>12</v>
      </c>
      <c r="H80" s="5">
        <f>K80*G80</f>
        <v>11744.039999999999</v>
      </c>
      <c r="I80" s="187"/>
      <c r="J80" s="15"/>
      <c r="K80" s="102">
        <v>978.67</v>
      </c>
      <c r="L80" s="8">
        <f>ROUND(M80/(H80+H81),0)</f>
        <v>0</v>
      </c>
      <c r="M80" s="469">
        <f>I80</f>
        <v>0</v>
      </c>
      <c r="N80" s="470">
        <f>M80/(H80+H81)</f>
        <v>0</v>
      </c>
      <c r="O80" s="238"/>
      <c r="P80" s="519"/>
    </row>
    <row r="81" spans="1:16" s="239" customFormat="1" ht="18" customHeight="1" thickBot="1" x14ac:dyDescent="0.3">
      <c r="A81" s="236"/>
      <c r="B81" s="397" t="s">
        <v>335</v>
      </c>
      <c r="C81" s="482" t="s">
        <v>346</v>
      </c>
      <c r="D81" s="439"/>
      <c r="E81" s="520" t="s">
        <v>347</v>
      </c>
      <c r="F81" s="441" t="s">
        <v>336</v>
      </c>
      <c r="G81" s="385">
        <v>12</v>
      </c>
      <c r="H81" s="5">
        <f t="shared" ref="H81" si="4">G81*K81</f>
        <v>2820</v>
      </c>
      <c r="I81" s="254"/>
      <c r="J81" s="15"/>
      <c r="K81" s="102">
        <v>235</v>
      </c>
      <c r="L81" s="253"/>
      <c r="M81" s="501"/>
      <c r="N81" s="253"/>
      <c r="O81" s="238"/>
      <c r="P81" s="519"/>
    </row>
    <row r="82" spans="1:16" ht="18" customHeight="1" thickBot="1" x14ac:dyDescent="0.35">
      <c r="A82" s="770"/>
      <c r="B82" s="784"/>
      <c r="C82" s="780"/>
      <c r="D82" s="780"/>
      <c r="E82" s="780"/>
      <c r="F82" s="780"/>
      <c r="G82" s="780"/>
      <c r="H82" s="780"/>
      <c r="I82" s="780" t="s">
        <v>322</v>
      </c>
      <c r="J82" s="775"/>
      <c r="K82" s="776"/>
      <c r="L82" s="777"/>
      <c r="M82" s="762">
        <f>SUM(M78:M80)</f>
        <v>0</v>
      </c>
      <c r="N82" s="763"/>
      <c r="O82" s="764">
        <v>0</v>
      </c>
    </row>
    <row r="83" spans="1:16" ht="18" thickBot="1" x14ac:dyDescent="0.35">
      <c r="A83" s="785"/>
      <c r="B83" s="786"/>
      <c r="C83" s="787"/>
      <c r="D83" s="787"/>
      <c r="E83" s="787"/>
      <c r="F83" s="787"/>
      <c r="G83" s="787"/>
      <c r="H83" s="787" t="s">
        <v>148</v>
      </c>
      <c r="I83" s="788"/>
      <c r="J83" s="789"/>
      <c r="K83" s="790"/>
      <c r="L83" s="791"/>
      <c r="M83" s="792">
        <f>M82+M76+M53+M37+M33+M19</f>
        <v>0</v>
      </c>
      <c r="N83" s="793"/>
      <c r="O83" s="255">
        <f>O53+O37+O33+O19</f>
        <v>0</v>
      </c>
      <c r="P83" s="235"/>
    </row>
    <row r="84" spans="1:16" ht="17.399999999999999" x14ac:dyDescent="0.3">
      <c r="A84" s="205"/>
      <c r="B84" s="206"/>
      <c r="C84" s="207"/>
      <c r="D84" s="207"/>
      <c r="E84" s="207"/>
      <c r="F84" s="207"/>
      <c r="G84" s="207" t="s">
        <v>149</v>
      </c>
      <c r="H84" s="207"/>
      <c r="I84" s="208" t="s">
        <v>150</v>
      </c>
      <c r="J84" s="208"/>
      <c r="K84" s="209"/>
      <c r="L84" s="210"/>
      <c r="M84" s="605"/>
      <c r="N84" s="202"/>
      <c r="O84" s="256">
        <f>ROUND(M84*Match,0)</f>
        <v>0</v>
      </c>
    </row>
    <row r="85" spans="1:16" ht="18" thickBot="1" x14ac:dyDescent="0.35">
      <c r="A85" s="211"/>
      <c r="B85" s="212"/>
      <c r="C85" s="213"/>
      <c r="D85" s="213"/>
      <c r="E85" s="213"/>
      <c r="F85" s="213"/>
      <c r="G85" s="213" t="s">
        <v>151</v>
      </c>
      <c r="H85" s="213"/>
      <c r="I85" s="214" t="s">
        <v>152</v>
      </c>
      <c r="J85" s="214"/>
      <c r="K85" s="215"/>
      <c r="L85" s="216"/>
      <c r="M85" s="606"/>
      <c r="N85" s="203"/>
      <c r="O85" s="257">
        <f>ROUND(M85*Match,0)</f>
        <v>0</v>
      </c>
    </row>
    <row r="86" spans="1:16" ht="18" thickBot="1" x14ac:dyDescent="0.35">
      <c r="A86" s="217"/>
      <c r="B86" s="218"/>
      <c r="C86" s="219"/>
      <c r="D86" s="219"/>
      <c r="E86" s="219"/>
      <c r="F86" s="219"/>
      <c r="G86" s="219" t="s">
        <v>153</v>
      </c>
      <c r="H86" s="219"/>
      <c r="I86" s="220"/>
      <c r="K86" s="221"/>
      <c r="L86" s="222"/>
      <c r="M86" s="607"/>
      <c r="N86" s="204"/>
      <c r="O86" s="764">
        <v>0</v>
      </c>
    </row>
    <row r="87" spans="1:16" ht="18" thickBot="1" x14ac:dyDescent="0.35">
      <c r="A87" s="770"/>
      <c r="B87" s="784"/>
      <c r="C87" s="780"/>
      <c r="D87" s="780"/>
      <c r="E87" s="780"/>
      <c r="F87" s="780"/>
      <c r="G87" s="780"/>
      <c r="H87" s="780" t="s">
        <v>194</v>
      </c>
      <c r="I87" s="794"/>
      <c r="J87" s="775"/>
      <c r="K87" s="776"/>
      <c r="L87" s="777"/>
      <c r="M87" s="795">
        <f>SUM(M83:M86)</f>
        <v>0</v>
      </c>
      <c r="N87" s="796"/>
      <c r="O87" s="255">
        <f>O83+O84+O85</f>
        <v>0</v>
      </c>
    </row>
    <row r="88" spans="1:16" x14ac:dyDescent="0.25">
      <c r="A88" s="304" t="s">
        <v>393</v>
      </c>
    </row>
    <row r="89" spans="1:16" hidden="1" x14ac:dyDescent="0.25"/>
    <row r="90" spans="1:16" ht="20.399999999999999" hidden="1" x14ac:dyDescent="0.35">
      <c r="A90" s="270"/>
    </row>
    <row r="91" spans="1:16" hidden="1" x14ac:dyDescent="0.25"/>
    <row r="92" spans="1:16" hidden="1" x14ac:dyDescent="0.25"/>
    <row r="93" spans="1:16" hidden="1" x14ac:dyDescent="0.25"/>
    <row r="94" spans="1:16" hidden="1" x14ac:dyDescent="0.25"/>
    <row r="95" spans="1:16" hidden="1" x14ac:dyDescent="0.25"/>
    <row r="96" spans="1:16" hidden="1" x14ac:dyDescent="0.25"/>
    <row r="97" spans="3:3" hidden="1" x14ac:dyDescent="0.25"/>
    <row r="98" spans="3:3" hidden="1" x14ac:dyDescent="0.25"/>
    <row r="99" spans="3:3" hidden="1" x14ac:dyDescent="0.25"/>
    <row r="100" spans="3:3" hidden="1" x14ac:dyDescent="0.25"/>
    <row r="101" spans="3:3" hidden="1" x14ac:dyDescent="0.25"/>
    <row r="102" spans="3:3" hidden="1" x14ac:dyDescent="0.25"/>
    <row r="103" spans="3:3" hidden="1" x14ac:dyDescent="0.25"/>
    <row r="104" spans="3:3" hidden="1" x14ac:dyDescent="0.25"/>
    <row r="105" spans="3:3" hidden="1" x14ac:dyDescent="0.25"/>
    <row r="106" spans="3:3" hidden="1" x14ac:dyDescent="0.25"/>
    <row r="107" spans="3:3" hidden="1" x14ac:dyDescent="0.25"/>
    <row r="108" spans="3:3" hidden="1" x14ac:dyDescent="0.25"/>
    <row r="109" spans="3:3" hidden="1" x14ac:dyDescent="0.25"/>
    <row r="110" spans="3:3" hidden="1" x14ac:dyDescent="0.25"/>
    <row r="111" spans="3:3" hidden="1" x14ac:dyDescent="0.25"/>
    <row r="112" spans="3:3" hidden="1" x14ac:dyDescent="0.25">
      <c r="C112" s="258" t="s">
        <v>62</v>
      </c>
    </row>
    <row r="113" spans="3:3" hidden="1" x14ac:dyDescent="0.25">
      <c r="C113" s="225">
        <v>1</v>
      </c>
    </row>
    <row r="114" spans="3:3" hidden="1" x14ac:dyDescent="0.25">
      <c r="C114" s="225">
        <v>2</v>
      </c>
    </row>
    <row r="115" spans="3:3" hidden="1" x14ac:dyDescent="0.25">
      <c r="C115" s="225">
        <v>3</v>
      </c>
    </row>
    <row r="116" spans="3:3" hidden="1" x14ac:dyDescent="0.25">
      <c r="C116" s="225">
        <v>4</v>
      </c>
    </row>
    <row r="117" spans="3:3" hidden="1" x14ac:dyDescent="0.25">
      <c r="C117" s="225">
        <v>5</v>
      </c>
    </row>
    <row r="118" spans="3:3" hidden="1" x14ac:dyDescent="0.25">
      <c r="C118" s="225">
        <v>6</v>
      </c>
    </row>
    <row r="119" spans="3:3" ht="15" hidden="1" x14ac:dyDescent="0.25">
      <c r="C119" s="259">
        <v>7</v>
      </c>
    </row>
    <row r="120" spans="3:3" hidden="1" x14ac:dyDescent="0.25">
      <c r="C120" s="260">
        <v>8</v>
      </c>
    </row>
    <row r="121" spans="3:3" hidden="1" x14ac:dyDescent="0.25">
      <c r="C121" s="260">
        <v>9</v>
      </c>
    </row>
    <row r="122" spans="3:3" hidden="1" x14ac:dyDescent="0.25">
      <c r="C122" s="260">
        <v>10</v>
      </c>
    </row>
    <row r="123" spans="3:3" hidden="1" x14ac:dyDescent="0.25">
      <c r="C123" s="260">
        <v>11</v>
      </c>
    </row>
  </sheetData>
  <sheetProtection algorithmName="SHA-512" hashValue="oCbwNNzmVV6x7jRdBQifIhJiFhwCisbOGQThAqmK//CSGiPfAM9Xv75ywSDkDn3qvae3/8ZZj2m2luqa3FmjeA==" saltValue="8JuPFN+Cb8RDjdW/s0htZA==" spinCount="100000" sheet="1" objects="1" scenarios="1" selectLockedCells="1"/>
  <customSheetViews>
    <customSheetView guid="{C6420BFA-ED47-4663-9C57-378E7F6357AD}" scale="85" showPageBreaks="1" printArea="1" topLeftCell="A6">
      <selection activeCell="E24" sqref="E24"/>
      <colBreaks count="1" manualBreakCount="1">
        <brk id="15" max="1048575" man="1"/>
      </colBreaks>
      <pageMargins left="0.25" right="0.25" top="0.25" bottom="0.25" header="0.5" footer="0.5"/>
      <pageSetup paperSize="17" scale="80" orientation="landscape" r:id="rId1"/>
      <headerFooter alignWithMargins="0"/>
    </customSheetView>
    <customSheetView guid="{46DAEA1C-9AA2-41AF-B0D5-8FF77AE3DFC9}" scale="85" topLeftCell="A44">
      <selection activeCell="C53" sqref="C53:C55"/>
      <colBreaks count="1" manualBreakCount="1">
        <brk id="15" max="1048575" man="1"/>
      </colBreaks>
      <pageMargins left="0.25" right="0.25" top="0.25" bottom="0.25" header="0.5" footer="0.5"/>
      <pageSetup paperSize="17" scale="80" orientation="landscape" r:id="rId2"/>
      <headerFooter alignWithMargins="0"/>
    </customSheetView>
    <customSheetView guid="{E1836566-5413-4CEC-8A51-C2FC60CADFC0}" scale="85" showPageBreaks="1" printArea="1" topLeftCell="A44">
      <selection activeCell="C53" sqref="C53:C55"/>
      <colBreaks count="1" manualBreakCount="1">
        <brk id="15" max="1048575" man="1"/>
      </colBreaks>
      <pageMargins left="0.25" right="0.25" top="0.25" bottom="0.25" header="0.5" footer="0.5"/>
      <pageSetup paperSize="17" scale="80" orientation="landscape" r:id="rId3"/>
      <headerFooter alignWithMargins="0"/>
    </customSheetView>
  </customSheetViews>
  <phoneticPr fontId="6" type="noConversion"/>
  <dataValidations count="3">
    <dataValidation type="list" allowBlank="1" showInputMessage="1" showErrorMessage="1" sqref="M5 M3">
      <formula1>$E$204:$E$212</formula1>
    </dataValidation>
    <dataValidation type="list" allowBlank="1" showInputMessage="1" showErrorMessage="1" sqref="G4:G6">
      <formula1>#REF!</formula1>
    </dataValidation>
    <dataValidation type="list" allowBlank="1" showInputMessage="1" showErrorMessage="1" sqref="M2">
      <formula1>$C$111:$C$123</formula1>
    </dataValidation>
  </dataValidations>
  <pageMargins left="0.25" right="0.25" top="0.25" bottom="0.25" header="0.5" footer="0.5"/>
  <pageSetup paperSize="17" scale="53" orientation="landscape" r:id="rId4"/>
  <headerFooter alignWithMargins="0"/>
  <rowBreaks count="1" manualBreakCount="1">
    <brk id="82" max="14" man="1"/>
  </rowBreaks>
  <colBreaks count="1" manualBreakCount="1">
    <brk id="15" max="1048575" man="1"/>
  </colBreaks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117"/>
  <sheetViews>
    <sheetView zoomScaleNormal="100" workbookViewId="0">
      <selection activeCell="E2" sqref="E2"/>
    </sheetView>
  </sheetViews>
  <sheetFormatPr defaultColWidth="0" defaultRowHeight="13.2" zeroHeight="1" x14ac:dyDescent="0.25"/>
  <cols>
    <col min="1" max="1" width="15.88671875" style="1" customWidth="1"/>
    <col min="2" max="2" width="16.6640625" style="1" bestFit="1" customWidth="1"/>
    <col min="3" max="3" width="13.44140625" style="1" customWidth="1"/>
    <col min="4" max="4" width="3.109375" style="1" customWidth="1"/>
    <col min="5" max="5" width="61.6640625" style="1" customWidth="1"/>
    <col min="6" max="6" width="10.5546875" style="1" customWidth="1"/>
    <col min="7" max="8" width="9.109375" style="1" customWidth="1"/>
    <col min="9" max="9" width="19.44140625" style="1" customWidth="1"/>
    <col min="10" max="12" width="9.109375" style="1" customWidth="1"/>
    <col min="13" max="13" width="14.5546875" style="1" customWidth="1"/>
    <col min="14" max="14" width="9.109375" style="1" customWidth="1"/>
    <col min="15" max="15" width="11.109375" style="1" customWidth="1"/>
    <col min="16" max="16" width="9.109375" style="1" customWidth="1"/>
    <col min="17" max="24" width="9.109375" style="1" hidden="1" customWidth="1"/>
    <col min="25" max="254" width="0" style="1" hidden="1" customWidth="1"/>
    <col min="255" max="16384" width="9.109375" style="1" hidden="1"/>
  </cols>
  <sheetData>
    <row r="1" spans="1:252" s="247" customFormat="1" ht="18" x14ac:dyDescent="0.35">
      <c r="A1" s="887" t="s">
        <v>64</v>
      </c>
      <c r="B1" s="608"/>
      <c r="C1" s="507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09"/>
      <c r="O1" s="893" t="s">
        <v>395</v>
      </c>
    </row>
    <row r="2" spans="1:252" s="247" customFormat="1" ht="18.600000000000001" thickBot="1" x14ac:dyDescent="0.4">
      <c r="B2" s="610"/>
      <c r="C2" s="890"/>
      <c r="D2" s="509" t="s">
        <v>44</v>
      </c>
      <c r="E2" s="878"/>
      <c r="F2" s="515"/>
      <c r="G2" s="511"/>
      <c r="H2" s="509" t="s">
        <v>78</v>
      </c>
      <c r="I2" s="368"/>
      <c r="J2" s="510"/>
      <c r="K2" s="511"/>
      <c r="L2" s="512" t="s">
        <v>40</v>
      </c>
      <c r="M2" s="369"/>
      <c r="N2" s="609"/>
    </row>
    <row r="3" spans="1:252" s="247" customFormat="1" ht="18" x14ac:dyDescent="0.35">
      <c r="C3" s="508"/>
      <c r="D3" s="508"/>
      <c r="E3" s="516"/>
      <c r="F3" s="515"/>
      <c r="G3" s="511"/>
      <c r="H3" s="509" t="s">
        <v>79</v>
      </c>
      <c r="I3" s="368"/>
      <c r="J3" s="510"/>
      <c r="K3" s="511"/>
      <c r="L3" s="513"/>
      <c r="M3" s="514"/>
      <c r="N3" s="609"/>
      <c r="O3" s="611"/>
      <c r="AN3" s="247" t="s">
        <v>62</v>
      </c>
    </row>
    <row r="4" spans="1:252" s="247" customFormat="1" ht="18.600000000000001" thickBot="1" x14ac:dyDescent="0.4">
      <c r="C4" s="508"/>
      <c r="D4" s="508"/>
      <c r="E4" s="516"/>
      <c r="F4" s="515"/>
      <c r="G4" s="516"/>
      <c r="H4" s="515"/>
      <c r="I4" s="516"/>
      <c r="J4" s="510"/>
      <c r="K4" s="511"/>
      <c r="L4" s="512" t="s">
        <v>67</v>
      </c>
      <c r="M4" s="370">
        <v>0</v>
      </c>
      <c r="N4" s="609"/>
      <c r="O4" s="611"/>
      <c r="AN4" s="247">
        <v>1</v>
      </c>
    </row>
    <row r="5" spans="1:252" s="247" customFormat="1" ht="9" customHeight="1" thickBot="1" x14ac:dyDescent="0.4">
      <c r="C5" s="508"/>
      <c r="D5" s="508"/>
      <c r="E5" s="516"/>
      <c r="F5" s="515"/>
      <c r="G5" s="516"/>
      <c r="H5" s="515"/>
      <c r="I5" s="516"/>
      <c r="J5" s="660"/>
      <c r="K5" s="660"/>
      <c r="L5" s="660"/>
      <c r="M5" s="660"/>
      <c r="N5" s="609"/>
    </row>
    <row r="6" spans="1:252" ht="17.25" customHeight="1" thickBot="1" x14ac:dyDescent="0.35">
      <c r="C6" s="660"/>
      <c r="D6" s="660"/>
      <c r="E6" s="660"/>
      <c r="F6" s="511"/>
      <c r="G6" s="660"/>
      <c r="H6" s="511"/>
      <c r="I6" s="660"/>
      <c r="J6" s="660"/>
      <c r="K6" s="660"/>
      <c r="L6" s="512" t="s">
        <v>140</v>
      </c>
      <c r="M6" s="879">
        <f>I3-I2+1</f>
        <v>1</v>
      </c>
      <c r="N6" s="304">
        <f>ROUND(M6/30,0)</f>
        <v>0</v>
      </c>
      <c r="AN6" s="225">
        <v>3</v>
      </c>
    </row>
    <row r="7" spans="1:252" ht="14.4" thickBot="1" x14ac:dyDescent="0.35">
      <c r="E7" s="232"/>
      <c r="F7" s="225"/>
      <c r="H7" s="225"/>
      <c r="I7" s="457" t="s">
        <v>135</v>
      </c>
      <c r="J7" s="458"/>
      <c r="K7" s="460"/>
      <c r="L7" s="461" t="s">
        <v>339</v>
      </c>
      <c r="M7" s="462"/>
      <c r="N7" s="223"/>
      <c r="O7" s="234"/>
      <c r="AN7" s="225">
        <v>4</v>
      </c>
    </row>
    <row r="8" spans="1:252" ht="39" customHeight="1" thickBot="1" x14ac:dyDescent="0.3">
      <c r="A8" s="732" t="s">
        <v>81</v>
      </c>
      <c r="B8" s="733" t="s">
        <v>82</v>
      </c>
      <c r="C8" s="737" t="s">
        <v>29</v>
      </c>
      <c r="D8" s="755" t="s">
        <v>344</v>
      </c>
      <c r="E8" s="736" t="s">
        <v>345</v>
      </c>
      <c r="F8" s="737" t="s">
        <v>272</v>
      </c>
      <c r="G8" s="737" t="s">
        <v>6</v>
      </c>
      <c r="H8" s="734" t="s">
        <v>36</v>
      </c>
      <c r="I8" s="177" t="s">
        <v>63</v>
      </c>
      <c r="J8" s="756" t="s">
        <v>28</v>
      </c>
      <c r="K8" s="670" t="s">
        <v>37</v>
      </c>
      <c r="L8" s="671" t="s">
        <v>38</v>
      </c>
      <c r="M8" s="672" t="s">
        <v>39</v>
      </c>
      <c r="N8" s="670" t="s">
        <v>65</v>
      </c>
      <c r="O8" s="813" t="s">
        <v>66</v>
      </c>
      <c r="AN8" s="1">
        <v>5</v>
      </c>
    </row>
    <row r="9" spans="1:252" ht="17.25" customHeight="1" thickBot="1" x14ac:dyDescent="0.35">
      <c r="A9" s="704"/>
      <c r="B9" s="450"/>
      <c r="C9" s="450"/>
      <c r="D9" s="450"/>
      <c r="E9" s="705" t="s">
        <v>381</v>
      </c>
      <c r="F9" s="450"/>
      <c r="G9" s="450"/>
      <c r="H9" s="662"/>
      <c r="I9" s="630"/>
      <c r="J9" s="630"/>
      <c r="K9" s="630"/>
      <c r="L9" s="630"/>
      <c r="M9" s="630"/>
      <c r="N9" s="688"/>
      <c r="O9" s="689"/>
    </row>
    <row r="10" spans="1:252" s="235" customFormat="1" ht="16.5" customHeight="1" thickBot="1" x14ac:dyDescent="0.3">
      <c r="A10" s="445"/>
      <c r="B10" s="451"/>
      <c r="C10" s="711"/>
      <c r="D10" s="594" t="s">
        <v>87</v>
      </c>
      <c r="E10" s="451"/>
      <c r="F10" s="451"/>
      <c r="G10" s="446"/>
      <c r="H10" s="22">
        <f>ROUND((H11*J11)+(H12*J12),0)</f>
        <v>6716</v>
      </c>
      <c r="I10" s="620"/>
      <c r="J10" s="531">
        <v>0.88</v>
      </c>
      <c r="K10" s="612"/>
      <c r="L10" s="169">
        <f>ROUND(M11/H10*G11/M6,0)</f>
        <v>0</v>
      </c>
      <c r="M10" s="396">
        <f>M11+M15</f>
        <v>0</v>
      </c>
      <c r="N10" s="362">
        <f>L10</f>
        <v>0</v>
      </c>
      <c r="O10" s="5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s="235" customFormat="1" ht="16.5" customHeight="1" x14ac:dyDescent="0.25">
      <c r="A11" s="279" t="s">
        <v>210</v>
      </c>
      <c r="B11" s="279" t="s">
        <v>210</v>
      </c>
      <c r="C11" s="119" t="s">
        <v>74</v>
      </c>
      <c r="D11" s="443"/>
      <c r="E11" s="709" t="s">
        <v>309</v>
      </c>
      <c r="F11" s="290" t="s">
        <v>233</v>
      </c>
      <c r="G11" s="826">
        <v>365</v>
      </c>
      <c r="H11" s="614">
        <f t="shared" ref="H11:H12" si="0">G11*K11</f>
        <v>9490</v>
      </c>
      <c r="I11" s="31"/>
      <c r="J11" s="409">
        <v>0.05</v>
      </c>
      <c r="K11" s="168">
        <v>26</v>
      </c>
      <c r="L11" s="33"/>
      <c r="M11" s="529">
        <f>ROUND((I10*J10)-I13,0)</f>
        <v>0</v>
      </c>
      <c r="N11" s="114"/>
      <c r="O11" s="5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235" customFormat="1" ht="16.5" customHeight="1" thickBot="1" x14ac:dyDescent="0.3">
      <c r="A12" s="279" t="s">
        <v>311</v>
      </c>
      <c r="B12" s="279" t="s">
        <v>311</v>
      </c>
      <c r="C12" s="119" t="s">
        <v>74</v>
      </c>
      <c r="D12" s="84"/>
      <c r="E12" s="613" t="s">
        <v>310</v>
      </c>
      <c r="F12" s="273" t="s">
        <v>233</v>
      </c>
      <c r="G12" s="143">
        <v>365</v>
      </c>
      <c r="H12" s="614">
        <f t="shared" si="0"/>
        <v>6570</v>
      </c>
      <c r="I12" s="31"/>
      <c r="J12" s="409">
        <v>0.95</v>
      </c>
      <c r="K12" s="494">
        <v>18</v>
      </c>
      <c r="L12" s="33"/>
      <c r="M12" s="115"/>
      <c r="N12" s="114"/>
      <c r="O12" s="5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s="239" customFormat="1" ht="13.5" customHeight="1" thickBot="1" x14ac:dyDescent="0.3">
      <c r="A13" s="397" t="s">
        <v>362</v>
      </c>
      <c r="B13" s="397" t="s">
        <v>362</v>
      </c>
      <c r="C13" s="119" t="s">
        <v>74</v>
      </c>
      <c r="D13" s="107"/>
      <c r="E13" s="520" t="s">
        <v>337</v>
      </c>
      <c r="F13" s="290" t="s">
        <v>336</v>
      </c>
      <c r="G13" s="410">
        <v>12</v>
      </c>
      <c r="H13" s="5">
        <f>K13*G13</f>
        <v>11744.039999999999</v>
      </c>
      <c r="I13" s="307"/>
      <c r="J13" s="15"/>
      <c r="K13" s="102">
        <v>978.67</v>
      </c>
      <c r="L13" s="496">
        <f>ROUND(M13/(H13+H14),0)</f>
        <v>0</v>
      </c>
      <c r="M13" s="469">
        <f>I13</f>
        <v>0</v>
      </c>
      <c r="N13" s="470">
        <f>L13</f>
        <v>0</v>
      </c>
      <c r="O13" s="238"/>
    </row>
    <row r="14" spans="1:252" s="239" customFormat="1" ht="13.5" customHeight="1" x14ac:dyDescent="0.25">
      <c r="A14" s="397" t="s">
        <v>363</v>
      </c>
      <c r="B14" s="397" t="s">
        <v>363</v>
      </c>
      <c r="C14" s="119" t="s">
        <v>74</v>
      </c>
      <c r="D14" s="439"/>
      <c r="E14" s="520" t="s">
        <v>347</v>
      </c>
      <c r="F14" s="441" t="s">
        <v>336</v>
      </c>
      <c r="G14" s="410">
        <v>12</v>
      </c>
      <c r="H14" s="5">
        <f t="shared" ref="H14" si="1">G14*K14</f>
        <v>2820</v>
      </c>
      <c r="I14" s="615"/>
      <c r="J14" s="15"/>
      <c r="K14" s="495">
        <v>235</v>
      </c>
      <c r="L14" s="253"/>
      <c r="M14" s="253"/>
      <c r="N14" s="253"/>
      <c r="O14" s="238"/>
    </row>
    <row r="15" spans="1:252" s="239" customFormat="1" ht="16.5" customHeight="1" x14ac:dyDescent="0.25">
      <c r="A15" s="275" t="s">
        <v>201</v>
      </c>
      <c r="B15" s="275" t="s">
        <v>201</v>
      </c>
      <c r="C15" s="118" t="s">
        <v>74</v>
      </c>
      <c r="D15" s="84"/>
      <c r="E15" s="825" t="s">
        <v>92</v>
      </c>
      <c r="F15" s="827" t="s">
        <v>222</v>
      </c>
      <c r="G15" s="410">
        <v>1</v>
      </c>
      <c r="H15" s="71">
        <v>40.270000000000003</v>
      </c>
      <c r="I15" s="31"/>
      <c r="J15" s="103">
        <v>0.05</v>
      </c>
      <c r="K15" s="102">
        <f t="shared" ref="K15:K20" si="2">H15</f>
        <v>40.270000000000003</v>
      </c>
      <c r="L15" s="33"/>
      <c r="M15" s="161">
        <f>ROUND(I10*J15,0)</f>
        <v>0</v>
      </c>
      <c r="N15" s="99"/>
      <c r="O15" s="23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s="239" customFormat="1" ht="16.5" customHeight="1" x14ac:dyDescent="0.25">
      <c r="A16" s="482" t="s">
        <v>205</v>
      </c>
      <c r="B16" s="482" t="s">
        <v>205</v>
      </c>
      <c r="C16" s="120" t="s">
        <v>74</v>
      </c>
      <c r="D16" s="107"/>
      <c r="E16" s="404" t="s">
        <v>55</v>
      </c>
      <c r="F16" s="290" t="s">
        <v>141</v>
      </c>
      <c r="G16" s="143">
        <v>1</v>
      </c>
      <c r="H16" s="116">
        <v>11.84</v>
      </c>
      <c r="I16" s="31"/>
      <c r="J16" s="77"/>
      <c r="K16" s="102">
        <f t="shared" si="2"/>
        <v>11.84</v>
      </c>
      <c r="L16" s="78"/>
      <c r="M16" s="254"/>
      <c r="N16" s="99"/>
      <c r="O16" s="23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s="239" customFormat="1" ht="16.5" customHeight="1" x14ac:dyDescent="0.25">
      <c r="A17" s="546" t="s">
        <v>206</v>
      </c>
      <c r="B17" s="546" t="s">
        <v>206</v>
      </c>
      <c r="C17" s="118" t="s">
        <v>74</v>
      </c>
      <c r="D17" s="27"/>
      <c r="E17" s="400" t="s">
        <v>56</v>
      </c>
      <c r="F17" s="290" t="s">
        <v>141</v>
      </c>
      <c r="G17" s="143">
        <v>1</v>
      </c>
      <c r="H17" s="72">
        <v>16.350000000000001</v>
      </c>
      <c r="I17" s="31"/>
      <c r="J17" s="76"/>
      <c r="K17" s="102">
        <f t="shared" si="2"/>
        <v>16.350000000000001</v>
      </c>
      <c r="L17" s="33"/>
      <c r="M17" s="34"/>
      <c r="N17" s="99"/>
      <c r="O17" s="23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s="239" customFormat="1" ht="16.5" customHeight="1" x14ac:dyDescent="0.25">
      <c r="A18" s="543" t="s">
        <v>208</v>
      </c>
      <c r="B18" s="543" t="s">
        <v>208</v>
      </c>
      <c r="C18" s="118" t="s">
        <v>74</v>
      </c>
      <c r="D18" s="27"/>
      <c r="E18" s="400" t="s">
        <v>57</v>
      </c>
      <c r="F18" s="290" t="s">
        <v>141</v>
      </c>
      <c r="G18" s="143">
        <v>1</v>
      </c>
      <c r="H18" s="72">
        <v>27.6</v>
      </c>
      <c r="I18" s="31"/>
      <c r="J18" s="76"/>
      <c r="K18" s="102">
        <f t="shared" si="2"/>
        <v>27.6</v>
      </c>
      <c r="L18" s="33"/>
      <c r="M18" s="34"/>
      <c r="N18" s="99"/>
      <c r="O18" s="23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s="239" customFormat="1" ht="16.5" customHeight="1" x14ac:dyDescent="0.25">
      <c r="A19" s="482" t="s">
        <v>207</v>
      </c>
      <c r="B19" s="482" t="s">
        <v>207</v>
      </c>
      <c r="C19" s="119" t="s">
        <v>74</v>
      </c>
      <c r="D19" s="30"/>
      <c r="E19" s="405" t="s">
        <v>58</v>
      </c>
      <c r="F19" s="290" t="s">
        <v>141</v>
      </c>
      <c r="G19" s="410">
        <v>1</v>
      </c>
      <c r="H19" s="71">
        <v>10.18</v>
      </c>
      <c r="I19" s="31"/>
      <c r="J19" s="76"/>
      <c r="K19" s="102">
        <f t="shared" si="2"/>
        <v>10.18</v>
      </c>
      <c r="L19" s="33"/>
      <c r="M19" s="34"/>
      <c r="N19" s="99"/>
      <c r="O19" s="23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s="239" customFormat="1" ht="16.5" customHeight="1" x14ac:dyDescent="0.25">
      <c r="A20" s="543" t="s">
        <v>204</v>
      </c>
      <c r="B20" s="543" t="s">
        <v>204</v>
      </c>
      <c r="C20" s="119" t="s">
        <v>74</v>
      </c>
      <c r="D20" s="84"/>
      <c r="E20" s="406" t="s">
        <v>59</v>
      </c>
      <c r="F20" s="273" t="s">
        <v>141</v>
      </c>
      <c r="G20" s="143">
        <v>1</v>
      </c>
      <c r="H20" s="71">
        <v>40.21</v>
      </c>
      <c r="I20" s="31"/>
      <c r="J20" s="76"/>
      <c r="K20" s="102">
        <f t="shared" si="2"/>
        <v>40.21</v>
      </c>
      <c r="L20" s="33"/>
      <c r="M20" s="115"/>
      <c r="N20" s="114"/>
      <c r="O20" s="23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s="239" customFormat="1" ht="16.5" customHeight="1" x14ac:dyDescent="0.25">
      <c r="A21" s="279" t="s">
        <v>202</v>
      </c>
      <c r="B21" s="543" t="s">
        <v>202</v>
      </c>
      <c r="C21" s="119" t="s">
        <v>74</v>
      </c>
      <c r="D21" s="27"/>
      <c r="E21" s="400" t="s">
        <v>80</v>
      </c>
      <c r="F21" s="273" t="s">
        <v>141</v>
      </c>
      <c r="G21" s="143">
        <v>1</v>
      </c>
      <c r="H21" s="72">
        <v>40.21</v>
      </c>
      <c r="I21" s="31"/>
      <c r="J21" s="76"/>
      <c r="K21" s="102">
        <v>40.21</v>
      </c>
      <c r="L21" s="33"/>
      <c r="M21" s="115"/>
      <c r="N21" s="114"/>
      <c r="O21" s="23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s="239" customFormat="1" ht="16.5" customHeight="1" x14ac:dyDescent="0.25">
      <c r="A22" s="279" t="s">
        <v>203</v>
      </c>
      <c r="B22" s="543" t="s">
        <v>203</v>
      </c>
      <c r="C22" s="119" t="s">
        <v>74</v>
      </c>
      <c r="D22" s="23"/>
      <c r="E22" s="400" t="s">
        <v>60</v>
      </c>
      <c r="F22" s="273" t="s">
        <v>141</v>
      </c>
      <c r="G22" s="410">
        <v>1</v>
      </c>
      <c r="H22" s="72">
        <v>11.12</v>
      </c>
      <c r="I22" s="31"/>
      <c r="J22" s="76"/>
      <c r="K22" s="102">
        <f>H22</f>
        <v>11.12</v>
      </c>
      <c r="L22" s="33"/>
      <c r="M22" s="115"/>
      <c r="N22" s="114"/>
      <c r="O22" s="23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s="239" customFormat="1" ht="16.5" customHeight="1" x14ac:dyDescent="0.25">
      <c r="A23" s="279" t="s">
        <v>212</v>
      </c>
      <c r="B23" s="543" t="s">
        <v>212</v>
      </c>
      <c r="C23" s="119" t="s">
        <v>74</v>
      </c>
      <c r="D23" s="84"/>
      <c r="E23" s="400" t="s">
        <v>253</v>
      </c>
      <c r="F23" s="273" t="s">
        <v>141</v>
      </c>
      <c r="G23" s="143">
        <v>1</v>
      </c>
      <c r="H23" s="71">
        <v>6.42</v>
      </c>
      <c r="I23" s="31"/>
      <c r="J23" s="76"/>
      <c r="K23" s="102">
        <v>6.42</v>
      </c>
      <c r="L23" s="33"/>
      <c r="M23" s="115"/>
      <c r="N23" s="114"/>
      <c r="O23" s="23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s="239" customFormat="1" ht="16.5" customHeight="1" x14ac:dyDescent="0.25">
      <c r="A24" s="279" t="s">
        <v>211</v>
      </c>
      <c r="B24" s="543" t="s">
        <v>211</v>
      </c>
      <c r="C24" s="119" t="s">
        <v>74</v>
      </c>
      <c r="D24" s="30"/>
      <c r="E24" s="400" t="s">
        <v>254</v>
      </c>
      <c r="F24" s="273" t="s">
        <v>141</v>
      </c>
      <c r="G24" s="149">
        <v>1</v>
      </c>
      <c r="H24" s="116">
        <v>6.42</v>
      </c>
      <c r="I24" s="31"/>
      <c r="J24" s="76"/>
      <c r="K24" s="102">
        <v>6.42</v>
      </c>
      <c r="L24" s="33"/>
      <c r="M24" s="115"/>
      <c r="N24" s="114"/>
      <c r="O24" s="23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s="239" customFormat="1" ht="16.5" customHeight="1" x14ac:dyDescent="0.25">
      <c r="A25" s="279" t="s">
        <v>213</v>
      </c>
      <c r="B25" s="279" t="s">
        <v>213</v>
      </c>
      <c r="C25" s="118" t="s">
        <v>74</v>
      </c>
      <c r="D25" s="84"/>
      <c r="E25" s="117" t="s">
        <v>88</v>
      </c>
      <c r="F25" s="282" t="s">
        <v>141</v>
      </c>
      <c r="G25" s="143">
        <v>1</v>
      </c>
      <c r="H25" s="110">
        <v>9.99</v>
      </c>
      <c r="I25" s="31"/>
      <c r="J25" s="76"/>
      <c r="K25" s="102">
        <v>9.99</v>
      </c>
      <c r="L25" s="33"/>
      <c r="M25" s="34"/>
      <c r="N25" s="99"/>
      <c r="O25" s="23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s="239" customFormat="1" ht="16.5" customHeight="1" x14ac:dyDescent="0.25">
      <c r="A26" s="554" t="s">
        <v>214</v>
      </c>
      <c r="B26" s="554" t="s">
        <v>215</v>
      </c>
      <c r="C26" s="118" t="s">
        <v>74</v>
      </c>
      <c r="D26" s="30"/>
      <c r="E26" s="616" t="s">
        <v>93</v>
      </c>
      <c r="F26" s="273" t="s">
        <v>141</v>
      </c>
      <c r="G26" s="143">
        <v>1</v>
      </c>
      <c r="H26" s="110">
        <v>7.07</v>
      </c>
      <c r="I26" s="31"/>
      <c r="J26" s="76"/>
      <c r="K26" s="102">
        <v>7.07</v>
      </c>
      <c r="L26" s="33"/>
      <c r="M26" s="34"/>
      <c r="N26" s="99"/>
      <c r="O26" s="23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s="239" customFormat="1" ht="16.5" customHeight="1" thickBot="1" x14ac:dyDescent="0.3">
      <c r="A27" s="706" t="s">
        <v>209</v>
      </c>
      <c r="B27" s="706" t="s">
        <v>209</v>
      </c>
      <c r="C27" s="120" t="s">
        <v>74</v>
      </c>
      <c r="D27" s="707"/>
      <c r="E27" s="109" t="s">
        <v>217</v>
      </c>
      <c r="F27" s="827" t="s">
        <v>222</v>
      </c>
      <c r="G27" s="410">
        <v>1</v>
      </c>
      <c r="H27" s="483">
        <v>33.270000000000003</v>
      </c>
      <c r="I27" s="31"/>
      <c r="J27" s="76"/>
      <c r="K27" s="102">
        <f>H27</f>
        <v>33.270000000000003</v>
      </c>
      <c r="L27" s="33"/>
      <c r="M27" s="34"/>
      <c r="N27" s="99"/>
      <c r="O27" s="23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s="239" customFormat="1" ht="16.5" customHeight="1" thickBot="1" x14ac:dyDescent="0.3">
      <c r="A28" s="476"/>
      <c r="B28" s="664"/>
      <c r="C28" s="712"/>
      <c r="D28" s="478" t="s">
        <v>256</v>
      </c>
      <c r="E28" s="713"/>
      <c r="F28" s="479"/>
      <c r="G28" s="480"/>
      <c r="H28" s="632"/>
      <c r="I28" s="15"/>
      <c r="J28" s="392">
        <v>7.0000000000000007E-2</v>
      </c>
      <c r="K28" s="372"/>
      <c r="L28" s="33"/>
      <c r="M28" s="361">
        <f>ROUND(I10*J28,0)</f>
        <v>0</v>
      </c>
      <c r="N28" s="99"/>
      <c r="O28" s="23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s="239" customFormat="1" ht="16.5" customHeight="1" x14ac:dyDescent="0.25">
      <c r="A29" s="269" t="s">
        <v>317</v>
      </c>
      <c r="B29" s="269" t="s">
        <v>317</v>
      </c>
      <c r="C29" s="119" t="s">
        <v>74</v>
      </c>
      <c r="D29" s="443"/>
      <c r="E29" s="404" t="s">
        <v>257</v>
      </c>
      <c r="F29" s="290" t="s">
        <v>141</v>
      </c>
      <c r="G29" s="826">
        <v>7</v>
      </c>
      <c r="H29" s="587">
        <v>391.09</v>
      </c>
      <c r="I29" s="31"/>
      <c r="J29" s="76"/>
      <c r="K29" s="102">
        <v>55.87</v>
      </c>
      <c r="L29" s="33"/>
      <c r="M29" s="34"/>
      <c r="N29" s="99"/>
      <c r="O29" s="23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s="239" customFormat="1" ht="16.5" customHeight="1" x14ac:dyDescent="0.25">
      <c r="A30" s="269" t="s">
        <v>242</v>
      </c>
      <c r="B30" s="269" t="s">
        <v>242</v>
      </c>
      <c r="C30" s="118" t="s">
        <v>74</v>
      </c>
      <c r="D30" s="443"/>
      <c r="E30" s="400" t="s">
        <v>244</v>
      </c>
      <c r="F30" s="273" t="s">
        <v>141</v>
      </c>
      <c r="G30" s="143">
        <v>1</v>
      </c>
      <c r="H30" s="110">
        <v>21.1</v>
      </c>
      <c r="I30" s="31"/>
      <c r="J30" s="76"/>
      <c r="K30" s="102">
        <v>21.1</v>
      </c>
      <c r="L30" s="33"/>
      <c r="M30" s="34"/>
      <c r="N30" s="99"/>
      <c r="O30" s="23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s="239" customFormat="1" ht="16.5" customHeight="1" x14ac:dyDescent="0.25">
      <c r="A31" s="269" t="s">
        <v>243</v>
      </c>
      <c r="B31" s="269" t="s">
        <v>243</v>
      </c>
      <c r="C31" s="118" t="s">
        <v>74</v>
      </c>
      <c r="D31" s="443"/>
      <c r="E31" s="400" t="s">
        <v>245</v>
      </c>
      <c r="F31" s="273" t="s">
        <v>141</v>
      </c>
      <c r="G31" s="143">
        <v>3</v>
      </c>
      <c r="H31" s="110">
        <v>115.94999999999999</v>
      </c>
      <c r="I31" s="31"/>
      <c r="J31" s="76"/>
      <c r="K31" s="102">
        <v>38.65</v>
      </c>
      <c r="L31" s="33"/>
      <c r="M31" s="34"/>
      <c r="N31" s="99"/>
      <c r="O31" s="23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s="239" customFormat="1" ht="16.5" customHeight="1" x14ac:dyDescent="0.25">
      <c r="A32" s="269" t="s">
        <v>318</v>
      </c>
      <c r="B32" s="269" t="s">
        <v>318</v>
      </c>
      <c r="C32" s="118" t="s">
        <v>74</v>
      </c>
      <c r="D32" s="443"/>
      <c r="E32" s="400" t="s">
        <v>251</v>
      </c>
      <c r="F32" s="273" t="s">
        <v>141</v>
      </c>
      <c r="G32" s="143">
        <v>1</v>
      </c>
      <c r="H32" s="110">
        <v>113.91</v>
      </c>
      <c r="I32" s="31"/>
      <c r="J32" s="76"/>
      <c r="K32" s="102">
        <v>113.91</v>
      </c>
      <c r="L32" s="33"/>
      <c r="M32" s="34"/>
      <c r="N32" s="99"/>
      <c r="O32" s="23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s="239" customFormat="1" ht="16.5" customHeight="1" x14ac:dyDescent="0.25">
      <c r="A33" s="269" t="s">
        <v>319</v>
      </c>
      <c r="B33" s="269" t="s">
        <v>319</v>
      </c>
      <c r="C33" s="118" t="s">
        <v>74</v>
      </c>
      <c r="D33" s="443"/>
      <c r="E33" s="400" t="s">
        <v>258</v>
      </c>
      <c r="F33" s="273" t="s">
        <v>141</v>
      </c>
      <c r="G33" s="143">
        <v>1</v>
      </c>
      <c r="H33" s="110">
        <v>44.66</v>
      </c>
      <c r="I33" s="31"/>
      <c r="J33" s="76"/>
      <c r="K33" s="472">
        <v>44.66</v>
      </c>
      <c r="L33" s="33"/>
      <c r="M33" s="34"/>
      <c r="N33" s="99"/>
      <c r="O33" s="23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s="239" customFormat="1" ht="16.5" customHeight="1" thickBot="1" x14ac:dyDescent="0.3">
      <c r="A34" s="268" t="s">
        <v>320</v>
      </c>
      <c r="B34" s="268" t="s">
        <v>320</v>
      </c>
      <c r="C34" s="120" t="s">
        <v>74</v>
      </c>
      <c r="D34" s="30"/>
      <c r="E34" s="456" t="s">
        <v>246</v>
      </c>
      <c r="F34" s="282" t="s">
        <v>141</v>
      </c>
      <c r="G34" s="410">
        <v>1</v>
      </c>
      <c r="H34" s="477">
        <v>60.34</v>
      </c>
      <c r="I34" s="31"/>
      <c r="J34" s="76"/>
      <c r="K34" s="472">
        <v>60.34</v>
      </c>
      <c r="L34" s="33"/>
      <c r="M34" s="34"/>
      <c r="N34" s="99"/>
      <c r="O34" s="23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s="521" customFormat="1" ht="16.5" customHeight="1" thickBot="1" x14ac:dyDescent="0.3">
      <c r="A35" s="732"/>
      <c r="B35" s="741"/>
      <c r="C35" s="741"/>
      <c r="D35" s="741"/>
      <c r="E35" s="741"/>
      <c r="F35" s="741"/>
      <c r="G35" s="741"/>
      <c r="H35" s="741"/>
      <c r="I35" s="741" t="s">
        <v>76</v>
      </c>
      <c r="J35" s="743"/>
      <c r="K35" s="744"/>
      <c r="L35" s="797"/>
      <c r="M35" s="800">
        <f>M28+M13+M10</f>
        <v>0</v>
      </c>
      <c r="N35" s="798"/>
      <c r="O35" s="799"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7.25" customHeight="1" x14ac:dyDescent="0.3">
      <c r="A36" s="704"/>
      <c r="B36" s="450"/>
      <c r="C36" s="450"/>
      <c r="D36" s="450"/>
      <c r="E36" s="708" t="s">
        <v>379</v>
      </c>
      <c r="F36" s="450"/>
      <c r="G36" s="450"/>
      <c r="H36" s="662"/>
      <c r="I36" s="630"/>
      <c r="J36" s="630"/>
      <c r="K36" s="630"/>
      <c r="L36" s="630"/>
      <c r="M36" s="630"/>
      <c r="N36" s="688"/>
      <c r="O36" s="689"/>
    </row>
    <row r="37" spans="1:252" s="239" customFormat="1" ht="16.5" customHeight="1" thickBot="1" x14ac:dyDescent="0.3">
      <c r="A37" s="453"/>
      <c r="B37" s="454"/>
      <c r="C37" s="454"/>
      <c r="D37" s="594" t="s">
        <v>75</v>
      </c>
      <c r="E37" s="448"/>
      <c r="F37" s="454"/>
      <c r="G37" s="455"/>
      <c r="H37" s="22">
        <f>ROUND((H38*J38)+(H39*J39),0)</f>
        <v>6333</v>
      </c>
      <c r="I37" s="187"/>
      <c r="J37" s="408">
        <v>0.88</v>
      </c>
      <c r="K37" s="473"/>
      <c r="L37" s="474">
        <f>ROUND(M38/H37*G12/M6,0)</f>
        <v>0</v>
      </c>
      <c r="M37" s="530">
        <f>ROUND(M38+M42,0)</f>
        <v>0</v>
      </c>
      <c r="N37" s="475">
        <f>L37</f>
        <v>0</v>
      </c>
      <c r="O37" s="23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s="239" customFormat="1" ht="16.5" customHeight="1" x14ac:dyDescent="0.25">
      <c r="A38" s="550" t="s">
        <v>323</v>
      </c>
      <c r="B38" s="550" t="s">
        <v>323</v>
      </c>
      <c r="C38" s="138" t="s">
        <v>143</v>
      </c>
      <c r="D38" s="439"/>
      <c r="E38" s="438" t="s">
        <v>5</v>
      </c>
      <c r="F38" s="138" t="s">
        <v>233</v>
      </c>
      <c r="G38" s="125">
        <v>365</v>
      </c>
      <c r="H38" s="388">
        <f>G38*K38</f>
        <v>6205</v>
      </c>
      <c r="I38" s="31"/>
      <c r="J38" s="409">
        <v>0.95</v>
      </c>
      <c r="K38" s="102">
        <v>17</v>
      </c>
      <c r="L38" s="33"/>
      <c r="M38" s="529">
        <f>ROUND((I37*J37)-I40,0)</f>
        <v>0</v>
      </c>
      <c r="N38" s="114"/>
      <c r="O38" s="23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s="239" customFormat="1" ht="16.5" customHeight="1" x14ac:dyDescent="0.25">
      <c r="A39" s="397" t="s">
        <v>324</v>
      </c>
      <c r="B39" s="397" t="s">
        <v>324</v>
      </c>
      <c r="C39" s="128" t="s">
        <v>143</v>
      </c>
      <c r="D39" s="439"/>
      <c r="E39" s="401" t="s">
        <v>4</v>
      </c>
      <c r="F39" s="128" t="s">
        <v>233</v>
      </c>
      <c r="G39" s="385">
        <v>365</v>
      </c>
      <c r="H39" s="388">
        <f>G39*K39</f>
        <v>8760</v>
      </c>
      <c r="I39" s="31"/>
      <c r="J39" s="409">
        <v>0.05</v>
      </c>
      <c r="K39" s="102">
        <v>24</v>
      </c>
      <c r="L39" s="33"/>
      <c r="M39" s="115"/>
      <c r="N39" s="114"/>
      <c r="O39" s="23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s="239" customFormat="1" ht="13.5" customHeight="1" x14ac:dyDescent="0.25">
      <c r="A40" s="397" t="s">
        <v>351</v>
      </c>
      <c r="B40" s="397" t="s">
        <v>351</v>
      </c>
      <c r="C40" s="128" t="s">
        <v>143</v>
      </c>
      <c r="D40" s="107"/>
      <c r="E40" s="520" t="s">
        <v>337</v>
      </c>
      <c r="F40" s="290" t="s">
        <v>336</v>
      </c>
      <c r="G40" s="24">
        <v>12</v>
      </c>
      <c r="H40" s="5">
        <f>K40*G40</f>
        <v>11744.039999999999</v>
      </c>
      <c r="I40" s="481"/>
      <c r="J40" s="15"/>
      <c r="K40" s="465">
        <v>978.67</v>
      </c>
      <c r="L40" s="8" t="e">
        <f>ROUND(M40/(H40+H41)*G40/N6,0)</f>
        <v>#DIV/0!</v>
      </c>
      <c r="M40" s="469">
        <f>I40</f>
        <v>0</v>
      </c>
      <c r="N40" s="470" t="e">
        <f>L40</f>
        <v>#DIV/0!</v>
      </c>
      <c r="O40" s="238"/>
    </row>
    <row r="41" spans="1:252" s="239" customFormat="1" ht="13.5" customHeight="1" x14ac:dyDescent="0.25">
      <c r="A41" s="397" t="s">
        <v>338</v>
      </c>
      <c r="B41" s="397" t="s">
        <v>338</v>
      </c>
      <c r="C41" s="128" t="s">
        <v>143</v>
      </c>
      <c r="D41" s="439"/>
      <c r="E41" s="520" t="s">
        <v>347</v>
      </c>
      <c r="F41" s="441" t="s">
        <v>336</v>
      </c>
      <c r="G41" s="385">
        <v>12</v>
      </c>
      <c r="H41" s="5">
        <f t="shared" ref="H41" si="3">G41*K41</f>
        <v>2820</v>
      </c>
      <c r="I41" s="254"/>
      <c r="J41" s="15"/>
      <c r="K41" s="168">
        <v>235</v>
      </c>
      <c r="L41" s="253"/>
      <c r="M41" s="618"/>
      <c r="N41" s="253"/>
      <c r="O41" s="238"/>
    </row>
    <row r="42" spans="1:252" s="239" customFormat="1" ht="16.5" customHeight="1" x14ac:dyDescent="0.25">
      <c r="A42" s="601" t="s">
        <v>352</v>
      </c>
      <c r="B42" s="601" t="s">
        <v>352</v>
      </c>
      <c r="C42" s="128" t="s">
        <v>143</v>
      </c>
      <c r="D42" s="569"/>
      <c r="E42" s="249" t="s">
        <v>54</v>
      </c>
      <c r="F42" s="827" t="s">
        <v>222</v>
      </c>
      <c r="G42" s="128">
        <v>1</v>
      </c>
      <c r="H42" s="386">
        <v>40.270000000000003</v>
      </c>
      <c r="I42" s="31"/>
      <c r="J42" s="76">
        <v>0.05</v>
      </c>
      <c r="K42" s="102">
        <f t="shared" ref="K42:K47" si="4">H42</f>
        <v>40.270000000000003</v>
      </c>
      <c r="L42" s="33"/>
      <c r="M42" s="529">
        <f>ROUND(I37*J42,0)</f>
        <v>0</v>
      </c>
      <c r="N42" s="114"/>
      <c r="O42" s="23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s="239" customFormat="1" ht="16.5" customHeight="1" x14ac:dyDescent="0.25">
      <c r="A43" s="551" t="s">
        <v>356</v>
      </c>
      <c r="B43" s="551" t="s">
        <v>356</v>
      </c>
      <c r="C43" s="138" t="s">
        <v>143</v>
      </c>
      <c r="D43" s="439"/>
      <c r="E43" s="390" t="s">
        <v>55</v>
      </c>
      <c r="F43" s="138" t="s">
        <v>139</v>
      </c>
      <c r="G43" s="138">
        <v>1</v>
      </c>
      <c r="H43" s="391">
        <v>11.84</v>
      </c>
      <c r="I43" s="31"/>
      <c r="J43" s="76"/>
      <c r="K43" s="102">
        <f t="shared" si="4"/>
        <v>11.84</v>
      </c>
      <c r="L43" s="33"/>
      <c r="M43" s="115"/>
      <c r="N43" s="114"/>
      <c r="O43" s="23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s="239" customFormat="1" ht="16.5" customHeight="1" x14ac:dyDescent="0.25">
      <c r="A44" s="552" t="s">
        <v>357</v>
      </c>
      <c r="B44" s="552" t="s">
        <v>357</v>
      </c>
      <c r="C44" s="128" t="s">
        <v>143</v>
      </c>
      <c r="D44" s="439"/>
      <c r="E44" s="387" t="s">
        <v>56</v>
      </c>
      <c r="F44" s="128" t="s">
        <v>139</v>
      </c>
      <c r="G44" s="128">
        <v>1</v>
      </c>
      <c r="H44" s="388">
        <v>16.350000000000001</v>
      </c>
      <c r="I44" s="31"/>
      <c r="J44" s="76"/>
      <c r="K44" s="102">
        <f t="shared" si="4"/>
        <v>16.350000000000001</v>
      </c>
      <c r="L44" s="33"/>
      <c r="M44" s="115"/>
      <c r="N44" s="114"/>
      <c r="O44" s="23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s="239" customFormat="1" ht="16.5" customHeight="1" x14ac:dyDescent="0.25">
      <c r="A45" s="551" t="s">
        <v>359</v>
      </c>
      <c r="B45" s="551" t="s">
        <v>359</v>
      </c>
      <c r="C45" s="128" t="s">
        <v>143</v>
      </c>
      <c r="D45" s="439"/>
      <c r="E45" s="387" t="s">
        <v>57</v>
      </c>
      <c r="F45" s="128" t="s">
        <v>139</v>
      </c>
      <c r="G45" s="128">
        <v>1</v>
      </c>
      <c r="H45" s="388">
        <v>27.6</v>
      </c>
      <c r="I45" s="31"/>
      <c r="J45" s="76"/>
      <c r="K45" s="102">
        <f t="shared" si="4"/>
        <v>27.6</v>
      </c>
      <c r="L45" s="33"/>
      <c r="M45" s="115"/>
      <c r="N45" s="114"/>
      <c r="O45" s="23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s="239" customFormat="1" ht="16.5" customHeight="1" x14ac:dyDescent="0.25">
      <c r="A46" s="552" t="s">
        <v>358</v>
      </c>
      <c r="B46" s="552" t="s">
        <v>358</v>
      </c>
      <c r="C46" s="385" t="s">
        <v>143</v>
      </c>
      <c r="D46" s="823"/>
      <c r="E46" s="389" t="s">
        <v>58</v>
      </c>
      <c r="F46" s="385" t="s">
        <v>139</v>
      </c>
      <c r="G46" s="385">
        <v>1</v>
      </c>
      <c r="H46" s="386">
        <v>10.18</v>
      </c>
      <c r="I46" s="31"/>
      <c r="J46" s="76"/>
      <c r="K46" s="102">
        <f t="shared" si="4"/>
        <v>10.18</v>
      </c>
      <c r="L46" s="33"/>
      <c r="M46" s="115"/>
      <c r="N46" s="114"/>
      <c r="O46" s="23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s="239" customFormat="1" ht="16.5" customHeight="1" x14ac:dyDescent="0.25">
      <c r="A47" s="549" t="s">
        <v>355</v>
      </c>
      <c r="B47" s="549" t="s">
        <v>355</v>
      </c>
      <c r="C47" s="128" t="s">
        <v>143</v>
      </c>
      <c r="D47" s="569"/>
      <c r="E47" s="824" t="s">
        <v>59</v>
      </c>
      <c r="F47" s="128" t="s">
        <v>139</v>
      </c>
      <c r="G47" s="128">
        <v>1</v>
      </c>
      <c r="H47" s="388">
        <v>40.21</v>
      </c>
      <c r="I47" s="31"/>
      <c r="J47" s="76"/>
      <c r="K47" s="102">
        <f t="shared" si="4"/>
        <v>40.21</v>
      </c>
      <c r="L47" s="33"/>
      <c r="M47" s="115"/>
      <c r="N47" s="114"/>
      <c r="O47" s="23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s="239" customFormat="1" ht="16.5" customHeight="1" x14ac:dyDescent="0.25">
      <c r="A48" s="551" t="s">
        <v>353</v>
      </c>
      <c r="B48" s="551" t="s">
        <v>353</v>
      </c>
      <c r="C48" s="128" t="s">
        <v>143</v>
      </c>
      <c r="D48" s="439"/>
      <c r="E48" s="387" t="s">
        <v>80</v>
      </c>
      <c r="F48" s="128" t="s">
        <v>139</v>
      </c>
      <c r="G48" s="128">
        <v>1</v>
      </c>
      <c r="H48" s="388">
        <v>40.21</v>
      </c>
      <c r="I48" s="31"/>
      <c r="J48" s="254"/>
      <c r="K48" s="102">
        <v>40.21</v>
      </c>
      <c r="L48" s="33"/>
      <c r="M48" s="115"/>
      <c r="N48" s="114"/>
      <c r="O48" s="23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s="239" customFormat="1" ht="16.5" customHeight="1" x14ac:dyDescent="0.25">
      <c r="A49" s="551" t="s">
        <v>354</v>
      </c>
      <c r="B49" s="551" t="s">
        <v>354</v>
      </c>
      <c r="C49" s="128" t="s">
        <v>143</v>
      </c>
      <c r="D49" s="439"/>
      <c r="E49" s="387" t="s">
        <v>60</v>
      </c>
      <c r="F49" s="138" t="s">
        <v>139</v>
      </c>
      <c r="G49" s="385">
        <v>1</v>
      </c>
      <c r="H49" s="388">
        <v>11.12</v>
      </c>
      <c r="I49" s="31"/>
      <c r="J49" s="76"/>
      <c r="K49" s="102">
        <f t="shared" ref="K49:K50" si="5">H49</f>
        <v>11.12</v>
      </c>
      <c r="L49" s="33"/>
      <c r="M49" s="115"/>
      <c r="N49" s="114"/>
      <c r="O49" s="23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s="239" customFormat="1" ht="16.5" customHeight="1" x14ac:dyDescent="0.25">
      <c r="A50" s="550" t="s">
        <v>360</v>
      </c>
      <c r="B50" s="550" t="s">
        <v>360</v>
      </c>
      <c r="C50" s="128" t="s">
        <v>143</v>
      </c>
      <c r="D50" s="384"/>
      <c r="E50" s="387" t="s">
        <v>217</v>
      </c>
      <c r="F50" s="827" t="s">
        <v>222</v>
      </c>
      <c r="G50" s="143">
        <v>1</v>
      </c>
      <c r="H50" s="388">
        <v>33.270000000000003</v>
      </c>
      <c r="I50" s="31"/>
      <c r="J50" s="76"/>
      <c r="K50" s="102">
        <f t="shared" si="5"/>
        <v>33.270000000000003</v>
      </c>
      <c r="L50" s="33"/>
      <c r="M50" s="115"/>
      <c r="N50" s="114"/>
      <c r="O50" s="23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s="239" customFormat="1" ht="16.5" customHeight="1" x14ac:dyDescent="0.25">
      <c r="A51" s="553" t="s">
        <v>361</v>
      </c>
      <c r="B51" s="553" t="s">
        <v>361</v>
      </c>
      <c r="C51" s="128" t="s">
        <v>143</v>
      </c>
      <c r="D51" s="384"/>
      <c r="E51" s="603" t="s">
        <v>93</v>
      </c>
      <c r="F51" s="128" t="s">
        <v>139</v>
      </c>
      <c r="G51" s="125">
        <v>1</v>
      </c>
      <c r="H51" s="386">
        <v>7.07</v>
      </c>
      <c r="I51" s="31"/>
      <c r="J51" s="76"/>
      <c r="K51" s="102">
        <v>7.07</v>
      </c>
      <c r="L51" s="33"/>
      <c r="M51" s="115"/>
      <c r="N51" s="114"/>
      <c r="O51" s="23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s="239" customFormat="1" ht="16.5" customHeight="1" thickBot="1" x14ac:dyDescent="0.3">
      <c r="A52" s="706" t="s">
        <v>352</v>
      </c>
      <c r="B52" s="706" t="s">
        <v>352</v>
      </c>
      <c r="C52" s="120" t="s">
        <v>74</v>
      </c>
      <c r="D52" s="23"/>
      <c r="E52" s="109" t="s">
        <v>217</v>
      </c>
      <c r="F52" s="827" t="s">
        <v>222</v>
      </c>
      <c r="G52" s="410">
        <v>1</v>
      </c>
      <c r="H52" s="483">
        <v>33.270000000000003</v>
      </c>
      <c r="I52" s="31"/>
      <c r="J52" s="76"/>
      <c r="K52" s="102">
        <f>H52</f>
        <v>33.270000000000003</v>
      </c>
      <c r="L52" s="33"/>
      <c r="M52" s="34"/>
      <c r="N52" s="99"/>
      <c r="O52" s="23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s="239" customFormat="1" ht="16.5" customHeight="1" thickBot="1" x14ac:dyDescent="0.3">
      <c r="A53" s="453"/>
      <c r="B53" s="454"/>
      <c r="C53" s="454"/>
      <c r="D53" s="449" t="s">
        <v>256</v>
      </c>
      <c r="E53" s="619"/>
      <c r="F53" s="580" t="s">
        <v>141</v>
      </c>
      <c r="G53" s="454"/>
      <c r="H53" s="581"/>
      <c r="I53" s="15"/>
      <c r="J53" s="392">
        <v>7.0000000000000007E-2</v>
      </c>
      <c r="K53" s="372"/>
      <c r="L53" s="33"/>
      <c r="M53" s="361">
        <f>ROUND(I37*J53,0)</f>
        <v>0</v>
      </c>
      <c r="N53" s="99"/>
      <c r="O53" s="23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s="239" customFormat="1" ht="16.5" customHeight="1" x14ac:dyDescent="0.25">
      <c r="A54" s="710" t="s">
        <v>325</v>
      </c>
      <c r="B54" s="710" t="s">
        <v>325</v>
      </c>
      <c r="C54" s="138" t="s">
        <v>143</v>
      </c>
      <c r="D54" s="439"/>
      <c r="E54" s="404" t="s">
        <v>257</v>
      </c>
      <c r="F54" s="290" t="s">
        <v>141</v>
      </c>
      <c r="G54" s="826">
        <v>1</v>
      </c>
      <c r="H54" s="587">
        <v>391.09</v>
      </c>
      <c r="I54" s="31"/>
      <c r="J54" s="371"/>
      <c r="K54" s="102">
        <v>55.87</v>
      </c>
      <c r="L54" s="33"/>
      <c r="M54" s="34"/>
      <c r="N54" s="99"/>
      <c r="O54" s="23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s="239" customFormat="1" ht="16.5" customHeight="1" x14ac:dyDescent="0.25">
      <c r="A55" s="602" t="s">
        <v>326</v>
      </c>
      <c r="B55" s="602" t="s">
        <v>326</v>
      </c>
      <c r="C55" s="128" t="s">
        <v>143</v>
      </c>
      <c r="D55" s="439"/>
      <c r="E55" s="400" t="s">
        <v>244</v>
      </c>
      <c r="F55" s="273" t="s">
        <v>141</v>
      </c>
      <c r="G55" s="143">
        <v>1</v>
      </c>
      <c r="H55" s="110">
        <v>21.1</v>
      </c>
      <c r="I55" s="31"/>
      <c r="J55" s="76"/>
      <c r="K55" s="102">
        <v>21.1</v>
      </c>
      <c r="L55" s="33"/>
      <c r="M55" s="34"/>
      <c r="N55" s="99"/>
      <c r="O55" s="23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s="239" customFormat="1" ht="16.5" customHeight="1" x14ac:dyDescent="0.25">
      <c r="A56" s="602" t="s">
        <v>327</v>
      </c>
      <c r="B56" s="602" t="s">
        <v>327</v>
      </c>
      <c r="C56" s="128" t="s">
        <v>143</v>
      </c>
      <c r="D56" s="439"/>
      <c r="E56" s="400" t="s">
        <v>245</v>
      </c>
      <c r="F56" s="273" t="s">
        <v>141</v>
      </c>
      <c r="G56" s="143">
        <v>1</v>
      </c>
      <c r="H56" s="110">
        <v>115.94999999999999</v>
      </c>
      <c r="I56" s="31"/>
      <c r="J56" s="76"/>
      <c r="K56" s="102">
        <v>38.65</v>
      </c>
      <c r="L56" s="33"/>
      <c r="M56" s="34"/>
      <c r="N56" s="99"/>
      <c r="O56" s="238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s="239" customFormat="1" ht="16.5" customHeight="1" x14ac:dyDescent="0.25">
      <c r="A57" s="602" t="s">
        <v>328</v>
      </c>
      <c r="B57" s="602" t="s">
        <v>328</v>
      </c>
      <c r="C57" s="128" t="s">
        <v>143</v>
      </c>
      <c r="D57" s="439"/>
      <c r="E57" s="400" t="s">
        <v>251</v>
      </c>
      <c r="F57" s="273" t="s">
        <v>141</v>
      </c>
      <c r="G57" s="143">
        <v>1</v>
      </c>
      <c r="H57" s="110">
        <v>113.91</v>
      </c>
      <c r="I57" s="31"/>
      <c r="J57" s="76"/>
      <c r="K57" s="472">
        <v>113.91</v>
      </c>
      <c r="L57" s="33"/>
      <c r="M57" s="34"/>
      <c r="N57" s="99"/>
      <c r="O57" s="23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s="239" customFormat="1" ht="16.5" customHeight="1" x14ac:dyDescent="0.25">
      <c r="A58" s="602" t="s">
        <v>329</v>
      </c>
      <c r="B58" s="602" t="s">
        <v>329</v>
      </c>
      <c r="C58" s="128" t="s">
        <v>143</v>
      </c>
      <c r="D58" s="439"/>
      <c r="E58" s="400" t="s">
        <v>258</v>
      </c>
      <c r="F58" s="273" t="s">
        <v>141</v>
      </c>
      <c r="G58" s="143">
        <v>1</v>
      </c>
      <c r="H58" s="110">
        <v>44.66</v>
      </c>
      <c r="I58" s="15"/>
      <c r="J58" s="76"/>
      <c r="K58" s="102">
        <v>44.66</v>
      </c>
      <c r="L58" s="33"/>
      <c r="M58" s="34"/>
      <c r="N58" s="99"/>
      <c r="O58" s="25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s="239" customFormat="1" ht="16.5" customHeight="1" thickBot="1" x14ac:dyDescent="0.3">
      <c r="A59" s="602" t="s">
        <v>330</v>
      </c>
      <c r="B59" s="602" t="s">
        <v>330</v>
      </c>
      <c r="C59" s="128" t="s">
        <v>143</v>
      </c>
      <c r="D59" s="384"/>
      <c r="E59" s="400" t="s">
        <v>246</v>
      </c>
      <c r="F59" s="273" t="s">
        <v>141</v>
      </c>
      <c r="G59" s="143">
        <v>1</v>
      </c>
      <c r="H59" s="471">
        <v>60.34</v>
      </c>
      <c r="I59" s="15"/>
      <c r="J59" s="76"/>
      <c r="K59" s="102">
        <v>60.34</v>
      </c>
      <c r="L59" s="33"/>
      <c r="M59" s="34"/>
      <c r="N59" s="99"/>
      <c r="O59" s="25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s="521" customFormat="1" ht="15.6" thickBot="1" x14ac:dyDescent="0.3">
      <c r="A60" s="732"/>
      <c r="B60" s="741"/>
      <c r="C60" s="732"/>
      <c r="D60" s="741"/>
      <c r="E60" s="741"/>
      <c r="F60" s="741"/>
      <c r="G60" s="741"/>
      <c r="H60" s="741"/>
      <c r="I60" s="741" t="s">
        <v>216</v>
      </c>
      <c r="J60" s="743"/>
      <c r="K60" s="744"/>
      <c r="L60" s="745"/>
      <c r="M60" s="801">
        <f>M37+M40+M53</f>
        <v>0</v>
      </c>
      <c r="N60" s="798"/>
      <c r="O60" s="799">
        <v>0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x14ac:dyDescent="0.25"/>
    <row r="62" spans="1:252" x14ac:dyDescent="0.25"/>
    <row r="63" spans="1:252" x14ac:dyDescent="0.25"/>
    <row r="64" spans="1:25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3:3" hidden="1" x14ac:dyDescent="0.25"/>
    <row r="98" spans="3:3" hidden="1" x14ac:dyDescent="0.25"/>
    <row r="99" spans="3:3" hidden="1" x14ac:dyDescent="0.25"/>
    <row r="100" spans="3:3" hidden="1" x14ac:dyDescent="0.25"/>
    <row r="101" spans="3:3" hidden="1" x14ac:dyDescent="0.25"/>
    <row r="102" spans="3:3" hidden="1" x14ac:dyDescent="0.25"/>
    <row r="103" spans="3:3" hidden="1" x14ac:dyDescent="0.25"/>
    <row r="104" spans="3:3" hidden="1" x14ac:dyDescent="0.25"/>
    <row r="105" spans="3:3" hidden="1" x14ac:dyDescent="0.25"/>
    <row r="106" spans="3:3" hidden="1" x14ac:dyDescent="0.25">
      <c r="C106" s="1" t="s">
        <v>62</v>
      </c>
    </row>
    <row r="107" spans="3:3" hidden="1" x14ac:dyDescent="0.25">
      <c r="C107" s="1">
        <v>1</v>
      </c>
    </row>
    <row r="108" spans="3:3" hidden="1" x14ac:dyDescent="0.25">
      <c r="C108" s="1">
        <v>2</v>
      </c>
    </row>
    <row r="109" spans="3:3" hidden="1" x14ac:dyDescent="0.25">
      <c r="C109" s="1">
        <v>3</v>
      </c>
    </row>
    <row r="110" spans="3:3" hidden="1" x14ac:dyDescent="0.25">
      <c r="C110" s="1">
        <v>4</v>
      </c>
    </row>
    <row r="111" spans="3:3" hidden="1" x14ac:dyDescent="0.25">
      <c r="C111" s="1">
        <v>5</v>
      </c>
    </row>
    <row r="112" spans="3:3" hidden="1" x14ac:dyDescent="0.25">
      <c r="C112" s="1">
        <v>6</v>
      </c>
    </row>
    <row r="113" spans="3:3" hidden="1" x14ac:dyDescent="0.25">
      <c r="C113" s="1">
        <v>7</v>
      </c>
    </row>
    <row r="114" spans="3:3" hidden="1" x14ac:dyDescent="0.25">
      <c r="C114" s="1">
        <v>8</v>
      </c>
    </row>
    <row r="115" spans="3:3" hidden="1" x14ac:dyDescent="0.25">
      <c r="C115" s="1">
        <v>9</v>
      </c>
    </row>
    <row r="116" spans="3:3" hidden="1" x14ac:dyDescent="0.25">
      <c r="C116" s="1">
        <v>10</v>
      </c>
    </row>
    <row r="117" spans="3:3" hidden="1" x14ac:dyDescent="0.25">
      <c r="C117" s="1">
        <v>11</v>
      </c>
    </row>
  </sheetData>
  <sheetProtection algorithmName="SHA-512" hashValue="Ep5HGY8C2Qc7vMiSrfPAZpfvHwlh49mTwWGcpy8+x323A7GJrvdgz+jMIsNVdADnKzDrqIV9gnn0e1y7cAA06A==" saltValue="KzzFmr5QURDY837fXv6Qfg==" spinCount="100000" sheet="1" objects="1" scenarios="1" selectLockedCells="1"/>
  <customSheetViews>
    <customSheetView guid="{C6420BFA-ED47-4663-9C57-378E7F6357AD}" showPageBreaks="1" fitToPage="1" printArea="1" topLeftCell="A35">
      <selection activeCell="E45" sqref="E45"/>
      <pageMargins left="0.75" right="0.75" top="1" bottom="1" header="0.5" footer="0.5"/>
      <pageSetup scale="56" fitToHeight="0" orientation="landscape" r:id="rId1"/>
      <headerFooter alignWithMargins="0"/>
    </customSheetView>
    <customSheetView guid="{46DAEA1C-9AA2-41AF-B0D5-8FF77AE3DFC9}" fitToPage="1" topLeftCell="A33">
      <selection activeCell="C39" sqref="C39:C41"/>
      <pageMargins left="0.75" right="0.75" top="1" bottom="1" header="0.5" footer="0.5"/>
      <pageSetup scale="56" fitToHeight="0" orientation="landscape" r:id="rId2"/>
      <headerFooter alignWithMargins="0"/>
    </customSheetView>
    <customSheetView guid="{E1836566-5413-4CEC-8A51-C2FC60CADFC0}" showPageBreaks="1" fitToPage="1" printArea="1" topLeftCell="A33">
      <selection activeCell="C39" sqref="C39:C41"/>
      <pageMargins left="0.75" right="0.75" top="1" bottom="1" header="0.5" footer="0.5"/>
      <pageSetup scale="56" fitToHeight="0" orientation="landscape" r:id="rId3"/>
      <headerFooter alignWithMargins="0"/>
    </customSheetView>
  </customSheetViews>
  <phoneticPr fontId="6" type="noConversion"/>
  <dataValidations count="3">
    <dataValidation type="list" allowBlank="1" showInputMessage="1" showErrorMessage="1" sqref="M3">
      <formula1>$E$196:$E$204</formula1>
    </dataValidation>
    <dataValidation type="list" allowBlank="1" showInputMessage="1" showErrorMessage="1" sqref="M2">
      <formula1>$C$105:$C$117</formula1>
    </dataValidation>
    <dataValidation type="list" allowBlank="1" showInputMessage="1" showErrorMessage="1" sqref="G4:G5">
      <formula1>#REF!</formula1>
    </dataValidation>
  </dataValidations>
  <pageMargins left="0.75" right="0.75" top="1" bottom="1" header="0.5" footer="0.5"/>
  <pageSetup scale="56" fitToHeight="0" orientation="landscape" r:id="rId4"/>
  <headerFooter alignWithMargins="0"/>
  <rowBreaks count="1" manualBreakCount="1">
    <brk id="35" max="14" man="1"/>
  </rowBreaks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78"/>
  <sheetViews>
    <sheetView tabSelected="1" topLeftCell="D1" zoomScaleNormal="100" workbookViewId="0">
      <selection activeCell="E5" sqref="E5"/>
    </sheetView>
  </sheetViews>
  <sheetFormatPr defaultColWidth="0" defaultRowHeight="13.2" zeroHeight="1" x14ac:dyDescent="0.25"/>
  <cols>
    <col min="1" max="1" width="17.5546875" style="1" customWidth="1"/>
    <col min="2" max="2" width="18.6640625" style="1" customWidth="1"/>
    <col min="3" max="3" width="12" style="1" customWidth="1"/>
    <col min="4" max="4" width="3.109375" style="1" customWidth="1"/>
    <col min="5" max="5" width="61.109375" style="1" bestFit="1" customWidth="1"/>
    <col min="6" max="6" width="6.44140625" style="1" bestFit="1" customWidth="1"/>
    <col min="7" max="7" width="9.109375" style="1" customWidth="1"/>
    <col min="8" max="8" width="9.88671875" style="1" customWidth="1"/>
    <col min="9" max="9" width="21.44140625" style="1" customWidth="1"/>
    <col min="10" max="10" width="10.6640625" style="1" customWidth="1"/>
    <col min="11" max="12" width="9.109375" style="1" customWidth="1"/>
    <col min="13" max="13" width="21" style="1" customWidth="1"/>
    <col min="14" max="14" width="9.109375" style="1" customWidth="1"/>
    <col min="15" max="15" width="18.33203125" style="1" customWidth="1"/>
    <col min="16" max="16" width="9.109375" style="1" customWidth="1"/>
    <col min="17" max="242" width="9.109375" style="1" hidden="1" customWidth="1"/>
    <col min="243" max="254" width="0" style="1" hidden="1" customWidth="1"/>
    <col min="255" max="16384" width="9.109375" style="1" hidden="1"/>
  </cols>
  <sheetData>
    <row r="1" spans="1:253" ht="32.1" customHeight="1" thickBot="1" x14ac:dyDescent="0.45">
      <c r="A1" s="888" t="s">
        <v>64</v>
      </c>
      <c r="B1" s="861"/>
      <c r="C1" s="864"/>
      <c r="D1" s="864"/>
      <c r="E1" s="864"/>
      <c r="F1" s="865"/>
      <c r="G1" s="865"/>
      <c r="H1" s="865"/>
      <c r="I1" s="865"/>
      <c r="J1" s="865"/>
      <c r="K1" s="865"/>
      <c r="L1" s="865"/>
      <c r="M1" s="865"/>
      <c r="N1" s="223"/>
      <c r="O1" s="893" t="s">
        <v>395</v>
      </c>
    </row>
    <row r="2" spans="1:253" ht="32.1" customHeight="1" thickBot="1" x14ac:dyDescent="0.4">
      <c r="B2" s="891"/>
      <c r="C2" s="892"/>
      <c r="D2" s="862" t="s">
        <v>44</v>
      </c>
      <c r="E2" s="877"/>
      <c r="F2" s="866"/>
      <c r="G2" s="863"/>
      <c r="H2" s="862" t="s">
        <v>78</v>
      </c>
      <c r="I2" s="867"/>
      <c r="J2" s="868"/>
      <c r="K2" s="863"/>
      <c r="L2" s="869" t="s">
        <v>40</v>
      </c>
      <c r="M2" s="870"/>
      <c r="N2" s="223"/>
    </row>
    <row r="3" spans="1:253" ht="32.1" customHeight="1" thickBot="1" x14ac:dyDescent="0.35">
      <c r="C3" s="871"/>
      <c r="D3" s="871"/>
      <c r="E3" s="872"/>
      <c r="F3" s="866"/>
      <c r="G3" s="863"/>
      <c r="H3" s="862" t="s">
        <v>79</v>
      </c>
      <c r="I3" s="873"/>
      <c r="J3" s="868"/>
      <c r="K3" s="863"/>
      <c r="L3" s="874"/>
      <c r="M3" s="875"/>
      <c r="N3" s="223"/>
      <c r="O3" s="122"/>
    </row>
    <row r="4" spans="1:253" ht="32.1" customHeight="1" thickBot="1" x14ac:dyDescent="0.35">
      <c r="C4" s="871"/>
      <c r="D4" s="871"/>
      <c r="E4" s="872"/>
      <c r="F4" s="866"/>
      <c r="G4" s="872"/>
      <c r="H4" s="866"/>
      <c r="I4" s="872"/>
      <c r="J4" s="868"/>
      <c r="K4" s="863"/>
      <c r="L4" s="869" t="s">
        <v>67</v>
      </c>
      <c r="M4" s="876">
        <v>0</v>
      </c>
      <c r="N4" s="223"/>
      <c r="O4" s="122"/>
    </row>
    <row r="5" spans="1:253" ht="15.9" customHeight="1" x14ac:dyDescent="0.3">
      <c r="A5" s="231"/>
      <c r="C5" s="227"/>
      <c r="D5" s="227"/>
      <c r="E5" s="228"/>
      <c r="F5" s="224"/>
      <c r="G5" s="228"/>
      <c r="H5" s="224"/>
      <c r="I5" s="228"/>
      <c r="J5" s="226"/>
      <c r="K5" s="225"/>
      <c r="L5" s="229"/>
      <c r="M5" s="230"/>
      <c r="N5" s="223"/>
      <c r="O5" s="122"/>
    </row>
    <row r="6" spans="1:253" ht="15" customHeight="1" thickBot="1" x14ac:dyDescent="0.35">
      <c r="C6" s="227"/>
      <c r="D6" s="227"/>
      <c r="E6" s="228"/>
      <c r="F6" s="224"/>
      <c r="G6" s="228"/>
      <c r="H6" s="224"/>
      <c r="I6" s="228"/>
      <c r="N6" s="223"/>
    </row>
    <row r="7" spans="1:253" ht="22.5" customHeight="1" thickBot="1" x14ac:dyDescent="0.4">
      <c r="F7" s="225"/>
      <c r="H7" s="225"/>
      <c r="K7" s="247"/>
      <c r="L7" s="261" t="s">
        <v>140</v>
      </c>
      <c r="M7" s="812">
        <f>I3-I2+1</f>
        <v>1</v>
      </c>
      <c r="N7" s="538">
        <f>ROUND(Days/30,0)</f>
        <v>0</v>
      </c>
    </row>
    <row r="8" spans="1:253" ht="32.1" customHeight="1" thickBot="1" x14ac:dyDescent="0.35">
      <c r="E8" s="232"/>
      <c r="F8" s="225"/>
      <c r="H8" s="225"/>
      <c r="I8" s="233" t="s">
        <v>135</v>
      </c>
      <c r="K8" s="460"/>
      <c r="L8" s="463" t="s">
        <v>339</v>
      </c>
      <c r="M8" s="462"/>
      <c r="N8" s="223"/>
      <c r="O8" s="234"/>
    </row>
    <row r="9" spans="1:253" ht="39" customHeight="1" thickBot="1" x14ac:dyDescent="0.35">
      <c r="A9" s="802" t="s">
        <v>81</v>
      </c>
      <c r="B9" s="803" t="s">
        <v>82</v>
      </c>
      <c r="C9" s="804" t="s">
        <v>29</v>
      </c>
      <c r="D9" s="805" t="s">
        <v>35</v>
      </c>
      <c r="E9" s="806"/>
      <c r="F9" s="804" t="s">
        <v>145</v>
      </c>
      <c r="G9" s="807" t="s">
        <v>144</v>
      </c>
      <c r="H9" s="808" t="s">
        <v>36</v>
      </c>
      <c r="I9" s="200" t="s">
        <v>146</v>
      </c>
      <c r="J9" s="740" t="s">
        <v>147</v>
      </c>
      <c r="K9" s="201" t="s">
        <v>37</v>
      </c>
      <c r="L9" s="198" t="s">
        <v>38</v>
      </c>
      <c r="M9" s="199" t="s">
        <v>39</v>
      </c>
      <c r="N9" s="488" t="s">
        <v>65</v>
      </c>
      <c r="O9" s="811" t="s">
        <v>154</v>
      </c>
    </row>
    <row r="10" spans="1:253" ht="18.75" customHeight="1" thickBot="1" x14ac:dyDescent="0.35">
      <c r="A10" s="828"/>
      <c r="B10" s="829"/>
      <c r="C10" s="829"/>
      <c r="D10" s="829"/>
      <c r="E10" s="830" t="s">
        <v>380</v>
      </c>
      <c r="F10" s="829"/>
      <c r="G10" s="829"/>
      <c r="H10" s="691"/>
      <c r="I10" s="630"/>
      <c r="J10" s="630"/>
      <c r="K10" s="630"/>
      <c r="L10" s="630"/>
      <c r="M10" s="630"/>
      <c r="N10" s="688"/>
      <c r="O10" s="689"/>
    </row>
    <row r="11" spans="1:253" s="235" customFormat="1" ht="18.75" customHeight="1" thickBot="1" x14ac:dyDescent="0.35">
      <c r="A11" s="831"/>
      <c r="B11" s="832"/>
      <c r="C11" s="833"/>
      <c r="D11" s="834" t="s">
        <v>75</v>
      </c>
      <c r="E11" s="835"/>
      <c r="F11" s="836"/>
      <c r="G11" s="837"/>
      <c r="H11" s="690">
        <f>ROUND((H13*J13)+(H12*J12),0)</f>
        <v>6333</v>
      </c>
      <c r="I11" s="383"/>
      <c r="J11" s="493">
        <v>0.88</v>
      </c>
      <c r="K11" s="191"/>
      <c r="L11" s="169">
        <f>ROUND(M11/H11*G12/Days,0)</f>
        <v>0</v>
      </c>
      <c r="M11" s="166">
        <f>IF(I14&gt;0,I11-M18-M29-I14,I11-M18-M29)</f>
        <v>0</v>
      </c>
      <c r="N11" s="399">
        <f>L11</f>
        <v>0</v>
      </c>
      <c r="O11" s="3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35" customFormat="1" ht="18.75" customHeight="1" x14ac:dyDescent="0.25">
      <c r="A12" s="271" t="s">
        <v>218</v>
      </c>
      <c r="B12" s="271" t="s">
        <v>218</v>
      </c>
      <c r="C12" s="591" t="s">
        <v>219</v>
      </c>
      <c r="D12" s="280"/>
      <c r="E12" s="277" t="s">
        <v>5</v>
      </c>
      <c r="F12" s="290" t="s">
        <v>233</v>
      </c>
      <c r="G12" s="290">
        <v>365</v>
      </c>
      <c r="H12" s="274">
        <f>G12*K12</f>
        <v>6205</v>
      </c>
      <c r="I12" s="170"/>
      <c r="J12" s="103">
        <v>0.95</v>
      </c>
      <c r="K12" s="300">
        <v>17</v>
      </c>
      <c r="L12" s="188"/>
      <c r="M12" s="189"/>
      <c r="N12" s="190"/>
      <c r="O12" s="5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235" customFormat="1" ht="18.75" customHeight="1" thickBot="1" x14ac:dyDescent="0.3">
      <c r="A13" s="271" t="s">
        <v>315</v>
      </c>
      <c r="B13" s="271" t="s">
        <v>315</v>
      </c>
      <c r="C13" s="272" t="s">
        <v>219</v>
      </c>
      <c r="D13" s="280"/>
      <c r="E13" s="281" t="s">
        <v>4</v>
      </c>
      <c r="F13" s="273" t="s">
        <v>233</v>
      </c>
      <c r="G13" s="273">
        <v>365</v>
      </c>
      <c r="H13" s="274">
        <f t="shared" ref="H13:H17" si="0">G13*K13</f>
        <v>8760</v>
      </c>
      <c r="I13" s="170"/>
      <c r="J13" s="103">
        <v>0.05</v>
      </c>
      <c r="K13" s="381">
        <v>24</v>
      </c>
      <c r="L13" s="197"/>
      <c r="M13" s="161"/>
      <c r="N13" s="382"/>
      <c r="O13" s="5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239" customFormat="1" ht="18.75" customHeight="1" thickBot="1" x14ac:dyDescent="0.3">
      <c r="A14" s="604" t="s">
        <v>364</v>
      </c>
      <c r="B14" s="604" t="s">
        <v>364</v>
      </c>
      <c r="C14" s="272" t="s">
        <v>219</v>
      </c>
      <c r="D14" s="107"/>
      <c r="E14" s="520" t="s">
        <v>337</v>
      </c>
      <c r="F14" s="290" t="s">
        <v>336</v>
      </c>
      <c r="G14" s="24">
        <v>12</v>
      </c>
      <c r="H14" s="5">
        <f>K14*G14</f>
        <v>11744.039999999999</v>
      </c>
      <c r="I14" s="187"/>
      <c r="J14" s="15"/>
      <c r="K14" s="540">
        <v>978.67</v>
      </c>
      <c r="L14" s="535" t="e">
        <f>ROUND(M14/(H14+H15)*G14/N7,0)</f>
        <v>#DIV/0!</v>
      </c>
      <c r="M14" s="536">
        <f>I14</f>
        <v>0</v>
      </c>
      <c r="N14" s="362" t="e">
        <f>L14</f>
        <v>#DIV/0!</v>
      </c>
      <c r="O14" s="238"/>
    </row>
    <row r="15" spans="1:253" s="235" customFormat="1" ht="18.75" customHeight="1" x14ac:dyDescent="0.25">
      <c r="A15" s="397" t="s">
        <v>365</v>
      </c>
      <c r="B15" s="397" t="s">
        <v>365</v>
      </c>
      <c r="C15" s="272" t="s">
        <v>219</v>
      </c>
      <c r="D15" s="439"/>
      <c r="E15" s="520" t="s">
        <v>347</v>
      </c>
      <c r="F15" s="441" t="s">
        <v>336</v>
      </c>
      <c r="G15" s="385">
        <v>12</v>
      </c>
      <c r="H15" s="274">
        <f t="shared" si="0"/>
        <v>2820</v>
      </c>
      <c r="I15" s="170"/>
      <c r="J15" s="76"/>
      <c r="K15" s="465">
        <v>235</v>
      </c>
      <c r="L15" s="197"/>
      <c r="M15" s="161"/>
      <c r="N15" s="382"/>
      <c r="O15" s="5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235" customFormat="1" ht="18.75" customHeight="1" x14ac:dyDescent="0.25">
      <c r="A16" s="271" t="s">
        <v>316</v>
      </c>
      <c r="B16" s="271" t="s">
        <v>316</v>
      </c>
      <c r="C16" s="272" t="s">
        <v>219</v>
      </c>
      <c r="D16" s="280"/>
      <c r="E16" s="284" t="s">
        <v>310</v>
      </c>
      <c r="F16" s="273" t="s">
        <v>233</v>
      </c>
      <c r="G16" s="273">
        <v>365</v>
      </c>
      <c r="H16" s="274">
        <f t="shared" si="0"/>
        <v>6570</v>
      </c>
      <c r="I16" s="170"/>
      <c r="J16" s="76"/>
      <c r="K16" s="484">
        <v>18</v>
      </c>
      <c r="L16" s="197"/>
      <c r="M16" s="161"/>
      <c r="N16" s="382"/>
      <c r="O16" s="5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235" customFormat="1" ht="18.75" customHeight="1" thickBot="1" x14ac:dyDescent="0.3">
      <c r="A17" s="694" t="s">
        <v>220</v>
      </c>
      <c r="B17" s="694" t="s">
        <v>220</v>
      </c>
      <c r="C17" s="500" t="s">
        <v>219</v>
      </c>
      <c r="D17" s="588"/>
      <c r="E17" s="288" t="s">
        <v>252</v>
      </c>
      <c r="F17" s="282" t="s">
        <v>233</v>
      </c>
      <c r="G17" s="589">
        <v>365</v>
      </c>
      <c r="H17" s="274">
        <f t="shared" si="0"/>
        <v>9490</v>
      </c>
      <c r="I17" s="31"/>
      <c r="J17" s="76"/>
      <c r="K17" s="485">
        <v>26</v>
      </c>
      <c r="L17" s="57"/>
      <c r="M17" s="115"/>
      <c r="N17" s="114"/>
      <c r="O17" s="5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235" customFormat="1" ht="18.75" customHeight="1" thickBot="1" x14ac:dyDescent="0.3">
      <c r="A18" s="453"/>
      <c r="B18" s="700"/>
      <c r="C18" s="701"/>
      <c r="D18" s="594" t="s">
        <v>312</v>
      </c>
      <c r="E18" s="451"/>
      <c r="F18" s="451"/>
      <c r="G18" s="446"/>
      <c r="H18" s="402">
        <f>SUM(H19:H28)</f>
        <v>238.12000000000003</v>
      </c>
      <c r="I18" s="15"/>
      <c r="J18" s="486">
        <v>0.05</v>
      </c>
      <c r="K18" s="398"/>
      <c r="L18" s="57"/>
      <c r="M18" s="541">
        <f>ROUND(I11*J18,0)</f>
        <v>0</v>
      </c>
      <c r="N18" s="114"/>
      <c r="O18" s="5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235" customFormat="1" ht="18.75" customHeight="1" x14ac:dyDescent="0.25">
      <c r="A19" s="279" t="s">
        <v>221</v>
      </c>
      <c r="B19" s="279" t="s">
        <v>221</v>
      </c>
      <c r="C19" s="591" t="s">
        <v>219</v>
      </c>
      <c r="D19" s="280"/>
      <c r="E19" s="277" t="s">
        <v>237</v>
      </c>
      <c r="F19" s="290" t="s">
        <v>222</v>
      </c>
      <c r="G19" s="592">
        <v>1</v>
      </c>
      <c r="H19" s="278">
        <v>40.270000000000003</v>
      </c>
      <c r="I19" s="31"/>
      <c r="J19" s="76"/>
      <c r="K19" s="301">
        <v>40.270000000000003</v>
      </c>
      <c r="L19" s="57"/>
      <c r="M19" s="115"/>
      <c r="N19" s="114"/>
      <c r="O19" s="5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239" customFormat="1" ht="18.75" customHeight="1" x14ac:dyDescent="0.25">
      <c r="A20" s="286" t="s">
        <v>226</v>
      </c>
      <c r="B20" s="286" t="s">
        <v>226</v>
      </c>
      <c r="C20" s="272" t="s">
        <v>219</v>
      </c>
      <c r="D20" s="276"/>
      <c r="E20" s="289" t="s">
        <v>236</v>
      </c>
      <c r="F20" s="282" t="s">
        <v>141</v>
      </c>
      <c r="G20" s="290">
        <v>1</v>
      </c>
      <c r="H20" s="291">
        <v>11.84</v>
      </c>
      <c r="I20" s="31"/>
      <c r="J20" s="76"/>
      <c r="K20" s="301">
        <f>H20</f>
        <v>11.84</v>
      </c>
      <c r="L20" s="57"/>
      <c r="M20" s="34"/>
      <c r="N20" s="99"/>
      <c r="O20" s="23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239" customFormat="1" ht="18.75" customHeight="1" x14ac:dyDescent="0.25">
      <c r="A21" s="286" t="s">
        <v>227</v>
      </c>
      <c r="B21" s="286" t="s">
        <v>227</v>
      </c>
      <c r="C21" s="272" t="s">
        <v>219</v>
      </c>
      <c r="D21" s="292"/>
      <c r="E21" s="293" t="s">
        <v>241</v>
      </c>
      <c r="F21" s="282" t="s">
        <v>141</v>
      </c>
      <c r="G21" s="273">
        <v>1</v>
      </c>
      <c r="H21" s="285">
        <v>16.350000000000001</v>
      </c>
      <c r="I21" s="31"/>
      <c r="J21" s="77"/>
      <c r="K21" s="301">
        <f>H21</f>
        <v>16.350000000000001</v>
      </c>
      <c r="L21" s="57"/>
      <c r="M21" s="34"/>
      <c r="N21" s="99"/>
      <c r="O21" s="23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239" customFormat="1" ht="18.75" customHeight="1" x14ac:dyDescent="0.25">
      <c r="A22" s="286" t="s">
        <v>229</v>
      </c>
      <c r="B22" s="286" t="s">
        <v>229</v>
      </c>
      <c r="C22" s="272" t="s">
        <v>219</v>
      </c>
      <c r="D22" s="296"/>
      <c r="E22" s="281" t="s">
        <v>57</v>
      </c>
      <c r="F22" s="282" t="s">
        <v>141</v>
      </c>
      <c r="G22" s="273">
        <v>1</v>
      </c>
      <c r="H22" s="285">
        <v>27.6</v>
      </c>
      <c r="I22" s="31"/>
      <c r="J22" s="76"/>
      <c r="K22" s="302">
        <f>H22</f>
        <v>27.6</v>
      </c>
      <c r="L22" s="57"/>
      <c r="M22" s="115"/>
      <c r="N22" s="114"/>
      <c r="O22" s="23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239" customFormat="1" ht="18.75" customHeight="1" x14ac:dyDescent="0.25">
      <c r="A23" s="286" t="s">
        <v>228</v>
      </c>
      <c r="B23" s="286" t="s">
        <v>228</v>
      </c>
      <c r="C23" s="272" t="s">
        <v>219</v>
      </c>
      <c r="D23" s="276"/>
      <c r="E23" s="289" t="s">
        <v>58</v>
      </c>
      <c r="F23" s="282" t="s">
        <v>141</v>
      </c>
      <c r="G23" s="282">
        <v>1</v>
      </c>
      <c r="H23" s="295">
        <v>10.18</v>
      </c>
      <c r="I23" s="31"/>
      <c r="J23" s="76"/>
      <c r="K23" s="301">
        <f>H23</f>
        <v>10.18</v>
      </c>
      <c r="L23" s="57"/>
      <c r="M23" s="115"/>
      <c r="N23" s="114"/>
      <c r="O23" s="23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239" customFormat="1" ht="18.75" customHeight="1" x14ac:dyDescent="0.25">
      <c r="A24" s="286" t="s">
        <v>225</v>
      </c>
      <c r="B24" s="286" t="s">
        <v>225</v>
      </c>
      <c r="C24" s="272" t="s">
        <v>219</v>
      </c>
      <c r="D24" s="276"/>
      <c r="E24" s="288" t="s">
        <v>240</v>
      </c>
      <c r="F24" s="282" t="s">
        <v>141</v>
      </c>
      <c r="G24" s="273">
        <v>1</v>
      </c>
      <c r="H24" s="283">
        <v>40.21</v>
      </c>
      <c r="I24" s="31"/>
      <c r="J24" s="76"/>
      <c r="K24" s="301">
        <f>H24</f>
        <v>40.21</v>
      </c>
      <c r="L24" s="57"/>
      <c r="M24" s="34"/>
      <c r="N24" s="99"/>
      <c r="O24" s="23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239" customFormat="1" ht="18.75" customHeight="1" x14ac:dyDescent="0.25">
      <c r="A25" s="279" t="s">
        <v>223</v>
      </c>
      <c r="B25" s="279" t="s">
        <v>223</v>
      </c>
      <c r="C25" s="272" t="s">
        <v>219</v>
      </c>
      <c r="D25" s="280"/>
      <c r="E25" s="281" t="s">
        <v>238</v>
      </c>
      <c r="F25" s="282" t="s">
        <v>141</v>
      </c>
      <c r="G25" s="273">
        <v>1</v>
      </c>
      <c r="H25" s="283">
        <v>40.21</v>
      </c>
      <c r="I25" s="31"/>
      <c r="J25" s="76"/>
      <c r="K25" s="301">
        <v>40.21</v>
      </c>
      <c r="L25" s="57"/>
      <c r="M25" s="115"/>
      <c r="N25" s="114"/>
      <c r="O25" s="23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239" customFormat="1" ht="18.75" customHeight="1" x14ac:dyDescent="0.25">
      <c r="A26" s="279" t="s">
        <v>224</v>
      </c>
      <c r="B26" s="279" t="s">
        <v>224</v>
      </c>
      <c r="C26" s="272" t="s">
        <v>219</v>
      </c>
      <c r="D26" s="276"/>
      <c r="E26" s="284" t="s">
        <v>239</v>
      </c>
      <c r="F26" s="282" t="s">
        <v>141</v>
      </c>
      <c r="G26" s="282">
        <v>1</v>
      </c>
      <c r="H26" s="285">
        <v>11.12</v>
      </c>
      <c r="I26" s="31"/>
      <c r="J26" s="76"/>
      <c r="K26" s="301">
        <f t="shared" ref="K26:K27" si="1">H26</f>
        <v>11.12</v>
      </c>
      <c r="L26" s="57"/>
      <c r="M26" s="115"/>
      <c r="N26" s="114"/>
      <c r="O26" s="23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239" customFormat="1" ht="18.75" customHeight="1" x14ac:dyDescent="0.25">
      <c r="A27" s="297" t="s">
        <v>230</v>
      </c>
      <c r="B27" s="297" t="s">
        <v>230</v>
      </c>
      <c r="C27" s="272" t="s">
        <v>219</v>
      </c>
      <c r="D27" s="298"/>
      <c r="E27" s="299" t="s">
        <v>93</v>
      </c>
      <c r="F27" s="282" t="s">
        <v>141</v>
      </c>
      <c r="G27" s="273">
        <v>1</v>
      </c>
      <c r="H27" s="285">
        <v>7.07</v>
      </c>
      <c r="I27" s="31"/>
      <c r="J27" s="76"/>
      <c r="K27" s="302">
        <f t="shared" si="1"/>
        <v>7.07</v>
      </c>
      <c r="L27" s="57"/>
      <c r="M27" s="115"/>
      <c r="N27" s="114"/>
      <c r="O27" s="23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239" customFormat="1" ht="18.75" customHeight="1" thickBot="1" x14ac:dyDescent="0.3">
      <c r="A28" s="694" t="s">
        <v>231</v>
      </c>
      <c r="B28" s="694" t="s">
        <v>231</v>
      </c>
      <c r="C28" s="500" t="s">
        <v>219</v>
      </c>
      <c r="D28" s="298"/>
      <c r="E28" s="299" t="s">
        <v>61</v>
      </c>
      <c r="F28" s="282" t="s">
        <v>141</v>
      </c>
      <c r="G28" s="282">
        <v>1</v>
      </c>
      <c r="H28" s="590">
        <v>33.270000000000003</v>
      </c>
      <c r="I28" s="31"/>
      <c r="J28" s="77"/>
      <c r="K28" s="302">
        <f>H28</f>
        <v>33.270000000000003</v>
      </c>
      <c r="L28" s="57"/>
      <c r="M28" s="254"/>
      <c r="N28" s="99"/>
      <c r="O28" s="23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239" customFormat="1" ht="18.75" customHeight="1" thickBot="1" x14ac:dyDescent="0.3">
      <c r="A29" s="444"/>
      <c r="B29" s="448"/>
      <c r="C29" s="701"/>
      <c r="D29" s="594" t="s">
        <v>256</v>
      </c>
      <c r="E29" s="451"/>
      <c r="F29" s="451"/>
      <c r="G29" s="451"/>
      <c r="H29" s="595"/>
      <c r="I29" s="15"/>
      <c r="J29" s="403">
        <v>7.0000000000000007E-2</v>
      </c>
      <c r="K29" s="398"/>
      <c r="L29" s="57"/>
      <c r="M29" s="542">
        <f>ROUND(I11*J29,0)</f>
        <v>0</v>
      </c>
      <c r="N29" s="99"/>
      <c r="O29" s="23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239" customFormat="1" ht="18.75" customHeight="1" x14ac:dyDescent="0.25">
      <c r="A30" s="279" t="s">
        <v>247</v>
      </c>
      <c r="B30" s="279" t="s">
        <v>247</v>
      </c>
      <c r="C30" s="591" t="s">
        <v>219</v>
      </c>
      <c r="D30" s="287"/>
      <c r="E30" s="293" t="s">
        <v>257</v>
      </c>
      <c r="F30" s="294" t="s">
        <v>141</v>
      </c>
      <c r="G30" s="290">
        <v>7</v>
      </c>
      <c r="H30" s="291">
        <v>391.09</v>
      </c>
      <c r="I30" s="31"/>
      <c r="J30" s="77"/>
      <c r="K30" s="300">
        <v>55.87</v>
      </c>
      <c r="L30" s="33"/>
      <c r="M30" s="254"/>
      <c r="N30" s="99"/>
      <c r="O30" s="23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239" customFormat="1" ht="18.75" customHeight="1" x14ac:dyDescent="0.25">
      <c r="A31" s="275" t="s">
        <v>313</v>
      </c>
      <c r="B31" s="275" t="s">
        <v>313</v>
      </c>
      <c r="C31" s="272" t="s">
        <v>219</v>
      </c>
      <c r="D31" s="298"/>
      <c r="E31" s="281" t="s">
        <v>244</v>
      </c>
      <c r="F31" s="282" t="s">
        <v>141</v>
      </c>
      <c r="G31" s="282">
        <v>1</v>
      </c>
      <c r="H31" s="285">
        <v>21.1</v>
      </c>
      <c r="I31" s="31"/>
      <c r="J31" s="77"/>
      <c r="K31" s="301">
        <v>21.1</v>
      </c>
      <c r="L31" s="33"/>
      <c r="M31" s="254"/>
      <c r="N31" s="99"/>
      <c r="O31" s="23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239" customFormat="1" ht="18.75" customHeight="1" x14ac:dyDescent="0.25">
      <c r="A32" s="275" t="s">
        <v>314</v>
      </c>
      <c r="B32" s="275" t="s">
        <v>314</v>
      </c>
      <c r="C32" s="272" t="s">
        <v>219</v>
      </c>
      <c r="D32" s="298"/>
      <c r="E32" s="281" t="s">
        <v>245</v>
      </c>
      <c r="F32" s="282" t="s">
        <v>141</v>
      </c>
      <c r="G32" s="282">
        <v>3</v>
      </c>
      <c r="H32" s="285">
        <v>115.94999999999999</v>
      </c>
      <c r="I32" s="31"/>
      <c r="J32" s="77"/>
      <c r="K32" s="301">
        <v>38.65</v>
      </c>
      <c r="L32" s="33"/>
      <c r="M32" s="254"/>
      <c r="N32" s="99"/>
      <c r="O32" s="23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239" customFormat="1" ht="18.75" customHeight="1" x14ac:dyDescent="0.25">
      <c r="A33" s="275" t="s">
        <v>249</v>
      </c>
      <c r="B33" s="275" t="s">
        <v>249</v>
      </c>
      <c r="C33" s="272" t="s">
        <v>219</v>
      </c>
      <c r="D33" s="298"/>
      <c r="E33" s="281" t="s">
        <v>251</v>
      </c>
      <c r="F33" s="282" t="s">
        <v>141</v>
      </c>
      <c r="G33" s="282">
        <v>1</v>
      </c>
      <c r="H33" s="285">
        <v>113.91</v>
      </c>
      <c r="I33" s="31"/>
      <c r="J33" s="77"/>
      <c r="K33" s="301">
        <v>113.91</v>
      </c>
      <c r="L33" s="33"/>
      <c r="M33" s="254"/>
      <c r="N33" s="99"/>
      <c r="O33" s="23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239" customFormat="1" ht="18.75" customHeight="1" x14ac:dyDescent="0.25">
      <c r="A34" s="275" t="s">
        <v>250</v>
      </c>
      <c r="B34" s="275" t="s">
        <v>250</v>
      </c>
      <c r="C34" s="272" t="s">
        <v>219</v>
      </c>
      <c r="D34" s="298"/>
      <c r="E34" s="281" t="s">
        <v>258</v>
      </c>
      <c r="F34" s="282" t="s">
        <v>141</v>
      </c>
      <c r="G34" s="282">
        <v>1</v>
      </c>
      <c r="H34" s="285">
        <v>44.66</v>
      </c>
      <c r="I34" s="31"/>
      <c r="J34" s="77"/>
      <c r="K34" s="301">
        <v>44.66</v>
      </c>
      <c r="L34" s="33"/>
      <c r="M34" s="254"/>
      <c r="N34" s="99"/>
      <c r="O34" s="23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239" customFormat="1" ht="18.75" customHeight="1" thickBot="1" x14ac:dyDescent="0.3">
      <c r="A35" s="275" t="s">
        <v>248</v>
      </c>
      <c r="B35" s="275" t="s">
        <v>248</v>
      </c>
      <c r="C35" s="272" t="s">
        <v>219</v>
      </c>
      <c r="D35" s="298"/>
      <c r="E35" s="281" t="s">
        <v>246</v>
      </c>
      <c r="F35" s="282" t="s">
        <v>141</v>
      </c>
      <c r="G35" s="273">
        <v>1</v>
      </c>
      <c r="H35" s="285">
        <v>60.34</v>
      </c>
      <c r="I35" s="31"/>
      <c r="J35" s="77"/>
      <c r="K35" s="571">
        <v>60.34</v>
      </c>
      <c r="L35" s="78"/>
      <c r="M35" s="254"/>
      <c r="N35" s="99"/>
      <c r="O35" s="23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248" customFormat="1" ht="18.75" customHeight="1" thickBot="1" x14ac:dyDescent="0.35">
      <c r="A36" s="781"/>
      <c r="B36" s="809"/>
      <c r="C36" s="774"/>
      <c r="D36" s="774"/>
      <c r="E36" s="774"/>
      <c r="F36" s="774"/>
      <c r="G36" s="774"/>
      <c r="H36" s="774" t="s">
        <v>234</v>
      </c>
      <c r="I36" s="775"/>
      <c r="J36" s="810">
        <f>J11+J18+J29</f>
        <v>1</v>
      </c>
      <c r="K36" s="776"/>
      <c r="L36" s="782"/>
      <c r="M36" s="762">
        <f>SUM(M11:M35)</f>
        <v>0</v>
      </c>
      <c r="N36" s="763"/>
      <c r="O36" s="764">
        <v>0</v>
      </c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247"/>
      <c r="FH36" s="247"/>
      <c r="FI36" s="247"/>
      <c r="FJ36" s="247"/>
      <c r="FK36" s="247"/>
      <c r="FL36" s="247"/>
      <c r="FM36" s="247"/>
      <c r="FN36" s="247"/>
      <c r="FO36" s="247"/>
      <c r="FP36" s="247"/>
      <c r="FQ36" s="247"/>
      <c r="FR36" s="247"/>
      <c r="FS36" s="247"/>
      <c r="FT36" s="247"/>
      <c r="FU36" s="247"/>
      <c r="FV36" s="247"/>
      <c r="FW36" s="247"/>
      <c r="FX36" s="247"/>
      <c r="FY36" s="247"/>
      <c r="FZ36" s="247"/>
      <c r="GA36" s="247"/>
      <c r="GB36" s="247"/>
      <c r="GC36" s="247"/>
      <c r="GD36" s="247"/>
      <c r="GE36" s="247"/>
      <c r="GF36" s="247"/>
      <c r="GG36" s="247"/>
      <c r="GH36" s="247"/>
      <c r="GI36" s="247"/>
      <c r="GJ36" s="247"/>
      <c r="GK36" s="247"/>
      <c r="GL36" s="247"/>
      <c r="GM36" s="247"/>
      <c r="GN36" s="247"/>
      <c r="GO36" s="247"/>
      <c r="GP36" s="247"/>
      <c r="GQ36" s="247"/>
      <c r="GR36" s="247"/>
      <c r="GS36" s="247"/>
      <c r="GT36" s="247"/>
      <c r="GU36" s="247"/>
      <c r="GV36" s="247"/>
      <c r="GW36" s="247"/>
      <c r="GX36" s="247"/>
      <c r="GY36" s="247"/>
      <c r="GZ36" s="247"/>
      <c r="HA36" s="247"/>
      <c r="HB36" s="247"/>
      <c r="HC36" s="247"/>
      <c r="HD36" s="247"/>
      <c r="HE36" s="247"/>
      <c r="HF36" s="247"/>
      <c r="HG36" s="247"/>
      <c r="HH36" s="247"/>
      <c r="HI36" s="247"/>
      <c r="HJ36" s="247"/>
      <c r="HK36" s="247"/>
      <c r="HL36" s="247"/>
      <c r="HM36" s="247"/>
      <c r="HN36" s="247"/>
      <c r="HO36" s="247"/>
      <c r="HP36" s="247"/>
      <c r="HQ36" s="247"/>
      <c r="HR36" s="247"/>
      <c r="HS36" s="247"/>
      <c r="HT36" s="247"/>
      <c r="HU36" s="247"/>
      <c r="HV36" s="247"/>
      <c r="HW36" s="247"/>
      <c r="HX36" s="247"/>
      <c r="HY36" s="247"/>
      <c r="HZ36" s="247"/>
      <c r="IA36" s="247"/>
      <c r="IB36" s="247"/>
      <c r="IC36" s="247"/>
      <c r="ID36" s="247"/>
      <c r="IE36" s="247"/>
      <c r="IF36" s="247"/>
      <c r="IG36" s="247"/>
      <c r="IH36" s="247"/>
      <c r="II36" s="247"/>
      <c r="IJ36" s="247"/>
      <c r="IK36" s="247"/>
      <c r="IL36" s="247"/>
      <c r="IM36" s="247"/>
      <c r="IN36" s="247"/>
      <c r="IO36" s="247"/>
      <c r="IP36" s="247"/>
      <c r="IQ36" s="247"/>
      <c r="IR36" s="247"/>
      <c r="IS36" s="247"/>
    </row>
    <row r="37" spans="1:253" ht="18.75" customHeight="1" thickBot="1" x14ac:dyDescent="0.35">
      <c r="A37" s="702"/>
      <c r="B37" s="580"/>
      <c r="C37" s="580"/>
      <c r="D37" s="580"/>
      <c r="E37" s="703" t="s">
        <v>308</v>
      </c>
      <c r="F37" s="580"/>
      <c r="G37" s="580"/>
      <c r="H37" s="595"/>
      <c r="I37" s="692"/>
      <c r="J37" s="555"/>
      <c r="K37" s="556"/>
      <c r="L37" s="557"/>
      <c r="M37" s="558"/>
      <c r="N37" s="412"/>
      <c r="O37" s="559"/>
    </row>
    <row r="38" spans="1:253" ht="18.75" customHeight="1" thickBot="1" x14ac:dyDescent="0.3">
      <c r="A38" s="279" t="s">
        <v>235</v>
      </c>
      <c r="B38" s="279" t="s">
        <v>235</v>
      </c>
      <c r="C38" s="279" t="s">
        <v>346</v>
      </c>
      <c r="D38" s="439"/>
      <c r="E38" s="404" t="s">
        <v>366</v>
      </c>
      <c r="F38" s="441" t="s">
        <v>9</v>
      </c>
      <c r="G38" s="441">
        <v>365</v>
      </c>
      <c r="H38" s="699">
        <f>G38*K38</f>
        <v>8760</v>
      </c>
      <c r="I38" s="561"/>
      <c r="J38" s="562"/>
      <c r="K38" s="563">
        <v>24</v>
      </c>
      <c r="L38" s="564">
        <f>ROUND(I38/H38/Days*G38,0)</f>
        <v>0</v>
      </c>
      <c r="M38" s="417">
        <f>I38-I39</f>
        <v>0</v>
      </c>
      <c r="N38" s="565">
        <f>L38</f>
        <v>0</v>
      </c>
      <c r="O38" s="566"/>
    </row>
    <row r="39" spans="1:253" ht="18.75" customHeight="1" thickBot="1" x14ac:dyDescent="0.3">
      <c r="A39" s="279" t="s">
        <v>367</v>
      </c>
      <c r="B39" s="279" t="s">
        <v>367</v>
      </c>
      <c r="C39" s="275" t="s">
        <v>346</v>
      </c>
      <c r="D39" s="439"/>
      <c r="E39" s="520" t="s">
        <v>337</v>
      </c>
      <c r="F39" s="560" t="s">
        <v>336</v>
      </c>
      <c r="G39" s="560">
        <v>12</v>
      </c>
      <c r="H39" s="567">
        <f>K39*G39</f>
        <v>11744.039999999999</v>
      </c>
      <c r="I39" s="621"/>
      <c r="J39" s="562"/>
      <c r="K39" s="301">
        <v>978.67</v>
      </c>
      <c r="L39" s="564" t="e">
        <f>ROUND(M39/(H39+H40)*G39/N7,0)</f>
        <v>#DIV/0!</v>
      </c>
      <c r="M39" s="417">
        <f>I39</f>
        <v>0</v>
      </c>
      <c r="N39" s="565" t="e">
        <f>L39</f>
        <v>#DIV/0!</v>
      </c>
      <c r="O39" s="566"/>
    </row>
    <row r="40" spans="1:253" ht="18.75" customHeight="1" thickBot="1" x14ac:dyDescent="0.3">
      <c r="A40" s="554" t="s">
        <v>368</v>
      </c>
      <c r="B40" s="554" t="s">
        <v>368</v>
      </c>
      <c r="C40" s="694" t="s">
        <v>346</v>
      </c>
      <c r="D40" s="695"/>
      <c r="E40" s="696" t="s">
        <v>369</v>
      </c>
      <c r="F40" s="697" t="s">
        <v>336</v>
      </c>
      <c r="G40" s="697">
        <v>12</v>
      </c>
      <c r="H40" s="698">
        <f t="shared" ref="H40" si="2">G40*K40</f>
        <v>2820</v>
      </c>
      <c r="I40" s="570"/>
      <c r="J40" s="562"/>
      <c r="K40" s="571">
        <v>235</v>
      </c>
      <c r="L40" s="556"/>
      <c r="M40" s="568"/>
      <c r="N40" s="412"/>
      <c r="O40" s="566"/>
    </row>
    <row r="41" spans="1:253" ht="18.75" customHeight="1" thickBot="1" x14ac:dyDescent="0.35">
      <c r="A41" s="702"/>
      <c r="B41" s="580"/>
      <c r="C41" s="580"/>
      <c r="D41" s="580"/>
      <c r="E41" s="452" t="s">
        <v>307</v>
      </c>
      <c r="F41" s="580"/>
      <c r="G41" s="580"/>
      <c r="H41" s="595"/>
      <c r="I41" s="693"/>
      <c r="J41" s="562"/>
      <c r="K41" s="573"/>
      <c r="L41" s="556"/>
      <c r="M41" s="568"/>
      <c r="N41" s="412"/>
      <c r="O41" s="566"/>
    </row>
    <row r="42" spans="1:253" ht="18.75" customHeight="1" thickBot="1" x14ac:dyDescent="0.3">
      <c r="A42" s="279" t="s">
        <v>321</v>
      </c>
      <c r="B42" s="279" t="s">
        <v>321</v>
      </c>
      <c r="C42" s="279" t="s">
        <v>346</v>
      </c>
      <c r="D42" s="439"/>
      <c r="E42" s="404" t="s">
        <v>366</v>
      </c>
      <c r="F42" s="441" t="s">
        <v>9</v>
      </c>
      <c r="G42" s="441">
        <v>365</v>
      </c>
      <c r="H42" s="699">
        <f>G42*K42</f>
        <v>9490</v>
      </c>
      <c r="I42" s="561"/>
      <c r="J42" s="562"/>
      <c r="K42" s="563">
        <v>26</v>
      </c>
      <c r="L42" s="564">
        <f>ROUND(I42/H42/Days*G42,0)</f>
        <v>0</v>
      </c>
      <c r="M42" s="417">
        <f>I42</f>
        <v>0</v>
      </c>
      <c r="N42" s="565">
        <f>L42</f>
        <v>0</v>
      </c>
      <c r="O42" s="566"/>
    </row>
    <row r="43" spans="1:253" s="239" customFormat="1" ht="18.75" customHeight="1" thickBot="1" x14ac:dyDescent="0.3">
      <c r="A43" s="279" t="s">
        <v>370</v>
      </c>
      <c r="B43" s="279" t="s">
        <v>370</v>
      </c>
      <c r="C43" s="275" t="s">
        <v>346</v>
      </c>
      <c r="D43" s="439"/>
      <c r="E43" s="520" t="s">
        <v>337</v>
      </c>
      <c r="F43" s="560" t="s">
        <v>336</v>
      </c>
      <c r="G43" s="560">
        <v>12</v>
      </c>
      <c r="H43" s="567">
        <f>K43*G43</f>
        <v>11744.039999999999</v>
      </c>
      <c r="I43" s="621"/>
      <c r="J43" s="562"/>
      <c r="K43" s="301">
        <v>978.67</v>
      </c>
      <c r="L43" s="564" t="e">
        <f>ROUND(M43/(H43+H44)*G43/N7,0)</f>
        <v>#DIV/0!</v>
      </c>
      <c r="M43" s="417">
        <f>I43</f>
        <v>0</v>
      </c>
      <c r="N43" s="565" t="e">
        <f>L43</f>
        <v>#DIV/0!</v>
      </c>
      <c r="O43" s="566"/>
    </row>
    <row r="44" spans="1:253" s="239" customFormat="1" ht="18.75" customHeight="1" thickBot="1" x14ac:dyDescent="0.3">
      <c r="A44" s="279" t="s">
        <v>371</v>
      </c>
      <c r="B44" s="279" t="s">
        <v>371</v>
      </c>
      <c r="C44" s="275" t="s">
        <v>346</v>
      </c>
      <c r="D44" s="569"/>
      <c r="E44" s="520" t="s">
        <v>369</v>
      </c>
      <c r="F44" s="560" t="s">
        <v>336</v>
      </c>
      <c r="G44" s="560">
        <v>12</v>
      </c>
      <c r="H44" s="567">
        <f t="shared" ref="H44" si="3">G44*K44</f>
        <v>2820</v>
      </c>
      <c r="I44" s="572"/>
      <c r="J44" s="562"/>
      <c r="K44" s="571">
        <v>235</v>
      </c>
      <c r="L44" s="556"/>
      <c r="M44" s="568"/>
      <c r="N44" s="412"/>
      <c r="O44" s="566"/>
    </row>
    <row r="45" spans="1:253" ht="18.75" customHeight="1" thickBot="1" x14ac:dyDescent="0.35">
      <c r="A45" s="770"/>
      <c r="B45" s="784"/>
      <c r="C45" s="780"/>
      <c r="D45" s="780"/>
      <c r="E45" s="780"/>
      <c r="F45" s="780"/>
      <c r="G45" s="780"/>
      <c r="H45" s="780" t="s">
        <v>372</v>
      </c>
      <c r="I45" s="794"/>
      <c r="J45" s="775"/>
      <c r="K45" s="776"/>
      <c r="L45" s="777"/>
      <c r="M45" s="762">
        <f>SUM(M38:M43)</f>
        <v>0</v>
      </c>
      <c r="N45" s="763"/>
      <c r="O45" s="764">
        <v>0</v>
      </c>
    </row>
    <row r="46" spans="1:253" x14ac:dyDescent="0.25">
      <c r="C46" s="886" t="s">
        <v>394</v>
      </c>
    </row>
    <row r="47" spans="1:253" hidden="1" x14ac:dyDescent="0.25"/>
    <row r="48" spans="1:253" hidden="1" x14ac:dyDescent="0.25"/>
    <row r="49" spans="6:6" hidden="1" x14ac:dyDescent="0.25"/>
    <row r="50" spans="6:6" hidden="1" x14ac:dyDescent="0.25"/>
    <row r="51" spans="6:6" hidden="1" x14ac:dyDescent="0.25"/>
    <row r="52" spans="6:6" hidden="1" x14ac:dyDescent="0.25"/>
    <row r="53" spans="6:6" hidden="1" x14ac:dyDescent="0.25"/>
    <row r="54" spans="6:6" hidden="1" x14ac:dyDescent="0.25"/>
    <row r="55" spans="6:6" hidden="1" x14ac:dyDescent="0.25">
      <c r="F55" s="574" t="s">
        <v>373</v>
      </c>
    </row>
    <row r="56" spans="6:6" hidden="1" x14ac:dyDescent="0.25"/>
    <row r="57" spans="6:6" hidden="1" x14ac:dyDescent="0.25"/>
    <row r="58" spans="6:6" hidden="1" x14ac:dyDescent="0.25"/>
    <row r="59" spans="6:6" hidden="1" x14ac:dyDescent="0.25"/>
    <row r="60" spans="6:6" hidden="1" x14ac:dyDescent="0.25"/>
    <row r="61" spans="6:6" hidden="1" x14ac:dyDescent="0.25"/>
    <row r="62" spans="6:6" hidden="1" x14ac:dyDescent="0.25"/>
    <row r="63" spans="6:6" hidden="1" x14ac:dyDescent="0.25"/>
    <row r="64" spans="6:6" hidden="1" x14ac:dyDescent="0.25"/>
    <row r="65" spans="3:3" hidden="1" x14ac:dyDescent="0.25"/>
    <row r="66" spans="3:3" hidden="1" x14ac:dyDescent="0.25">
      <c r="C66" s="303" t="s">
        <v>62</v>
      </c>
    </row>
    <row r="67" spans="3:3" hidden="1" x14ac:dyDescent="0.25">
      <c r="C67" s="303">
        <v>1</v>
      </c>
    </row>
    <row r="68" spans="3:3" hidden="1" x14ac:dyDescent="0.25">
      <c r="C68" s="303">
        <v>2</v>
      </c>
    </row>
    <row r="69" spans="3:3" hidden="1" x14ac:dyDescent="0.25">
      <c r="C69" s="303">
        <v>3</v>
      </c>
    </row>
    <row r="70" spans="3:3" hidden="1" x14ac:dyDescent="0.25">
      <c r="C70" s="303">
        <v>4</v>
      </c>
    </row>
    <row r="71" spans="3:3" hidden="1" x14ac:dyDescent="0.25">
      <c r="C71" s="303">
        <v>5</v>
      </c>
    </row>
    <row r="72" spans="3:3" hidden="1" x14ac:dyDescent="0.25">
      <c r="C72" s="303">
        <v>6</v>
      </c>
    </row>
    <row r="73" spans="3:3" hidden="1" x14ac:dyDescent="0.25">
      <c r="C73" s="304">
        <v>7</v>
      </c>
    </row>
    <row r="74" spans="3:3" hidden="1" x14ac:dyDescent="0.25">
      <c r="C74" s="304">
        <v>8</v>
      </c>
    </row>
    <row r="75" spans="3:3" hidden="1" x14ac:dyDescent="0.25">
      <c r="C75" s="304">
        <v>9</v>
      </c>
    </row>
    <row r="76" spans="3:3" hidden="1" x14ac:dyDescent="0.25">
      <c r="C76" s="303">
        <v>10</v>
      </c>
    </row>
    <row r="77" spans="3:3" hidden="1" x14ac:dyDescent="0.25">
      <c r="C77" s="303">
        <v>11</v>
      </c>
    </row>
    <row r="78" spans="3:3" hidden="1" x14ac:dyDescent="0.25">
      <c r="C78" s="303"/>
    </row>
  </sheetData>
  <sheetProtection algorithmName="SHA-512" hashValue="6trBCTYlP/SS7a0bsD1Q3DuCS3Z8jfnffIGtD27SaanGIzcxuQ4VZft8e0+6tmJRS1h91TpOJ1HxudoZcZ60AQ==" saltValue="LllSJ6MRZq90FNaWtRoMyg==" spinCount="100000" sheet="1" objects="1" scenarios="1"/>
  <customSheetViews>
    <customSheetView guid="{C6420BFA-ED47-4663-9C57-378E7F6357AD}" scale="85" showPageBreaks="1" printArea="1">
      <selection activeCell="E14" sqref="E14"/>
      <colBreaks count="1" manualBreakCount="1">
        <brk id="15" max="1048575" man="1"/>
      </colBreaks>
      <pageMargins left="0.25" right="0.25" top="0.25" bottom="0.25" header="0.5" footer="0.5"/>
      <pageSetup paperSize="17" scale="80" orientation="landscape" r:id="rId1"/>
      <headerFooter alignWithMargins="0"/>
    </customSheetView>
    <customSheetView guid="{46DAEA1C-9AA2-41AF-B0D5-8FF77AE3DFC9}" scale="85" topLeftCell="A28">
      <selection activeCell="E34" sqref="E34"/>
      <colBreaks count="1" manualBreakCount="1">
        <brk id="15" max="1048575" man="1"/>
      </colBreaks>
      <pageMargins left="0.25" right="0.25" top="0.25" bottom="0.25" header="0.5" footer="0.5"/>
      <pageSetup paperSize="17" scale="80" orientation="landscape" r:id="rId2"/>
      <headerFooter alignWithMargins="0"/>
    </customSheetView>
    <customSheetView guid="{E1836566-5413-4CEC-8A51-C2FC60CADFC0}" scale="85" showPageBreaks="1" printArea="1" topLeftCell="A16">
      <selection activeCell="E51" sqref="E51"/>
      <colBreaks count="1" manualBreakCount="1">
        <brk id="15" max="1048575" man="1"/>
      </colBreaks>
      <pageMargins left="0.25" right="0.25" top="0.25" bottom="0.25" header="0.5" footer="0.5"/>
      <pageSetup paperSize="17" scale="80" orientation="landscape" r:id="rId3"/>
      <headerFooter alignWithMargins="0"/>
    </customSheetView>
  </customSheetViews>
  <dataValidations count="3">
    <dataValidation type="list" allowBlank="1" showInputMessage="1" showErrorMessage="1" sqref="M2">
      <formula1>$C$65:$C$77</formula1>
    </dataValidation>
    <dataValidation type="list" allowBlank="1" showInputMessage="1" showErrorMessage="1" sqref="G4:G6">
      <formula1>#REF!</formula1>
    </dataValidation>
    <dataValidation type="list" allowBlank="1" showInputMessage="1" showErrorMessage="1" sqref="M5 M3">
      <formula1>$E$158:$E$166</formula1>
    </dataValidation>
  </dataValidations>
  <pageMargins left="0.25" right="0.25" top="0.25" bottom="0.25" header="0.5" footer="0.5"/>
  <pageSetup paperSize="17" scale="80" orientation="landscape" r:id="rId4"/>
  <headerFooter alignWithMargins="0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TRA TRF TRY</vt:lpstr>
      <vt:lpstr>PPW</vt:lpstr>
      <vt:lpstr>LBHA</vt:lpstr>
      <vt:lpstr>OTS Services</vt:lpstr>
      <vt:lpstr>OTS-V &amp; OBT</vt:lpstr>
      <vt:lpstr>'OTS-V &amp; OBT'!Days</vt:lpstr>
      <vt:lpstr>Days</vt:lpstr>
      <vt:lpstr>'OTS-V &amp; OBT'!Match</vt:lpstr>
      <vt:lpstr>Match</vt:lpstr>
      <vt:lpstr>LBHA!Print_Area</vt:lpstr>
      <vt:lpstr>'OTS Services'!Print_Area</vt:lpstr>
      <vt:lpstr>'OTS-V &amp; OBT'!Print_Area</vt:lpstr>
      <vt:lpstr>'TRA TRF TRY'!Print_Area</vt:lpstr>
      <vt:lpstr>Psychiatrist</vt:lpstr>
      <vt:lpstr>YouthOutpatient</vt:lpstr>
    </vt:vector>
  </TitlesOfParts>
  <Company>Texas Department of State Health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Substance Use Disorder (SUD) Treatment Rates</dc:title>
  <dc:creator>Texas Department of State Health Services</dc:creator>
  <dc:description>Accessibility approved: February 11, 2019, CRO Accessibility</dc:description>
  <cp:lastModifiedBy>Petkovsek,Mary (DADS)</cp:lastModifiedBy>
  <cp:lastPrinted>2018-02-22T18:11:39Z</cp:lastPrinted>
  <dcterms:created xsi:type="dcterms:W3CDTF">2011-04-01T13:36:51Z</dcterms:created>
  <dcterms:modified xsi:type="dcterms:W3CDTF">2019-02-12T19:52:06Z</dcterms:modified>
</cp:coreProperties>
</file>