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DSullivant01\AppData\Local\Microsoft\Windows\INetCache\Content.Outlook\UCX1Z986\"/>
    </mc:Choice>
  </mc:AlternateContent>
  <xr:revisionPtr revIDLastSave="0" documentId="13_ncr:1_{2695BE3B-0C04-40FA-8AEE-9A61DB6F6AA2}" xr6:coauthVersionLast="47" xr6:coauthVersionMax="47" xr10:uidLastSave="{00000000-0000-0000-0000-000000000000}"/>
  <bookViews>
    <workbookView xWindow="30510" yWindow="2160" windowWidth="21600" windowHeight="11385" xr2:uid="{00000000-000D-0000-FFFF-FFFF00000000}"/>
  </bookViews>
  <sheets>
    <sheet name="TRA TRF TRY COPSD" sheetId="1" r:id="rId1"/>
    <sheet name="MAT Services" sheetId="4" r:id="rId2"/>
    <sheet name="PPW" sheetId="2" r:id="rId3"/>
    <sheet name="LBHA" sheetId="3" r:id="rId4"/>
    <sheet name="Version" sheetId="6" r:id="rId5"/>
    <sheet name="List" sheetId="7" r:id="rId6"/>
  </sheets>
  <definedNames>
    <definedName name="_xlnm._FilterDatabase" localSheetId="5" hidden="1">List!$A$1:$H$181</definedName>
    <definedName name="Days">LBHA!$L$7</definedName>
    <definedName name="Match">LBHA!$L$4</definedName>
    <definedName name="_xlnm.Print_Area" localSheetId="3">LBHA!$A$1:$N$95</definedName>
    <definedName name="_xlnm.Print_Area" localSheetId="1">'MAT Services'!$A$1:$N$38</definedName>
    <definedName name="_xlnm.Print_Area" localSheetId="0">'TRA TRF TRY COPSD'!$A$1:$O$58</definedName>
    <definedName name="Psychiatrist">LBHA!$I$47</definedName>
    <definedName name="YouthOutpatient">LBHA!$H$42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 i="4" l="1"/>
  <c r="J27" i="4"/>
  <c r="J28" i="4"/>
  <c r="J25" i="4"/>
  <c r="J26" i="4"/>
  <c r="J23" i="4"/>
  <c r="J24" i="4"/>
  <c r="J21" i="4"/>
  <c r="J22" i="4"/>
  <c r="J19" i="4"/>
  <c r="J20" i="4"/>
  <c r="J18" i="4"/>
  <c r="J14" i="4"/>
  <c r="L8" i="1"/>
  <c r="L8" i="4"/>
  <c r="L7" i="2"/>
  <c r="L7" i="3"/>
  <c r="D43" i="1"/>
  <c r="N1" i="3"/>
  <c r="N1" i="2"/>
  <c r="N1" i="4"/>
  <c r="C112" i="7"/>
  <c r="C111" i="7"/>
  <c r="C110" i="7"/>
  <c r="C109" i="7"/>
  <c r="C107" i="7"/>
  <c r="C106" i="7"/>
  <c r="C181" i="7"/>
  <c r="C180" i="7"/>
  <c r="C179" i="7"/>
  <c r="C178" i="7"/>
  <c r="C177" i="7"/>
  <c r="C176" i="7"/>
  <c r="C175" i="7"/>
  <c r="C174" i="7"/>
  <c r="C173" i="7"/>
  <c r="C172" i="7"/>
  <c r="C170" i="7"/>
  <c r="C169" i="7"/>
  <c r="C168" i="7"/>
  <c r="C162" i="7"/>
  <c r="C161" i="7"/>
  <c r="C163" i="7"/>
  <c r="C160" i="7"/>
  <c r="C157" i="7"/>
  <c r="C158" i="7"/>
  <c r="C156" i="7"/>
  <c r="C155" i="7"/>
  <c r="C154" i="7"/>
  <c r="C153" i="7"/>
  <c r="C152" i="7"/>
  <c r="C150" i="7"/>
  <c r="C149" i="7"/>
  <c r="C148" i="7"/>
  <c r="C147" i="7"/>
  <c r="C146" i="7"/>
  <c r="C145" i="7"/>
  <c r="C144" i="7"/>
  <c r="J39" i="4" l="1"/>
  <c r="A24" i="1"/>
  <c r="L36" i="1"/>
  <c r="N1" i="1" l="1"/>
  <c r="F12" i="1" l="1"/>
  <c r="F13" i="1"/>
  <c r="F14" i="1"/>
  <c r="F15" i="1"/>
  <c r="F16" i="1"/>
  <c r="F17" i="1"/>
  <c r="F18" i="1"/>
  <c r="F20" i="1"/>
  <c r="F19" i="1"/>
  <c r="F23" i="1"/>
  <c r="F24" i="1"/>
  <c r="F25" i="1"/>
  <c r="F26" i="1"/>
  <c r="F27" i="1"/>
  <c r="F28" i="1"/>
  <c r="F29" i="1"/>
  <c r="F30" i="1"/>
  <c r="F31" i="1"/>
  <c r="F33" i="1"/>
  <c r="F32" i="1"/>
  <c r="F37" i="1"/>
  <c r="F36" i="1"/>
  <c r="F40" i="1"/>
  <c r="F42" i="1"/>
  <c r="F41" i="1"/>
  <c r="F44" i="1"/>
  <c r="F45" i="1"/>
  <c r="F46" i="1"/>
  <c r="F47" i="1"/>
  <c r="F48" i="1"/>
  <c r="F49" i="1"/>
  <c r="F51" i="1"/>
  <c r="F52" i="1"/>
  <c r="F53" i="1"/>
  <c r="F50" i="1"/>
  <c r="F12" i="2"/>
  <c r="F13" i="2"/>
  <c r="F14" i="2"/>
  <c r="F15" i="2"/>
  <c r="E17" i="2"/>
  <c r="F17" i="2"/>
  <c r="E18" i="2"/>
  <c r="F18" i="2"/>
  <c r="F19" i="2"/>
  <c r="F21" i="2"/>
  <c r="F22" i="2"/>
  <c r="F12" i="3"/>
  <c r="F13" i="3"/>
  <c r="F14" i="3"/>
  <c r="F15" i="3"/>
  <c r="F16" i="3"/>
  <c r="F18" i="3"/>
  <c r="F17" i="3"/>
  <c r="F21" i="3"/>
  <c r="F22" i="3"/>
  <c r="F23" i="3"/>
  <c r="F24" i="3"/>
  <c r="F25" i="3"/>
  <c r="F26" i="3"/>
  <c r="F27" i="3"/>
  <c r="F29" i="3"/>
  <c r="F30" i="3"/>
  <c r="F32" i="3"/>
  <c r="F31" i="3"/>
  <c r="F36" i="3"/>
  <c r="F35" i="3"/>
  <c r="F39" i="3"/>
  <c r="F40" i="3"/>
  <c r="F41" i="3"/>
  <c r="F43" i="3"/>
  <c r="F44" i="3"/>
  <c r="F45" i="3"/>
  <c r="F46" i="3"/>
  <c r="F47" i="3"/>
  <c r="F48" i="3"/>
  <c r="F49" i="3"/>
  <c r="F50" i="3"/>
  <c r="F52" i="3"/>
  <c r="F51" i="3"/>
  <c r="F88" i="3"/>
  <c r="F89" i="3"/>
  <c r="F90" i="3"/>
  <c r="F87" i="3"/>
  <c r="F84" i="3"/>
  <c r="F85" i="3"/>
  <c r="F83" i="3"/>
  <c r="F55" i="3"/>
  <c r="F56" i="3"/>
  <c r="F57" i="3"/>
  <c r="F58" i="3"/>
  <c r="F75" i="3"/>
  <c r="F76" i="3"/>
  <c r="F77" i="3"/>
  <c r="F78" i="3"/>
  <c r="F79" i="3"/>
  <c r="F80" i="3"/>
  <c r="F74" i="3"/>
  <c r="F61" i="3"/>
  <c r="F62" i="3"/>
  <c r="F63" i="3"/>
  <c r="F64" i="3"/>
  <c r="F65" i="3"/>
  <c r="F66" i="3"/>
  <c r="F67" i="3"/>
  <c r="F68" i="3"/>
  <c r="F69" i="3"/>
  <c r="F70" i="3"/>
  <c r="F71" i="3"/>
  <c r="F72" i="3"/>
  <c r="F60" i="3"/>
  <c r="F72" i="4"/>
  <c r="F73" i="4"/>
  <c r="F74" i="4"/>
  <c r="F71" i="4"/>
  <c r="F68" i="4"/>
  <c r="F69" i="4"/>
  <c r="F67" i="4"/>
  <c r="F13" i="4"/>
  <c r="F14" i="4"/>
  <c r="F15" i="4"/>
  <c r="F16" i="4"/>
  <c r="F17" i="4"/>
  <c r="F18" i="4"/>
  <c r="F19" i="4"/>
  <c r="F20" i="4"/>
  <c r="G20" i="4" s="1"/>
  <c r="F21" i="4"/>
  <c r="F22" i="4"/>
  <c r="F23" i="4"/>
  <c r="F24" i="4"/>
  <c r="F25" i="4"/>
  <c r="F26" i="4"/>
  <c r="F27" i="4"/>
  <c r="F28" i="4"/>
  <c r="F29" i="4"/>
  <c r="F32" i="4"/>
  <c r="F33" i="4"/>
  <c r="F34" i="4"/>
  <c r="F35" i="4"/>
  <c r="F36" i="4"/>
  <c r="F31" i="4"/>
  <c r="F40" i="4"/>
  <c r="F41" i="4"/>
  <c r="F42" i="4"/>
  <c r="F39" i="4"/>
  <c r="F45" i="4"/>
  <c r="F46" i="4"/>
  <c r="F47" i="4"/>
  <c r="F48" i="4"/>
  <c r="F49" i="4"/>
  <c r="F50" i="4"/>
  <c r="F51" i="4"/>
  <c r="F52" i="4"/>
  <c r="F53" i="4"/>
  <c r="F54" i="4"/>
  <c r="F55" i="4"/>
  <c r="F56" i="4"/>
  <c r="F44" i="4"/>
  <c r="F58" i="4"/>
  <c r="J72" i="3"/>
  <c r="E72" i="3"/>
  <c r="A72" i="3"/>
  <c r="B72" i="3"/>
  <c r="C72" i="3"/>
  <c r="D72" i="3"/>
  <c r="G72" i="3" l="1"/>
  <c r="J90" i="3"/>
  <c r="G90" i="3" s="1"/>
  <c r="A90" i="3"/>
  <c r="B90" i="3"/>
  <c r="C90" i="3"/>
  <c r="D90" i="3"/>
  <c r="E90" i="3"/>
  <c r="J80" i="3"/>
  <c r="G80" i="3" s="1"/>
  <c r="A80" i="3"/>
  <c r="B80" i="3"/>
  <c r="C80" i="3"/>
  <c r="D80" i="3"/>
  <c r="E80" i="3"/>
  <c r="B74" i="4" l="1"/>
  <c r="A74" i="4"/>
  <c r="C74" i="4" l="1"/>
  <c r="D74" i="4"/>
  <c r="E74" i="4"/>
  <c r="J74" i="4"/>
  <c r="G74" i="4" s="1"/>
  <c r="J88" i="3" l="1"/>
  <c r="J89" i="3"/>
  <c r="G89" i="3" s="1"/>
  <c r="J87" i="3"/>
  <c r="G87" i="3" s="1"/>
  <c r="A88" i="3"/>
  <c r="B88" i="3"/>
  <c r="C88" i="3"/>
  <c r="D88" i="3"/>
  <c r="E88" i="3"/>
  <c r="A89" i="3"/>
  <c r="B89" i="3"/>
  <c r="C89" i="3"/>
  <c r="D89" i="3"/>
  <c r="E89" i="3"/>
  <c r="D87" i="3"/>
  <c r="C87" i="3"/>
  <c r="B87" i="3"/>
  <c r="E87" i="3"/>
  <c r="A87" i="3"/>
  <c r="J84" i="3"/>
  <c r="G84" i="3" s="1"/>
  <c r="J85" i="3"/>
  <c r="G85" i="3" s="1"/>
  <c r="J83" i="3"/>
  <c r="G83" i="3" s="1"/>
  <c r="A84" i="3"/>
  <c r="B84" i="3"/>
  <c r="C84" i="3"/>
  <c r="D84" i="3"/>
  <c r="E84" i="3"/>
  <c r="A85" i="3"/>
  <c r="B85" i="3"/>
  <c r="C85" i="3"/>
  <c r="D85" i="3"/>
  <c r="E85" i="3"/>
  <c r="A83" i="3"/>
  <c r="B83" i="3"/>
  <c r="C83" i="3"/>
  <c r="E83" i="3"/>
  <c r="D83" i="3"/>
  <c r="G88" i="3" l="1"/>
  <c r="K89" i="3" s="1"/>
  <c r="L88" i="3" s="1"/>
  <c r="K88" i="3" s="1"/>
  <c r="M88" i="3" s="1"/>
  <c r="K85" i="3"/>
  <c r="L84" i="3" s="1"/>
  <c r="L20" i="2" l="1"/>
  <c r="L16" i="2"/>
  <c r="L11" i="2"/>
  <c r="A75" i="3"/>
  <c r="B75" i="3"/>
  <c r="C75" i="3"/>
  <c r="D75" i="3"/>
  <c r="E75" i="3"/>
  <c r="A76" i="3"/>
  <c r="B76" i="3"/>
  <c r="C76" i="3"/>
  <c r="D76" i="3"/>
  <c r="E76" i="3"/>
  <c r="A77" i="3"/>
  <c r="B77" i="3"/>
  <c r="C77" i="3"/>
  <c r="D77" i="3"/>
  <c r="E77" i="3"/>
  <c r="A78" i="3"/>
  <c r="B78" i="3"/>
  <c r="C78" i="3"/>
  <c r="D78" i="3"/>
  <c r="E78" i="3"/>
  <c r="A79" i="3"/>
  <c r="B79" i="3"/>
  <c r="C79" i="3"/>
  <c r="D79" i="3"/>
  <c r="E79" i="3"/>
  <c r="D74" i="3"/>
  <c r="C74" i="3"/>
  <c r="B74" i="3"/>
  <c r="E74" i="3"/>
  <c r="A74" i="3"/>
  <c r="J56" i="3"/>
  <c r="J57" i="3"/>
  <c r="J58" i="3"/>
  <c r="J59" i="3"/>
  <c r="J60" i="3"/>
  <c r="J61" i="3"/>
  <c r="J62" i="3"/>
  <c r="J63" i="3"/>
  <c r="J64" i="3"/>
  <c r="J65" i="3"/>
  <c r="J66" i="3"/>
  <c r="J67" i="3"/>
  <c r="J68" i="3"/>
  <c r="J69" i="3"/>
  <c r="J70" i="3"/>
  <c r="J71" i="3"/>
  <c r="A56" i="3"/>
  <c r="B56" i="3"/>
  <c r="C56" i="3"/>
  <c r="D56" i="3"/>
  <c r="E56" i="3"/>
  <c r="A57" i="3"/>
  <c r="B57" i="3"/>
  <c r="C57" i="3"/>
  <c r="D57" i="3"/>
  <c r="E57" i="3"/>
  <c r="A58" i="3"/>
  <c r="B58" i="3"/>
  <c r="C58" i="3"/>
  <c r="D58" i="3"/>
  <c r="E58" i="3"/>
  <c r="D59" i="3"/>
  <c r="A60" i="3"/>
  <c r="B60" i="3"/>
  <c r="C60" i="3"/>
  <c r="D60" i="3"/>
  <c r="E60" i="3"/>
  <c r="A61" i="3"/>
  <c r="B61" i="3"/>
  <c r="C61" i="3"/>
  <c r="D61" i="3"/>
  <c r="E61" i="3"/>
  <c r="A62" i="3"/>
  <c r="B62" i="3"/>
  <c r="C62" i="3"/>
  <c r="D62" i="3"/>
  <c r="E62" i="3"/>
  <c r="A63" i="3"/>
  <c r="B63" i="3"/>
  <c r="C63" i="3"/>
  <c r="D63" i="3"/>
  <c r="E63" i="3"/>
  <c r="A64" i="3"/>
  <c r="B64" i="3"/>
  <c r="C64" i="3"/>
  <c r="D64" i="3"/>
  <c r="E64" i="3"/>
  <c r="A65" i="3"/>
  <c r="B65" i="3"/>
  <c r="C65" i="3"/>
  <c r="D65" i="3"/>
  <c r="E65" i="3"/>
  <c r="A66" i="3"/>
  <c r="B66" i="3"/>
  <c r="C66" i="3"/>
  <c r="D66" i="3"/>
  <c r="E66" i="3"/>
  <c r="A67" i="3"/>
  <c r="B67" i="3"/>
  <c r="C67" i="3"/>
  <c r="D67" i="3"/>
  <c r="E67" i="3"/>
  <c r="A68" i="3"/>
  <c r="B68" i="3"/>
  <c r="C68" i="3"/>
  <c r="D68" i="3"/>
  <c r="E68" i="3"/>
  <c r="A69" i="3"/>
  <c r="B69" i="3"/>
  <c r="C69" i="3"/>
  <c r="D69" i="3"/>
  <c r="E69" i="3"/>
  <c r="A70" i="3"/>
  <c r="B70" i="3"/>
  <c r="C70" i="3"/>
  <c r="D70" i="3"/>
  <c r="E70" i="3"/>
  <c r="A71" i="3"/>
  <c r="B71" i="3"/>
  <c r="C71" i="3"/>
  <c r="D71" i="3"/>
  <c r="E71" i="3"/>
  <c r="D55" i="3"/>
  <c r="C55" i="3"/>
  <c r="B55" i="3"/>
  <c r="E55" i="3"/>
  <c r="A55" i="3"/>
  <c r="A44" i="3"/>
  <c r="B44" i="3"/>
  <c r="C44" i="3"/>
  <c r="D44" i="3"/>
  <c r="E44" i="3"/>
  <c r="A45" i="3"/>
  <c r="B45" i="3"/>
  <c r="C45" i="3"/>
  <c r="D45" i="3"/>
  <c r="E45" i="3"/>
  <c r="A46" i="3"/>
  <c r="B46" i="3"/>
  <c r="C46" i="3"/>
  <c r="D46" i="3"/>
  <c r="E46" i="3"/>
  <c r="A47" i="3"/>
  <c r="B47" i="3"/>
  <c r="C47" i="3"/>
  <c r="D47" i="3"/>
  <c r="E47" i="3"/>
  <c r="A48" i="3"/>
  <c r="B48" i="3"/>
  <c r="C48" i="3"/>
  <c r="D48" i="3"/>
  <c r="E48" i="3"/>
  <c r="A49" i="3"/>
  <c r="B49" i="3"/>
  <c r="C49" i="3"/>
  <c r="D49" i="3"/>
  <c r="E49" i="3"/>
  <c r="A50" i="3"/>
  <c r="B50" i="3"/>
  <c r="C50" i="3"/>
  <c r="D50" i="3"/>
  <c r="E50" i="3"/>
  <c r="A51" i="3"/>
  <c r="B51" i="3"/>
  <c r="C51" i="3"/>
  <c r="D51" i="3"/>
  <c r="E51" i="3"/>
  <c r="A52" i="3"/>
  <c r="B52" i="3"/>
  <c r="C52" i="3"/>
  <c r="D52" i="3"/>
  <c r="E52" i="3"/>
  <c r="D43" i="3"/>
  <c r="C43" i="3"/>
  <c r="B43" i="3"/>
  <c r="E43" i="3"/>
  <c r="A43" i="3"/>
  <c r="A40" i="3"/>
  <c r="B40" i="3"/>
  <c r="C40" i="3"/>
  <c r="D40" i="3"/>
  <c r="E40" i="3"/>
  <c r="A41" i="3"/>
  <c r="B41" i="3"/>
  <c r="C41" i="3"/>
  <c r="D41" i="3"/>
  <c r="E41" i="3"/>
  <c r="D39" i="3"/>
  <c r="C39" i="3"/>
  <c r="B39" i="3"/>
  <c r="E39" i="3"/>
  <c r="A39" i="3"/>
  <c r="A30" i="3"/>
  <c r="B30" i="3"/>
  <c r="C30" i="3"/>
  <c r="D30" i="3"/>
  <c r="E30" i="3"/>
  <c r="A31" i="3"/>
  <c r="B31" i="3"/>
  <c r="C31" i="3"/>
  <c r="D31" i="3"/>
  <c r="E31" i="3"/>
  <c r="A32" i="3"/>
  <c r="B32" i="3"/>
  <c r="C32" i="3"/>
  <c r="D32" i="3"/>
  <c r="E32" i="3"/>
  <c r="D29" i="3"/>
  <c r="C29" i="3"/>
  <c r="B29" i="3"/>
  <c r="E29" i="3"/>
  <c r="A29" i="3"/>
  <c r="A22" i="3"/>
  <c r="B22" i="3"/>
  <c r="C22" i="3"/>
  <c r="D22" i="3"/>
  <c r="E22" i="3"/>
  <c r="A23" i="3"/>
  <c r="B23" i="3"/>
  <c r="C23" i="3"/>
  <c r="D23" i="3"/>
  <c r="E23" i="3"/>
  <c r="A24" i="3"/>
  <c r="B24" i="3"/>
  <c r="C24" i="3"/>
  <c r="D24" i="3"/>
  <c r="E24" i="3"/>
  <c r="A25" i="3"/>
  <c r="B25" i="3"/>
  <c r="C25" i="3"/>
  <c r="D25" i="3"/>
  <c r="E25" i="3"/>
  <c r="A26" i="3"/>
  <c r="B26" i="3"/>
  <c r="C26" i="3"/>
  <c r="D26" i="3"/>
  <c r="E26" i="3"/>
  <c r="A27" i="3"/>
  <c r="B27" i="3"/>
  <c r="C27" i="3"/>
  <c r="D27" i="3"/>
  <c r="E27" i="3"/>
  <c r="C21" i="3"/>
  <c r="D21" i="3"/>
  <c r="B21" i="3"/>
  <c r="E21" i="3"/>
  <c r="A21" i="3"/>
  <c r="A13" i="3"/>
  <c r="B13" i="3"/>
  <c r="C13" i="3"/>
  <c r="D13" i="3"/>
  <c r="E13" i="3"/>
  <c r="A14" i="3"/>
  <c r="B14" i="3"/>
  <c r="C14" i="3"/>
  <c r="D14" i="3"/>
  <c r="E14" i="3"/>
  <c r="A15" i="3"/>
  <c r="B15" i="3"/>
  <c r="C15" i="3"/>
  <c r="D15" i="3"/>
  <c r="E15" i="3"/>
  <c r="A16" i="3"/>
  <c r="B16" i="3"/>
  <c r="C16" i="3"/>
  <c r="D16" i="3"/>
  <c r="E16" i="3"/>
  <c r="A17" i="3"/>
  <c r="B17" i="3"/>
  <c r="C17" i="3"/>
  <c r="D17" i="3"/>
  <c r="E17" i="3"/>
  <c r="A18" i="3"/>
  <c r="B18" i="3"/>
  <c r="C18" i="3"/>
  <c r="D18" i="3"/>
  <c r="E18" i="3"/>
  <c r="E12" i="3"/>
  <c r="D12" i="3"/>
  <c r="C12" i="3"/>
  <c r="B12" i="3"/>
  <c r="A12" i="3"/>
  <c r="A22" i="2"/>
  <c r="B22" i="2"/>
  <c r="C22" i="2"/>
  <c r="D22" i="2"/>
  <c r="E22" i="2"/>
  <c r="D21" i="2"/>
  <c r="C21" i="2"/>
  <c r="B21" i="2"/>
  <c r="E21" i="2"/>
  <c r="A21" i="2"/>
  <c r="A18" i="2"/>
  <c r="B18" i="2"/>
  <c r="C18" i="2"/>
  <c r="D18" i="2"/>
  <c r="A19" i="2"/>
  <c r="B19" i="2"/>
  <c r="C19" i="2"/>
  <c r="D19" i="2"/>
  <c r="E19" i="2"/>
  <c r="D17" i="2"/>
  <c r="C17" i="2"/>
  <c r="B17" i="2"/>
  <c r="A17" i="2"/>
  <c r="A13" i="2"/>
  <c r="B13" i="2"/>
  <c r="C13" i="2"/>
  <c r="D13" i="2"/>
  <c r="E13" i="2"/>
  <c r="A14" i="2"/>
  <c r="B14" i="2"/>
  <c r="C14" i="2"/>
  <c r="D14" i="2"/>
  <c r="E14" i="2"/>
  <c r="A15" i="2"/>
  <c r="B15" i="2"/>
  <c r="C15" i="2"/>
  <c r="D15" i="2"/>
  <c r="E15" i="2"/>
  <c r="E12" i="2"/>
  <c r="D12" i="2"/>
  <c r="C12" i="2"/>
  <c r="B12" i="2"/>
  <c r="A12" i="2"/>
  <c r="C72" i="4"/>
  <c r="C73" i="4"/>
  <c r="C71" i="4"/>
  <c r="A72" i="4"/>
  <c r="B72" i="4"/>
  <c r="D72" i="4"/>
  <c r="E72" i="4"/>
  <c r="A73" i="4"/>
  <c r="B73" i="4"/>
  <c r="D73" i="4"/>
  <c r="E73" i="4"/>
  <c r="D71" i="4"/>
  <c r="B71" i="4"/>
  <c r="E71" i="4"/>
  <c r="A71" i="4"/>
  <c r="A68" i="4"/>
  <c r="B68" i="4"/>
  <c r="C68" i="4"/>
  <c r="D68" i="4"/>
  <c r="E68" i="4"/>
  <c r="A69" i="4"/>
  <c r="B69" i="4"/>
  <c r="C69" i="4"/>
  <c r="D69" i="4"/>
  <c r="E69" i="4"/>
  <c r="D67" i="4"/>
  <c r="C67" i="4"/>
  <c r="B67" i="4"/>
  <c r="E67" i="4"/>
  <c r="A67" i="4"/>
  <c r="J64" i="4"/>
  <c r="G64" i="4" s="1"/>
  <c r="A59" i="4"/>
  <c r="B59" i="4"/>
  <c r="C59" i="4"/>
  <c r="D59" i="4"/>
  <c r="E59" i="4"/>
  <c r="A60" i="4"/>
  <c r="B60" i="4"/>
  <c r="C60" i="4"/>
  <c r="D60" i="4"/>
  <c r="E60" i="4"/>
  <c r="A61" i="4"/>
  <c r="B61" i="4"/>
  <c r="C61" i="4"/>
  <c r="D61" i="4"/>
  <c r="E61" i="4"/>
  <c r="A62" i="4"/>
  <c r="B62" i="4"/>
  <c r="C62" i="4"/>
  <c r="D62" i="4"/>
  <c r="E62" i="4"/>
  <c r="A63" i="4"/>
  <c r="B63" i="4"/>
  <c r="C63" i="4"/>
  <c r="D63" i="4"/>
  <c r="E63" i="4"/>
  <c r="A64" i="4"/>
  <c r="B64" i="4"/>
  <c r="C64" i="4"/>
  <c r="D64" i="4"/>
  <c r="E64" i="4"/>
  <c r="D58" i="4"/>
  <c r="C58" i="4"/>
  <c r="B58" i="4"/>
  <c r="E58" i="4"/>
  <c r="A58" i="4"/>
  <c r="A52" i="4"/>
  <c r="B52" i="4"/>
  <c r="C52" i="4"/>
  <c r="D52" i="4"/>
  <c r="E52" i="4"/>
  <c r="A53" i="4"/>
  <c r="B53" i="4"/>
  <c r="C53" i="4"/>
  <c r="D53" i="4"/>
  <c r="E53" i="4"/>
  <c r="A54" i="4"/>
  <c r="B54" i="4"/>
  <c r="C54" i="4"/>
  <c r="D54" i="4"/>
  <c r="E54" i="4"/>
  <c r="A55" i="4"/>
  <c r="B55" i="4"/>
  <c r="C55" i="4"/>
  <c r="D55" i="4"/>
  <c r="E55" i="4"/>
  <c r="A56" i="4"/>
  <c r="B56" i="4"/>
  <c r="C56" i="4"/>
  <c r="D56" i="4"/>
  <c r="E56" i="4"/>
  <c r="A47" i="4"/>
  <c r="B47" i="4"/>
  <c r="C47" i="4"/>
  <c r="D47" i="4"/>
  <c r="E47" i="4"/>
  <c r="A48" i="4"/>
  <c r="B48" i="4"/>
  <c r="C48" i="4"/>
  <c r="D48" i="4"/>
  <c r="E48" i="4"/>
  <c r="A49" i="4"/>
  <c r="B49" i="4"/>
  <c r="C49" i="4"/>
  <c r="D49" i="4"/>
  <c r="E49" i="4"/>
  <c r="A50" i="4"/>
  <c r="B50" i="4"/>
  <c r="C50" i="4"/>
  <c r="D50" i="4"/>
  <c r="E50" i="4"/>
  <c r="A51" i="4"/>
  <c r="B51" i="4"/>
  <c r="C51" i="4"/>
  <c r="D51" i="4"/>
  <c r="E51" i="4"/>
  <c r="A45" i="4"/>
  <c r="B45" i="4"/>
  <c r="C45" i="4"/>
  <c r="D45" i="4"/>
  <c r="E45" i="4"/>
  <c r="A46" i="4"/>
  <c r="B46" i="4"/>
  <c r="C46" i="4"/>
  <c r="D46" i="4"/>
  <c r="E46" i="4"/>
  <c r="D44" i="4"/>
  <c r="C44" i="4"/>
  <c r="E44" i="4"/>
  <c r="B44" i="4"/>
  <c r="A44" i="4"/>
  <c r="A40" i="4"/>
  <c r="B40" i="4"/>
  <c r="C40" i="4"/>
  <c r="D40" i="4"/>
  <c r="E40" i="4"/>
  <c r="A41" i="4"/>
  <c r="B41" i="4"/>
  <c r="C41" i="4"/>
  <c r="D41" i="4"/>
  <c r="E41" i="4"/>
  <c r="A42" i="4"/>
  <c r="B42" i="4"/>
  <c r="C42" i="4"/>
  <c r="D42" i="4"/>
  <c r="E42" i="4"/>
  <c r="D39" i="4"/>
  <c r="C39" i="4"/>
  <c r="B39" i="4"/>
  <c r="E39" i="4"/>
  <c r="A39" i="4"/>
  <c r="A32" i="4"/>
  <c r="B32" i="4"/>
  <c r="C32" i="4"/>
  <c r="D32" i="4"/>
  <c r="E32" i="4"/>
  <c r="A33" i="4"/>
  <c r="B33" i="4"/>
  <c r="C33" i="4"/>
  <c r="D33" i="4"/>
  <c r="E33" i="4"/>
  <c r="A34" i="4"/>
  <c r="B34" i="4"/>
  <c r="C34" i="4"/>
  <c r="D34" i="4"/>
  <c r="E34" i="4"/>
  <c r="A35" i="4"/>
  <c r="B35" i="4"/>
  <c r="C35" i="4"/>
  <c r="D35" i="4"/>
  <c r="E35" i="4"/>
  <c r="A36" i="4"/>
  <c r="B36" i="4"/>
  <c r="C36" i="4"/>
  <c r="D36" i="4"/>
  <c r="E36" i="4"/>
  <c r="D31" i="4"/>
  <c r="C31" i="4"/>
  <c r="B31" i="4"/>
  <c r="E31" i="4"/>
  <c r="A31" i="4"/>
  <c r="A14" i="4"/>
  <c r="B14" i="4"/>
  <c r="C14" i="4"/>
  <c r="D14" i="4"/>
  <c r="E14" i="4"/>
  <c r="A15" i="4"/>
  <c r="B15" i="4"/>
  <c r="C15" i="4"/>
  <c r="D15" i="4"/>
  <c r="E15" i="4"/>
  <c r="A16" i="4"/>
  <c r="B16" i="4"/>
  <c r="C16" i="4"/>
  <c r="D16" i="4"/>
  <c r="E16" i="4"/>
  <c r="A17" i="4"/>
  <c r="B17" i="4"/>
  <c r="C17" i="4"/>
  <c r="D17" i="4"/>
  <c r="E17" i="4"/>
  <c r="A18" i="4"/>
  <c r="B18" i="4"/>
  <c r="C18" i="4"/>
  <c r="D18" i="4"/>
  <c r="E18" i="4"/>
  <c r="A19" i="4"/>
  <c r="B19" i="4"/>
  <c r="C19" i="4"/>
  <c r="D19" i="4"/>
  <c r="E19" i="4"/>
  <c r="A20" i="4"/>
  <c r="B20" i="4"/>
  <c r="C20" i="4"/>
  <c r="D20" i="4"/>
  <c r="E20" i="4"/>
  <c r="A21" i="4"/>
  <c r="B21" i="4"/>
  <c r="C21" i="4"/>
  <c r="D21" i="4"/>
  <c r="E21" i="4"/>
  <c r="A22" i="4"/>
  <c r="B22" i="4"/>
  <c r="C22" i="4"/>
  <c r="D22" i="4"/>
  <c r="E22" i="4"/>
  <c r="A23" i="4"/>
  <c r="B23" i="4"/>
  <c r="C23" i="4"/>
  <c r="D23" i="4"/>
  <c r="E23" i="4"/>
  <c r="A24" i="4"/>
  <c r="B24" i="4"/>
  <c r="C24" i="4"/>
  <c r="D24" i="4"/>
  <c r="E24" i="4"/>
  <c r="A25" i="4"/>
  <c r="B25" i="4"/>
  <c r="C25" i="4"/>
  <c r="D25" i="4"/>
  <c r="E25" i="4"/>
  <c r="A26" i="4"/>
  <c r="B26" i="4"/>
  <c r="C26" i="4"/>
  <c r="D26" i="4"/>
  <c r="E26" i="4"/>
  <c r="A27" i="4"/>
  <c r="B27" i="4"/>
  <c r="C27" i="4"/>
  <c r="D27" i="4"/>
  <c r="E27" i="4"/>
  <c r="A28" i="4"/>
  <c r="B28" i="4"/>
  <c r="C28" i="4"/>
  <c r="D28" i="4"/>
  <c r="E28" i="4"/>
  <c r="A29" i="4"/>
  <c r="B29" i="4"/>
  <c r="C29" i="4"/>
  <c r="D29" i="4"/>
  <c r="E29" i="4"/>
  <c r="D13" i="4"/>
  <c r="C13" i="4"/>
  <c r="B13" i="4"/>
  <c r="E13" i="4"/>
  <c r="A13" i="4"/>
  <c r="A41" i="1"/>
  <c r="B41" i="1"/>
  <c r="C41" i="1"/>
  <c r="D41" i="1"/>
  <c r="E41" i="1"/>
  <c r="A42" i="1"/>
  <c r="B42" i="1"/>
  <c r="C42" i="1"/>
  <c r="D42" i="1"/>
  <c r="E42" i="1"/>
  <c r="A44" i="1"/>
  <c r="B44" i="1"/>
  <c r="C44" i="1"/>
  <c r="D44" i="1"/>
  <c r="E44" i="1"/>
  <c r="A45" i="1"/>
  <c r="B45" i="1"/>
  <c r="C45" i="1"/>
  <c r="D45" i="1"/>
  <c r="E45" i="1"/>
  <c r="A46" i="1"/>
  <c r="B46" i="1"/>
  <c r="C46" i="1"/>
  <c r="D46" i="1"/>
  <c r="E46" i="1"/>
  <c r="A47" i="1"/>
  <c r="B47" i="1"/>
  <c r="C47" i="1"/>
  <c r="D47" i="1"/>
  <c r="E47" i="1"/>
  <c r="A48" i="1"/>
  <c r="B48" i="1"/>
  <c r="C48" i="1"/>
  <c r="D48" i="1"/>
  <c r="E48" i="1"/>
  <c r="A49" i="1"/>
  <c r="B49" i="1"/>
  <c r="C49" i="1"/>
  <c r="D49" i="1"/>
  <c r="E49" i="1"/>
  <c r="A50" i="1"/>
  <c r="B50" i="1"/>
  <c r="C50" i="1"/>
  <c r="D50" i="1"/>
  <c r="E50" i="1"/>
  <c r="A51" i="1"/>
  <c r="C51" i="1"/>
  <c r="D51" i="1"/>
  <c r="E51" i="1"/>
  <c r="A52" i="1"/>
  <c r="B52" i="1"/>
  <c r="C52" i="1"/>
  <c r="D52" i="1"/>
  <c r="E52" i="1"/>
  <c r="A53" i="1"/>
  <c r="B53" i="1"/>
  <c r="C53" i="1"/>
  <c r="D53" i="1"/>
  <c r="E53" i="1"/>
  <c r="D40" i="1"/>
  <c r="C40" i="1"/>
  <c r="B40" i="1"/>
  <c r="E40" i="1"/>
  <c r="A40" i="1"/>
  <c r="A37" i="1"/>
  <c r="B37" i="1"/>
  <c r="C37" i="1"/>
  <c r="D37" i="1"/>
  <c r="E37" i="1"/>
  <c r="D36" i="1"/>
  <c r="C36" i="1"/>
  <c r="B36" i="1"/>
  <c r="E36" i="1"/>
  <c r="A36" i="1"/>
  <c r="B24" i="1"/>
  <c r="C24" i="1"/>
  <c r="D24" i="1"/>
  <c r="E24" i="1"/>
  <c r="A25" i="1"/>
  <c r="B25" i="1"/>
  <c r="C25" i="1"/>
  <c r="D25" i="1"/>
  <c r="E25" i="1"/>
  <c r="A26" i="1"/>
  <c r="B26" i="1"/>
  <c r="C26" i="1"/>
  <c r="D26" i="1"/>
  <c r="E26" i="1"/>
  <c r="A27" i="1"/>
  <c r="B27" i="1"/>
  <c r="C27" i="1"/>
  <c r="D27" i="1"/>
  <c r="E27" i="1"/>
  <c r="A28" i="1"/>
  <c r="B28" i="1"/>
  <c r="C28" i="1"/>
  <c r="D28" i="1"/>
  <c r="E28" i="1"/>
  <c r="A29" i="1"/>
  <c r="B29" i="1"/>
  <c r="C29" i="1"/>
  <c r="D29" i="1"/>
  <c r="E29" i="1"/>
  <c r="A30" i="1"/>
  <c r="B30" i="1"/>
  <c r="C30" i="1"/>
  <c r="D30" i="1"/>
  <c r="E30" i="1"/>
  <c r="A31" i="1"/>
  <c r="B31" i="1"/>
  <c r="C31" i="1"/>
  <c r="D31" i="1"/>
  <c r="E31" i="1"/>
  <c r="A32" i="1"/>
  <c r="B32" i="1"/>
  <c r="C32" i="1"/>
  <c r="D32" i="1"/>
  <c r="E32" i="1"/>
  <c r="A33" i="1"/>
  <c r="B33" i="1"/>
  <c r="C33" i="1"/>
  <c r="D33" i="1"/>
  <c r="E33" i="1"/>
  <c r="D23" i="1"/>
  <c r="E23" i="1"/>
  <c r="C23" i="1"/>
  <c r="B23" i="1"/>
  <c r="A23" i="1"/>
  <c r="A13" i="1"/>
  <c r="B13" i="1"/>
  <c r="C13" i="1"/>
  <c r="D13" i="1"/>
  <c r="E13" i="1"/>
  <c r="A14" i="1"/>
  <c r="B14" i="1"/>
  <c r="C14" i="1"/>
  <c r="D14" i="1"/>
  <c r="E14" i="1"/>
  <c r="A15" i="1"/>
  <c r="B15" i="1"/>
  <c r="C15" i="1"/>
  <c r="D15" i="1"/>
  <c r="E15" i="1"/>
  <c r="A16" i="1"/>
  <c r="B16" i="1"/>
  <c r="C16" i="1"/>
  <c r="D16" i="1"/>
  <c r="E16" i="1"/>
  <c r="A17" i="1"/>
  <c r="B17" i="1"/>
  <c r="C17" i="1"/>
  <c r="D17" i="1"/>
  <c r="E17" i="1"/>
  <c r="A18" i="1"/>
  <c r="B18" i="1"/>
  <c r="C18" i="1"/>
  <c r="D18" i="1"/>
  <c r="E18" i="1"/>
  <c r="A19" i="1"/>
  <c r="B19" i="1"/>
  <c r="C19" i="1"/>
  <c r="D19" i="1"/>
  <c r="E19" i="1"/>
  <c r="A20" i="1"/>
  <c r="B20" i="1"/>
  <c r="C20" i="1"/>
  <c r="D20" i="1"/>
  <c r="E20" i="1"/>
  <c r="D12" i="1"/>
  <c r="E12" i="1"/>
  <c r="C12" i="1"/>
  <c r="B12" i="1"/>
  <c r="A12" i="1"/>
  <c r="L23" i="2" l="1"/>
  <c r="J75" i="3"/>
  <c r="J76" i="3"/>
  <c r="J77" i="3"/>
  <c r="J78" i="3"/>
  <c r="J79" i="3"/>
  <c r="J74" i="3"/>
  <c r="J55" i="3"/>
  <c r="D165" i="7" l="1"/>
  <c r="C35" i="3" s="1"/>
  <c r="E165" i="7"/>
  <c r="E35" i="3" s="1"/>
  <c r="D166" i="7"/>
  <c r="C36" i="3" s="1"/>
  <c r="E166" i="7"/>
  <c r="E36" i="3" s="1"/>
  <c r="B165" i="7"/>
  <c r="C165" i="7"/>
  <c r="B166" i="7"/>
  <c r="C166" i="7"/>
  <c r="A166" i="7"/>
  <c r="A36" i="3" s="1"/>
  <c r="A165" i="7"/>
  <c r="A35" i="3" s="1"/>
  <c r="B36" i="3" l="1"/>
  <c r="D36" i="3"/>
  <c r="B35" i="3"/>
  <c r="D35" i="3"/>
  <c r="J22" i="2"/>
  <c r="J21" i="2"/>
  <c r="J18" i="2"/>
  <c r="J19" i="2"/>
  <c r="J17" i="2"/>
  <c r="J13" i="2"/>
  <c r="J14" i="2"/>
  <c r="J15" i="2"/>
  <c r="J12" i="2"/>
  <c r="J72" i="4"/>
  <c r="J73" i="4"/>
  <c r="J71" i="4"/>
  <c r="J68" i="4"/>
  <c r="J69" i="4"/>
  <c r="J67" i="4"/>
  <c r="J62" i="4"/>
  <c r="G62" i="4" s="1"/>
  <c r="J63" i="4"/>
  <c r="G63" i="4" s="1"/>
  <c r="J59" i="4"/>
  <c r="G59" i="4" s="1"/>
  <c r="J60" i="4"/>
  <c r="G60" i="4" s="1"/>
  <c r="J61" i="4"/>
  <c r="G61" i="4" s="1"/>
  <c r="J58" i="4"/>
  <c r="G58" i="4" s="1"/>
  <c r="J54" i="4"/>
  <c r="J55" i="4"/>
  <c r="J56" i="4"/>
  <c r="G56" i="4" s="1"/>
  <c r="J51" i="4"/>
  <c r="J52" i="4"/>
  <c r="J53" i="4"/>
  <c r="J48" i="4"/>
  <c r="J49" i="4"/>
  <c r="J50" i="4"/>
  <c r="J45" i="4"/>
  <c r="J46" i="4"/>
  <c r="J47" i="4"/>
  <c r="J44" i="4"/>
  <c r="J40" i="4"/>
  <c r="J41" i="4"/>
  <c r="J42" i="4"/>
  <c r="J36" i="4"/>
  <c r="J34" i="4"/>
  <c r="J35" i="4"/>
  <c r="J32" i="4"/>
  <c r="J33" i="4"/>
  <c r="J31" i="4"/>
  <c r="J17" i="4"/>
  <c r="J15" i="4"/>
  <c r="J16" i="4"/>
  <c r="J13" i="4"/>
  <c r="J51" i="1"/>
  <c r="J52" i="1"/>
  <c r="J53" i="1"/>
  <c r="J49" i="1"/>
  <c r="J50" i="1"/>
  <c r="J47" i="1"/>
  <c r="J48" i="1"/>
  <c r="J45" i="1"/>
  <c r="J46" i="1"/>
  <c r="J44" i="1"/>
  <c r="G44" i="1" s="1"/>
  <c r="J41" i="1"/>
  <c r="J42" i="1"/>
  <c r="G42" i="1" s="1"/>
  <c r="J40" i="1"/>
  <c r="J37" i="1"/>
  <c r="J36" i="1"/>
  <c r="J32" i="1"/>
  <c r="J33" i="1"/>
  <c r="J30" i="1"/>
  <c r="J31" i="1"/>
  <c r="J28" i="1"/>
  <c r="J29" i="1"/>
  <c r="J26" i="1"/>
  <c r="J27" i="1"/>
  <c r="J24" i="1"/>
  <c r="J25" i="1"/>
  <c r="J23" i="1"/>
  <c r="J19" i="1"/>
  <c r="G19" i="1" s="1"/>
  <c r="J20" i="1"/>
  <c r="J17" i="1"/>
  <c r="J18" i="1"/>
  <c r="J15" i="1"/>
  <c r="J16" i="1"/>
  <c r="J13" i="1"/>
  <c r="J14" i="1"/>
  <c r="J12" i="1"/>
  <c r="J52" i="3"/>
  <c r="J51" i="3"/>
  <c r="J50" i="3"/>
  <c r="J49" i="3"/>
  <c r="J48" i="3"/>
  <c r="J47" i="3"/>
  <c r="J46" i="3"/>
  <c r="J45" i="3"/>
  <c r="J44" i="3"/>
  <c r="J43" i="3"/>
  <c r="J41" i="3"/>
  <c r="G41" i="3" s="1"/>
  <c r="J40" i="3"/>
  <c r="J39" i="3"/>
  <c r="J36" i="3"/>
  <c r="J35" i="3"/>
  <c r="J32" i="3"/>
  <c r="J31" i="3"/>
  <c r="J30" i="3"/>
  <c r="J29" i="3"/>
  <c r="J27" i="3"/>
  <c r="J26" i="3"/>
  <c r="J25" i="3"/>
  <c r="J24" i="3"/>
  <c r="J23" i="3"/>
  <c r="J22" i="3"/>
  <c r="J21" i="3"/>
  <c r="J18" i="3"/>
  <c r="J17" i="3"/>
  <c r="J16" i="3"/>
  <c r="J15" i="3"/>
  <c r="J14" i="3"/>
  <c r="J13" i="3"/>
  <c r="J12" i="3"/>
  <c r="K87" i="3" l="1"/>
  <c r="M87" i="3" s="1"/>
  <c r="K83" i="3"/>
  <c r="K82" i="3"/>
  <c r="K86" i="3"/>
  <c r="L87" i="3" s="1"/>
  <c r="H30" i="4"/>
  <c r="L30" i="4" s="1"/>
  <c r="H17" i="4"/>
  <c r="H57" i="4"/>
  <c r="L57" i="4" s="1"/>
  <c r="H43" i="4"/>
  <c r="L43" i="4" s="1"/>
  <c r="K90" i="3" l="1"/>
  <c r="L90" i="3" s="1"/>
  <c r="L83" i="3"/>
  <c r="M83" i="3"/>
  <c r="L17" i="4"/>
  <c r="L12" i="4" s="1"/>
  <c r="L37" i="4" s="1"/>
  <c r="K44" i="1"/>
  <c r="M44" i="1" s="1"/>
  <c r="G14" i="4" l="1"/>
  <c r="G15" i="4"/>
  <c r="G16" i="4"/>
  <c r="G17" i="4"/>
  <c r="G18" i="4"/>
  <c r="G19" i="4"/>
  <c r="G21" i="4"/>
  <c r="G22" i="4"/>
  <c r="G23" i="4"/>
  <c r="G24" i="4"/>
  <c r="G25" i="4"/>
  <c r="G26" i="4"/>
  <c r="G27" i="4"/>
  <c r="G28" i="4"/>
  <c r="G29" i="4"/>
  <c r="G32" i="4"/>
  <c r="G33" i="4"/>
  <c r="G34" i="4"/>
  <c r="G35" i="4"/>
  <c r="G36" i="4"/>
  <c r="G31" i="4"/>
  <c r="G55" i="4"/>
  <c r="G54" i="4"/>
  <c r="G53" i="4"/>
  <c r="G50" i="4"/>
  <c r="G44" i="4"/>
  <c r="G42" i="4"/>
  <c r="G41" i="4"/>
  <c r="G40" i="4"/>
  <c r="G75" i="3"/>
  <c r="G76" i="3"/>
  <c r="G77" i="3"/>
  <c r="G78" i="3"/>
  <c r="G79" i="3"/>
  <c r="G74" i="3"/>
  <c r="G56" i="3"/>
  <c r="G57" i="3"/>
  <c r="G58" i="3"/>
  <c r="G60" i="3"/>
  <c r="G61" i="3"/>
  <c r="G62" i="3"/>
  <c r="G63" i="3"/>
  <c r="G64" i="3"/>
  <c r="G65" i="3"/>
  <c r="G66" i="3"/>
  <c r="G67" i="3"/>
  <c r="G68" i="3"/>
  <c r="G69" i="3"/>
  <c r="G70" i="3"/>
  <c r="G71" i="3"/>
  <c r="G18" i="2"/>
  <c r="G19" i="2"/>
  <c r="G17" i="2"/>
  <c r="G15" i="2"/>
  <c r="G13" i="2"/>
  <c r="G14" i="2"/>
  <c r="G12" i="2"/>
  <c r="G22" i="2"/>
  <c r="G21" i="2"/>
  <c r="G73" i="4" l="1"/>
  <c r="G72" i="4"/>
  <c r="G71" i="4"/>
  <c r="G69" i="4"/>
  <c r="G68" i="4"/>
  <c r="G67" i="4"/>
  <c r="I65" i="4"/>
  <c r="K41" i="4"/>
  <c r="M41" i="4" s="1"/>
  <c r="G39" i="4"/>
  <c r="G38" i="4" s="1"/>
  <c r="K39" i="4" s="1"/>
  <c r="H64" i="4" s="1"/>
  <c r="L64" i="4" s="1"/>
  <c r="K69" i="4" l="1"/>
  <c r="L68" i="4" s="1"/>
  <c r="K70" i="4"/>
  <c r="L71" i="4" s="1"/>
  <c r="K67" i="4"/>
  <c r="K66" i="4"/>
  <c r="K73" i="4"/>
  <c r="L72" i="4" s="1"/>
  <c r="B7" i="4"/>
  <c r="B6" i="4"/>
  <c r="B5" i="4"/>
  <c r="B7" i="3"/>
  <c r="B6" i="3"/>
  <c r="B5" i="3"/>
  <c r="B7" i="2"/>
  <c r="B6" i="2"/>
  <c r="B5" i="2"/>
  <c r="M8" i="4"/>
  <c r="M7" i="3"/>
  <c r="M7" i="2"/>
  <c r="K71" i="4" l="1"/>
  <c r="M71" i="4" s="1"/>
  <c r="M67" i="4" l="1"/>
  <c r="L67" i="4"/>
  <c r="L35" i="3"/>
  <c r="L37" i="3" s="1"/>
  <c r="N37" i="3" s="1"/>
  <c r="G35" i="3"/>
  <c r="K35" i="3" l="1"/>
  <c r="M35" i="3" s="1"/>
  <c r="L12" i="1" l="1"/>
  <c r="L13" i="1"/>
  <c r="L59" i="3" l="1"/>
  <c r="L55" i="3" l="1"/>
  <c r="L13" i="4"/>
  <c r="L54" i="3" l="1"/>
  <c r="M8" i="1" l="1"/>
  <c r="L73" i="3" l="1"/>
  <c r="G55" i="3"/>
  <c r="G54" i="3" s="1"/>
  <c r="L81" i="3" l="1"/>
  <c r="K55" i="3"/>
  <c r="H80" i="3" s="1"/>
  <c r="L80" i="3" s="1"/>
  <c r="G13" i="4"/>
  <c r="G12" i="4" s="1"/>
  <c r="K12" i="4" l="1"/>
  <c r="M12" i="4" s="1"/>
  <c r="L44" i="3" l="1"/>
  <c r="L45" i="3"/>
  <c r="L46" i="3"/>
  <c r="L43" i="3"/>
  <c r="L22" i="3"/>
  <c r="G22" i="3"/>
  <c r="L21" i="3"/>
  <c r="G21" i="3"/>
  <c r="L13" i="3"/>
  <c r="L12" i="3"/>
  <c r="G13" i="3"/>
  <c r="G12" i="3"/>
  <c r="L29" i="3"/>
  <c r="L25" i="3"/>
  <c r="L23" i="3"/>
  <c r="L28" i="3"/>
  <c r="K17" i="2"/>
  <c r="M17" i="2" s="1"/>
  <c r="K12" i="2"/>
  <c r="M12" i="2" s="1"/>
  <c r="K22" i="2"/>
  <c r="M22" i="2" s="1"/>
  <c r="K21" i="2"/>
  <c r="M21" i="2" s="1"/>
  <c r="G52" i="3"/>
  <c r="G51" i="3"/>
  <c r="G50" i="3"/>
  <c r="G49" i="3"/>
  <c r="G48" i="3"/>
  <c r="G47" i="3"/>
  <c r="G46" i="3"/>
  <c r="G45" i="3"/>
  <c r="G44" i="3"/>
  <c r="G43" i="3"/>
  <c r="G40" i="3"/>
  <c r="L39" i="3"/>
  <c r="G39" i="3"/>
  <c r="G32" i="3"/>
  <c r="G31" i="3"/>
  <c r="G30" i="3"/>
  <c r="G29" i="3"/>
  <c r="G27" i="3"/>
  <c r="G26" i="3"/>
  <c r="G25" i="3"/>
  <c r="G24" i="3"/>
  <c r="G23" i="3"/>
  <c r="G18" i="3"/>
  <c r="G17" i="3"/>
  <c r="L16" i="3"/>
  <c r="G16" i="3"/>
  <c r="G15" i="3"/>
  <c r="L14" i="3"/>
  <c r="G14" i="3"/>
  <c r="L14" i="1"/>
  <c r="G12" i="1"/>
  <c r="K12" i="1" s="1"/>
  <c r="M12" i="1" s="1"/>
  <c r="G13" i="1"/>
  <c r="K13" i="1" s="1"/>
  <c r="M13" i="1" s="1"/>
  <c r="G14" i="1"/>
  <c r="G15" i="1"/>
  <c r="G16" i="1"/>
  <c r="G17" i="1"/>
  <c r="L17" i="1"/>
  <c r="G18" i="1"/>
  <c r="L18" i="1"/>
  <c r="L19" i="1"/>
  <c r="G20" i="1"/>
  <c r="G23" i="1"/>
  <c r="L23" i="1"/>
  <c r="G24" i="1"/>
  <c r="L24" i="1"/>
  <c r="G25" i="1"/>
  <c r="L25" i="1"/>
  <c r="G26" i="1"/>
  <c r="G27" i="1"/>
  <c r="G28" i="1"/>
  <c r="L28" i="1"/>
  <c r="G29" i="1"/>
  <c r="L29" i="1"/>
  <c r="G30" i="1"/>
  <c r="G31" i="1"/>
  <c r="G32" i="1"/>
  <c r="L32" i="1"/>
  <c r="G33" i="1"/>
  <c r="L33" i="1"/>
  <c r="G36" i="1"/>
  <c r="K36" i="1" s="1"/>
  <c r="M36" i="1" s="1"/>
  <c r="G40" i="1"/>
  <c r="L40" i="1"/>
  <c r="G41" i="1"/>
  <c r="L42" i="1"/>
  <c r="K42" i="1" s="1"/>
  <c r="M42" i="1" s="1"/>
  <c r="H44" i="1"/>
  <c r="G45" i="1"/>
  <c r="H45" i="1"/>
  <c r="G46" i="1"/>
  <c r="H46" i="1"/>
  <c r="G47" i="1"/>
  <c r="H47" i="1"/>
  <c r="G48" i="1"/>
  <c r="G49" i="1"/>
  <c r="G50" i="1"/>
  <c r="G51" i="1"/>
  <c r="G52" i="1"/>
  <c r="G53" i="1"/>
  <c r="K14" i="1" l="1"/>
  <c r="M14" i="1" s="1"/>
  <c r="L38" i="1"/>
  <c r="N38" i="1" s="1"/>
  <c r="K43" i="3"/>
  <c r="M43" i="3" s="1"/>
  <c r="L47" i="3"/>
  <c r="L38" i="3" s="1"/>
  <c r="L53" i="3" s="1"/>
  <c r="N53" i="3" s="1"/>
  <c r="N23" i="2"/>
  <c r="K25" i="1"/>
  <c r="M25" i="1" s="1"/>
  <c r="K17" i="1"/>
  <c r="M17" i="1" s="1"/>
  <c r="K19" i="1"/>
  <c r="M19" i="1" s="1"/>
  <c r="K24" i="1"/>
  <c r="M24" i="1" s="1"/>
  <c r="K18" i="1"/>
  <c r="M18" i="1" s="1"/>
  <c r="K40" i="1"/>
  <c r="M40" i="1" s="1"/>
  <c r="K28" i="1"/>
  <c r="M28" i="1" s="1"/>
  <c r="K23" i="1"/>
  <c r="M23" i="1" s="1"/>
  <c r="K54" i="3"/>
  <c r="M54" i="3" s="1"/>
  <c r="K33" i="1"/>
  <c r="M33" i="1" s="1"/>
  <c r="L21" i="1"/>
  <c r="N21" i="1" s="1"/>
  <c r="K12" i="3"/>
  <c r="L11" i="3"/>
  <c r="L19" i="3" s="1"/>
  <c r="K39" i="3"/>
  <c r="M39" i="3" s="1"/>
  <c r="K25" i="3"/>
  <c r="M25" i="3" s="1"/>
  <c r="K16" i="3"/>
  <c r="K29" i="3"/>
  <c r="K28" i="3" s="1"/>
  <c r="K21" i="3"/>
  <c r="M21" i="3" s="1"/>
  <c r="K22" i="3"/>
  <c r="M22" i="3" s="1"/>
  <c r="K14" i="3"/>
  <c r="M14" i="3" s="1"/>
  <c r="K13" i="3"/>
  <c r="M13" i="3" s="1"/>
  <c r="L20" i="3"/>
  <c r="L33" i="3" s="1"/>
  <c r="N33" i="3" s="1"/>
  <c r="K23" i="3"/>
  <c r="H48" i="1"/>
  <c r="M48" i="1" s="1"/>
  <c r="K13" i="2"/>
  <c r="M13" i="2" s="1"/>
  <c r="K29" i="1"/>
  <c r="M29" i="1" s="1"/>
  <c r="K32" i="1"/>
  <c r="M32" i="1" s="1"/>
  <c r="L34" i="1"/>
  <c r="N34" i="1" s="1"/>
  <c r="M16" i="3" l="1"/>
  <c r="K11" i="3"/>
  <c r="K20" i="3"/>
  <c r="M38" i="3"/>
  <c r="M12" i="3"/>
  <c r="L44" i="1"/>
  <c r="L54" i="1" s="1"/>
  <c r="N54" i="1" s="1"/>
  <c r="O52" i="1"/>
  <c r="N19" i="3"/>
  <c r="M29" i="3"/>
  <c r="K38" i="3"/>
  <c r="M23" i="3"/>
  <c r="M11" i="3" l="1"/>
  <c r="M20" i="3"/>
  <c r="G45" i="4"/>
  <c r="G46" i="4"/>
  <c r="G47" i="4"/>
  <c r="G48" i="4"/>
  <c r="G49" i="4"/>
  <c r="G51" i="4"/>
  <c r="G52" i="4"/>
  <c r="L39" i="4"/>
  <c r="L38" i="4" s="1"/>
  <c r="L65" i="4" s="1"/>
  <c r="K38" i="4" l="1"/>
  <c r="M38" i="4" s="1"/>
  <c r="K68" i="4"/>
  <c r="M68" i="4" s="1"/>
  <c r="K74" i="4"/>
  <c r="L74" i="4" s="1"/>
  <c r="L75" i="4" s="1"/>
  <c r="K72" i="4" l="1"/>
  <c r="M72" i="4" s="1"/>
  <c r="L91" i="3"/>
  <c r="K84" i="3"/>
  <c r="M8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Sullivant,Duane (DSHS)</author>
    <author>Sullivant,Duane (HHSC)</author>
  </authors>
  <commentList>
    <comment ref="K14" authorId="0" shapeId="0" xr:uid="{00000000-0006-0000-0000-000001000000}">
      <text>
        <r>
          <rPr>
            <sz val="8"/>
            <color indexed="81"/>
            <rFont val="Tahoma"/>
            <family val="2"/>
          </rPr>
          <t>Number served calculated based on the total of Outpatient Services Average  ($2,083.12) per client.</t>
        </r>
      </text>
    </comment>
    <comment ref="K29" authorId="1" shapeId="0" xr:uid="{EB953E8E-4168-4C00-8723-B6A46ECB43C2}">
      <text>
        <r>
          <rPr>
            <sz val="9"/>
            <color indexed="81"/>
            <rFont val="Tahoma"/>
            <family val="2"/>
          </rPr>
          <t xml:space="preserve">Number served calculated based on the total of Outpatient Services Average ($2,489.77) per client.
</t>
        </r>
      </text>
    </comment>
    <comment ref="M36" authorId="1" shapeId="0" xr:uid="{4BAC3159-4358-41D1-AD67-882467C766C3}">
      <text>
        <r>
          <rPr>
            <b/>
            <sz val="9"/>
            <color indexed="81"/>
            <rFont val="Tahoma"/>
            <family val="2"/>
          </rPr>
          <t>Calculation is: Number Served divided by number of days in the year multiplied by the LOS days (7 days x 6 weeks) = 42 days
There should be 17 LOS units provided within the length of service (42 days)</t>
        </r>
        <r>
          <rPr>
            <sz val="9"/>
            <color indexed="81"/>
            <rFont val="Tahoma"/>
            <family val="2"/>
          </rPr>
          <t xml:space="preserve">
</t>
        </r>
      </text>
    </comment>
    <comment ref="K44" authorId="0" shapeId="0" xr:uid="{00000000-0006-0000-0000-000004000000}">
      <text>
        <r>
          <rPr>
            <sz val="8"/>
            <color indexed="81"/>
            <rFont val="Tahoma"/>
            <family val="2"/>
          </rPr>
          <t>Number served based on average cost per client of ($2,378.34) for all Youth OP services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Sullivant,Duane (HHSC)</author>
    <author>Keenan,Brian J (DSHS)</author>
  </authors>
  <commentList>
    <comment ref="H12" authorId="0" shapeId="0" xr:uid="{00000000-0006-0000-0300-000001000000}">
      <text>
        <r>
          <rPr>
            <b/>
            <sz val="9"/>
            <color indexed="81"/>
            <rFont val="Tahoma"/>
            <family val="2"/>
          </rPr>
          <t>Enter the total amount for the contract.  Percentages to be utilized for Methadone (80%), Buprenorphine (18%), and Naltrexone (2%) will be applied to calculate the number served.  Health Screenings (2%) and Comorbid Conditions (2%) will be subtracted before calculating the number served.</t>
        </r>
      </text>
    </comment>
    <comment ref="L12" authorId="0" shapeId="0" xr:uid="{814C99FC-EADC-452E-A287-B6CB25E556F1}">
      <text>
        <r>
          <rPr>
            <b/>
            <sz val="9"/>
            <color indexed="81"/>
            <rFont val="Tahoma"/>
            <family val="2"/>
          </rPr>
          <t>Dollar amount to calculate Number Served and Capacity is Total Amount with Outpatient Visit - Health Screening (2%) and Comorbid Conditions (2%) subtracted.</t>
        </r>
        <r>
          <rPr>
            <sz val="9"/>
            <color indexed="81"/>
            <rFont val="Tahoma"/>
            <family val="2"/>
          </rPr>
          <t xml:space="preserve">
</t>
        </r>
      </text>
    </comment>
    <comment ref="N37" authorId="0" shapeId="0" xr:uid="{00000000-0006-0000-0300-000003000000}">
      <text>
        <r>
          <rPr>
            <b/>
            <sz val="9"/>
            <color indexed="81"/>
            <rFont val="Tahoma"/>
            <family val="2"/>
          </rPr>
          <t>No Match for this service type</t>
        </r>
      </text>
    </comment>
    <comment ref="H38" authorId="0" shapeId="0" xr:uid="{5B9CCCD8-3253-45CB-8B12-F684D7A63CD1}">
      <text>
        <r>
          <rPr>
            <b/>
            <sz val="9"/>
            <color indexed="81"/>
            <rFont val="Tahoma"/>
            <family val="2"/>
          </rPr>
          <t>Enter the total amount for the contract.  Percentages to be utilized for Methadone (80%), Buprenorphine (18%), and Naltrexone (2%) will be applied to calculate the number served.  Health Screenings (2%), Comorbid Conditions (2%) and GPRA Assessment will be subtracted before calculating the number served.</t>
        </r>
        <r>
          <rPr>
            <sz val="9"/>
            <color indexed="81"/>
            <rFont val="Tahoma"/>
            <family val="2"/>
          </rPr>
          <t xml:space="preserve">
</t>
        </r>
      </text>
    </comment>
    <comment ref="L38" authorId="0" shapeId="0" xr:uid="{E00429AE-9571-4203-8BB9-FF5C0721AA80}">
      <text>
        <r>
          <rPr>
            <b/>
            <sz val="9"/>
            <color indexed="81"/>
            <rFont val="Tahoma"/>
            <family val="2"/>
          </rPr>
          <t>Dollar amount to calculate Number Served and Capacity is Total Amount with Outpatient Visit - Health Screening (2%), Comorbid Conditions (2%) and GPRA ($123 multiplied by Number Served if Total Amount is utilized) subtracted.</t>
        </r>
        <r>
          <rPr>
            <sz val="9"/>
            <color indexed="81"/>
            <rFont val="Tahoma"/>
            <family val="2"/>
          </rPr>
          <t xml:space="preserve">
</t>
        </r>
      </text>
    </comment>
    <comment ref="N65" authorId="1" shapeId="0" xr:uid="{3D6E46E8-7AAF-4788-B02E-CF5DC7A54ABB}">
      <text>
        <r>
          <rPr>
            <b/>
            <sz val="9"/>
            <color indexed="81"/>
            <rFont val="Tahoma"/>
            <family val="2"/>
          </rPr>
          <t>No Match Requirement</t>
        </r>
      </text>
    </comment>
    <comment ref="H67" authorId="0" shapeId="0" xr:uid="{9BBFD559-A0FB-4521-99AE-4E4237F30957}">
      <text>
        <r>
          <rPr>
            <b/>
            <sz val="9"/>
            <color indexed="81"/>
            <rFont val="Tahoma"/>
            <family val="2"/>
          </rPr>
          <t>Enter the total amount to be utilized for Buprenorphine on this line.</t>
        </r>
      </text>
    </comment>
    <comment ref="H68" authorId="0" shapeId="0" xr:uid="{3C3E4844-AE94-4A8E-B568-8D8FD3402E29}">
      <text>
        <r>
          <rPr>
            <b/>
            <sz val="9"/>
            <color indexed="81"/>
            <rFont val="Tahoma"/>
            <family val="2"/>
          </rPr>
          <t>Enter the amount to be utilized for Naltrexone on this line.  This amount will be subtracted from the line above.</t>
        </r>
        <r>
          <rPr>
            <sz val="9"/>
            <color indexed="81"/>
            <rFont val="Tahoma"/>
            <family val="2"/>
          </rPr>
          <t xml:space="preserve">
</t>
        </r>
      </text>
    </comment>
    <comment ref="H71" authorId="0" shapeId="0" xr:uid="{67AB1AA7-E32A-42D3-9AD1-27A2D66677A1}">
      <text>
        <r>
          <rPr>
            <b/>
            <sz val="9"/>
            <color indexed="81"/>
            <rFont val="Tahoma"/>
            <family val="2"/>
          </rPr>
          <t>Enter the total amount to be utilized for Buprenorphine on this line.</t>
        </r>
        <r>
          <rPr>
            <sz val="9"/>
            <color indexed="81"/>
            <rFont val="Tahoma"/>
            <family val="2"/>
          </rPr>
          <t xml:space="preserve">
</t>
        </r>
      </text>
    </comment>
    <comment ref="H72" authorId="0" shapeId="0" xr:uid="{F91ED90B-E1A8-451C-A2D8-7A8331351068}">
      <text>
        <r>
          <rPr>
            <b/>
            <sz val="9"/>
            <color indexed="81"/>
            <rFont val="Tahoma"/>
            <family val="2"/>
          </rPr>
          <t>Enter the amount to be utilized for Naltrexone on this line.  This amount will be subtracted from the line above.</t>
        </r>
        <r>
          <rPr>
            <sz val="9"/>
            <color indexed="81"/>
            <rFont val="Tahoma"/>
            <family val="2"/>
          </rPr>
          <t xml:space="preserve">
</t>
        </r>
      </text>
    </comment>
    <comment ref="N75" authorId="1" shapeId="0" xr:uid="{6F23A94B-AD5C-4699-878B-E680E1FDA79E}">
      <text>
        <r>
          <rPr>
            <b/>
            <sz val="9"/>
            <color indexed="81"/>
            <rFont val="Tahoma"/>
            <family val="2"/>
          </rPr>
          <t>No Match Requirement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Sullivant,Duane (HHSC)</author>
  </authors>
  <commentList>
    <comment ref="K13" authorId="0" shapeId="0" xr:uid="{B9251B3B-AAC8-49E6-B29E-7B0488D87E40}">
      <text>
        <r>
          <rPr>
            <sz val="9"/>
            <color indexed="81"/>
            <rFont val="Tahoma"/>
            <family val="2"/>
          </rPr>
          <t xml:space="preserve">
Numer served calculated based on the total of Outpatient Services Average ($2,489.77) per client.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Sullivant,Duane (HHSC)</author>
    <author>Keenan,Brian J (DSHS)</author>
  </authors>
  <commentList>
    <comment ref="H54" authorId="0" shapeId="0" xr:uid="{00000000-0006-0000-0200-000001000000}">
      <text>
        <r>
          <rPr>
            <b/>
            <sz val="9"/>
            <color indexed="81"/>
            <rFont val="Tahoma"/>
            <family val="2"/>
          </rPr>
          <t>Enter the total amount for the contract.  Percentages to be utilized for Methadone (80%), Buprenorphine (15%), and Naltrexone (5%) will be applied to calculate the number served.  Health Screenings (5%) and Comorbid Conditions (7%) will be subtracted before calculating the number served.</t>
        </r>
        <r>
          <rPr>
            <sz val="9"/>
            <color indexed="81"/>
            <rFont val="Tahoma"/>
            <family val="2"/>
          </rPr>
          <t xml:space="preserve">
</t>
        </r>
      </text>
    </comment>
    <comment ref="N81" authorId="1" shapeId="0" xr:uid="{00000000-0006-0000-0200-000003000000}">
      <text>
        <r>
          <rPr>
            <b/>
            <sz val="9"/>
            <color indexed="81"/>
            <rFont val="Tahoma"/>
            <family val="2"/>
          </rPr>
          <t>No Match Requirement</t>
        </r>
      </text>
    </comment>
    <comment ref="H83" authorId="0" shapeId="0" xr:uid="{DDF40D18-ECA5-4FD7-8456-F7207BCAA515}">
      <text>
        <r>
          <rPr>
            <b/>
            <sz val="9"/>
            <color indexed="81"/>
            <rFont val="Tahoma"/>
            <family val="2"/>
          </rPr>
          <t>Enter the total amount to be utilized for Buprenorphine and Naltrexone on this line.</t>
        </r>
      </text>
    </comment>
    <comment ref="H84" authorId="0" shapeId="0" xr:uid="{E8884D27-4944-4F33-A0FE-AA7B0698F7AB}">
      <text>
        <r>
          <rPr>
            <b/>
            <sz val="9"/>
            <color indexed="81"/>
            <rFont val="Tahoma"/>
            <family val="2"/>
          </rPr>
          <t>Enter the amount to be utilized for Naltrexone on this line.  This amount will be subtracted from the line above.</t>
        </r>
        <r>
          <rPr>
            <sz val="9"/>
            <color indexed="81"/>
            <rFont val="Tahoma"/>
            <family val="2"/>
          </rPr>
          <t xml:space="preserve">
</t>
        </r>
      </text>
    </comment>
    <comment ref="H87" authorId="0" shapeId="0" xr:uid="{9236E712-3689-4541-9BC0-2B46630BABC9}">
      <text>
        <r>
          <rPr>
            <b/>
            <sz val="9"/>
            <color indexed="81"/>
            <rFont val="Tahoma"/>
            <family val="2"/>
          </rPr>
          <t>Enter the total amount to be utilized for Buprenorphine and Naltrexone on this line.</t>
        </r>
        <r>
          <rPr>
            <sz val="9"/>
            <color indexed="81"/>
            <rFont val="Tahoma"/>
            <family val="2"/>
          </rPr>
          <t xml:space="preserve">
</t>
        </r>
      </text>
    </comment>
    <comment ref="H88" authorId="0" shapeId="0" xr:uid="{72F6B842-179A-46B0-9B6F-C0ED461C758A}">
      <text>
        <r>
          <rPr>
            <b/>
            <sz val="9"/>
            <color indexed="81"/>
            <rFont val="Tahoma"/>
            <family val="2"/>
          </rPr>
          <t>Enter the amount to be utilized for Naltrexone on this line.  This amount will be subtracted from the line above.</t>
        </r>
        <r>
          <rPr>
            <sz val="9"/>
            <color indexed="81"/>
            <rFont val="Tahoma"/>
            <family val="2"/>
          </rPr>
          <t xml:space="preserve">
</t>
        </r>
      </text>
    </comment>
    <comment ref="N91" authorId="1" shapeId="0" xr:uid="{BC2880BE-D530-4428-8B89-58CF96F47DDE}">
      <text>
        <r>
          <rPr>
            <b/>
            <sz val="9"/>
            <color indexed="81"/>
            <rFont val="Tahoma"/>
            <family val="2"/>
          </rPr>
          <t>No Match Requirement</t>
        </r>
      </text>
    </comment>
  </commentList>
</comments>
</file>

<file path=xl/sharedStrings.xml><?xml version="1.0" encoding="utf-8"?>
<sst xmlns="http://schemas.openxmlformats.org/spreadsheetml/2006/main" count="1250" uniqueCount="540">
  <si>
    <t>Treatment Calculation Worksheet</t>
  </si>
  <si>
    <t>Rev.</t>
  </si>
  <si>
    <t>Contractor</t>
  </si>
  <si>
    <t>Contract start date</t>
  </si>
  <si>
    <t>Region</t>
  </si>
  <si>
    <t>Contract end date</t>
  </si>
  <si>
    <t>Results on this worksheet are for estimations.</t>
  </si>
  <si>
    <t>Required Match</t>
  </si>
  <si>
    <t xml:space="preserve">Business decisions should be made utilizing professional/expert advice. </t>
  </si>
  <si>
    <t>HHSC is not responsible for business decisions made utilizing these worksheets.</t>
  </si>
  <si>
    <t>Days in fiscal year</t>
  </si>
  <si>
    <t>Enter Dollar Value</t>
  </si>
  <si>
    <t>BHSMS Entries</t>
  </si>
  <si>
    <t>Procedure Code</t>
  </si>
  <si>
    <t>Billing Code</t>
  </si>
  <si>
    <t>Program ID</t>
  </si>
  <si>
    <t xml:space="preserve">Service Types                                  </t>
  </si>
  <si>
    <t>Unit</t>
  </si>
  <si>
    <t>Days or Units (LOS)</t>
  </si>
  <si>
    <t>Average $ per client</t>
  </si>
  <si>
    <t>Award Amount</t>
  </si>
  <si>
    <t>%</t>
  </si>
  <si>
    <t>Unit Rate</t>
  </si>
  <si>
    <t>Number Served</t>
  </si>
  <si>
    <t>Distribution $</t>
  </si>
  <si>
    <t>Capacity</t>
  </si>
  <si>
    <t>Match</t>
  </si>
  <si>
    <t>Treatment - Adult</t>
  </si>
  <si>
    <t>Total TRA</t>
  </si>
  <si>
    <t>Treatment - Specialized Female</t>
  </si>
  <si>
    <t>Total TRF</t>
  </si>
  <si>
    <t>Treatment - Co-Occurring Psychiatric and Substance Use Disorder</t>
  </si>
  <si>
    <t>Treatment - Youth</t>
  </si>
  <si>
    <t>H2016HAHV</t>
  </si>
  <si>
    <t>Total TRY</t>
  </si>
  <si>
    <t>End of worksheet</t>
  </si>
  <si>
    <t>Statewide</t>
  </si>
  <si>
    <t>rates</t>
  </si>
  <si>
    <t xml:space="preserve">Service Types </t>
  </si>
  <si>
    <t>Neonatal Abstinence Syndrome - Medication Assisted Treatment</t>
  </si>
  <si>
    <t>NAS-MAT</t>
  </si>
  <si>
    <t>Comorbid Condition Services</t>
  </si>
  <si>
    <t>Total NAS-MAT</t>
  </si>
  <si>
    <t>Medication Asisted Treatment Services</t>
  </si>
  <si>
    <t>New Admission Health Screening Services</t>
  </si>
  <si>
    <t>Total MAT</t>
  </si>
  <si>
    <t>Office-Based Opioid Treatment - Adult</t>
  </si>
  <si>
    <t>Office-Based Opioid Treatment (Specialized Female)</t>
  </si>
  <si>
    <t>Total OBT</t>
  </si>
  <si>
    <t xml:space="preserve">Rev. </t>
  </si>
  <si>
    <t>Service Types</t>
  </si>
  <si>
    <t>% activity allocation</t>
  </si>
  <si>
    <t>Neonatal Abstinence Syndrome - Post Partum Women</t>
  </si>
  <si>
    <t>Pregnant Post Partum Treatment</t>
  </si>
  <si>
    <t>Pregnant Post Partum Women with Children Treatment</t>
  </si>
  <si>
    <t>Pregnant Post Partum Detoxifcation Treatment</t>
  </si>
  <si>
    <t>Total NAS-PPW</t>
  </si>
  <si>
    <t xml:space="preserve">Service Types  </t>
  </si>
  <si>
    <t>unit</t>
  </si>
  <si>
    <t>Days or Units / LOS</t>
  </si>
  <si>
    <t>Service Allocation</t>
  </si>
  <si>
    <t>Match Required</t>
  </si>
  <si>
    <t>Local Behavioral Health Authority</t>
  </si>
  <si>
    <t>Treatment Services - Adult</t>
  </si>
  <si>
    <t>Specialized Female  Subs Abuse Services</t>
  </si>
  <si>
    <t>Women with Children Sub Abuse Services</t>
  </si>
  <si>
    <t>Youth Subs Abuse Services</t>
  </si>
  <si>
    <t>Youth Outpatient Services</t>
  </si>
  <si>
    <t>Medication Assisted Treatment Services</t>
  </si>
  <si>
    <t>Version</t>
  </si>
  <si>
    <t>Date Revised</t>
  </si>
  <si>
    <t>Revision</t>
  </si>
  <si>
    <t>02/02/2019</t>
  </si>
  <si>
    <t>2/2019</t>
  </si>
  <si>
    <t>Secured for posting online</t>
  </si>
  <si>
    <t>7/2019</t>
  </si>
  <si>
    <t>revised Naltrexone rate from $967.00 to $1208.40 and Naltrexone Support Services from $235.00 to $183.82</t>
  </si>
  <si>
    <t>01/2020</t>
  </si>
  <si>
    <t>revised notes and updated formulas</t>
  </si>
  <si>
    <t>5/2020</t>
  </si>
  <si>
    <t>Revised rates, Revised Program IDs, Removed TRA-OTS, revised MAT LOS</t>
  </si>
  <si>
    <t>9/2020</t>
  </si>
  <si>
    <t>Revised Billing/Procedure Codes</t>
  </si>
  <si>
    <t>12/02/2021</t>
  </si>
  <si>
    <t>12/2020</t>
  </si>
  <si>
    <t>Added GPRA to MAT Services</t>
  </si>
  <si>
    <t>3/2020</t>
  </si>
  <si>
    <t>Added GPRA and Outpatient Visit to LBHA</t>
  </si>
  <si>
    <t>9/15/2021</t>
  </si>
  <si>
    <t>Corrected NAS MAT services to total correctly</t>
  </si>
  <si>
    <t>Revised COPSD capacity and number served</t>
  </si>
  <si>
    <t>8/1/2022</t>
  </si>
  <si>
    <t>Revised COPSD capacity and number served. Secured to place online</t>
  </si>
  <si>
    <t>01/01/2023</t>
  </si>
  <si>
    <t>Revised Methadone rate to $18.84 and revised Buprenorphine rate to $34.15</t>
  </si>
  <si>
    <t>6/28/2022</t>
  </si>
  <si>
    <t>6/28/2023</t>
  </si>
  <si>
    <t>Corrected Spec Fem Amb Detox LBHA from HB0014 to HB0012, corrected W/C Res Intensive LBHA from H2036HBTGU9 to H2036HDTGU9, and revised the percentages of Buprenorphine (15% to 18$), Naltrexone (5% to 2%), New Admissions Health Screening (5% to 2%) , and Comorbid Services (7% to 2%)</t>
  </si>
  <si>
    <t>07/05/2023</t>
  </si>
  <si>
    <t>Revised NAS-MAT rate to $34.15. Removed MAT from PPW.  PPW MAT services were removed in the contract for FY23</t>
  </si>
  <si>
    <t>8/10/2023</t>
  </si>
  <si>
    <t>8/10/223</t>
  </si>
  <si>
    <t>Secured to place online</t>
  </si>
  <si>
    <t>10/16/2023</t>
  </si>
  <si>
    <t>Revised rates</t>
  </si>
  <si>
    <t>1</t>
  </si>
  <si>
    <t>2</t>
  </si>
  <si>
    <t>3</t>
  </si>
  <si>
    <t>4</t>
  </si>
  <si>
    <t>5</t>
  </si>
  <si>
    <t>6</t>
  </si>
  <si>
    <t>7</t>
  </si>
  <si>
    <t>8</t>
  </si>
  <si>
    <t>9</t>
  </si>
  <si>
    <t>10</t>
  </si>
  <si>
    <t>11</t>
  </si>
  <si>
    <t>Rate</t>
  </si>
  <si>
    <t>Number of Units</t>
  </si>
  <si>
    <t>Description</t>
  </si>
  <si>
    <t>Status</t>
  </si>
  <si>
    <t>H2036</t>
  </si>
  <si>
    <t>H2036HBTG</t>
  </si>
  <si>
    <t>SA/TRA</t>
  </si>
  <si>
    <t>Day</t>
  </si>
  <si>
    <t>Adult Residential Intensive</t>
  </si>
  <si>
    <t>Bundled rate to provide payment for adult residential treatment service to include individual and group counseling, education, planned activities, room and board</t>
  </si>
  <si>
    <t>Active</t>
  </si>
  <si>
    <t>H2036HBTF</t>
  </si>
  <si>
    <t>Adult Residential Supportive</t>
  </si>
  <si>
    <t>Bundled rate to provide payment for adult supportive residential treatment service to include individual and group counseling, education, planned activities, room and board</t>
  </si>
  <si>
    <t>H2035</t>
  </si>
  <si>
    <t>H2035HB</t>
  </si>
  <si>
    <t>Hour</t>
  </si>
  <si>
    <t>Adult Outpatient Individual</t>
  </si>
  <si>
    <t>Bundled rate to provide adult outpatient services (supportive or intensive) to include a comprehensive assessment,  individualized treatment plan, and individual counseling</t>
  </si>
  <si>
    <t>H0005</t>
  </si>
  <si>
    <t>H0005HB</t>
  </si>
  <si>
    <t>Adult Outpatient Group Counseling</t>
  </si>
  <si>
    <t>Bundled rate to provide adult outpatient process group services (supportive or intensive)</t>
  </si>
  <si>
    <t>T1012</t>
  </si>
  <si>
    <t>T1012HBHQ</t>
  </si>
  <si>
    <t>Adult Outpatient Group Education</t>
  </si>
  <si>
    <t>Bundled rate to provide adult outpatient group education services (supportive or intensive)</t>
  </si>
  <si>
    <t>H0010</t>
  </si>
  <si>
    <t>H0010HB</t>
  </si>
  <si>
    <t>Adult Residential Detoxification</t>
  </si>
  <si>
    <t xml:space="preserve">Bundled rate for adult residential withdrawal management to provide physician care, physician examination, emergency medical care, and room and board. </t>
  </si>
  <si>
    <t>H0012</t>
  </si>
  <si>
    <t>H0012HB</t>
  </si>
  <si>
    <t>Adult Ambulatory Detoxification</t>
  </si>
  <si>
    <t>Bundled rate for adult ambulatory withdrawal management to provide physician care, physician examination, and emergency medical care.</t>
  </si>
  <si>
    <t>H2036TF</t>
  </si>
  <si>
    <t>HIV Residential</t>
  </si>
  <si>
    <t>Bundled rate to provide payment for adult human immunodeficiency virus residential treatment service to include individual and group counseling, education, planned activities, physical care, room and board</t>
  </si>
  <si>
    <t>H2022</t>
  </si>
  <si>
    <t>H2022HBTGHFP3</t>
  </si>
  <si>
    <t>Adult HIV Residential Wraparound Services</t>
  </si>
  <si>
    <t>Bundled rate to provide payment for adult human immunodeficiency virus residential treatment service to include physical care, room and board not paid by Medicaid</t>
  </si>
  <si>
    <t>Treatment - Female</t>
  </si>
  <si>
    <t>H2036HBHDTG</t>
  </si>
  <si>
    <t>SA/TRF</t>
  </si>
  <si>
    <t>Adult Spec Fem Residential Intensive</t>
  </si>
  <si>
    <t>Bundled rate to provide payment for adult pregnant women residential treatment service to include individual and group counseling, education, planned activities, room and board</t>
  </si>
  <si>
    <t>H2036HBHDTF</t>
  </si>
  <si>
    <t>Adult Spec Fem Residential Supportive</t>
  </si>
  <si>
    <t>Bundled rate to provide payment for adult pregnant women supportive residential treatment service to include individual and group counseling, education, planned activities, room and board</t>
  </si>
  <si>
    <t>H2036HDTG</t>
  </si>
  <si>
    <t>Adult Spec Fem W/C Residential Intensive</t>
  </si>
  <si>
    <t>Bundled rate to provide payment for adult women and their children residential treatment service to include individual and group counseling, education, planned activities, childcare, room and board for both the woman and her children</t>
  </si>
  <si>
    <t>H2022HAHDTGHF</t>
  </si>
  <si>
    <t>Adult Spec Fem W/C Residential Wraparound Services-LESS THAN 21</t>
  </si>
  <si>
    <t>Bundled rate to provide payment for women (under 21) with children residential treatment service child care and room and board not paid by Medicaid</t>
  </si>
  <si>
    <t>H2022HBHDTGHF</t>
  </si>
  <si>
    <t>Adult Spec Fem W/C Residential Wraparound Services- 21 and OVER</t>
  </si>
  <si>
    <t>Bundled rate to provide payment for women (over 21) with children residential treatment service child care and room and board not paid by Medicaid</t>
  </si>
  <si>
    <t>H2036HDTF</t>
  </si>
  <si>
    <t>Adult Spec Fem W/C Residential Supportive</t>
  </si>
  <si>
    <t>Bundled rate to provide payment for pregnant females supportive residential treatment service to include individual and group counseling, education, planned activities, room and board</t>
  </si>
  <si>
    <t>H2035HBHD</t>
  </si>
  <si>
    <t>Adult Spec Female Outpatient Individual</t>
  </si>
  <si>
    <t>Bundled rate to provide adult pregnant female outpatient services (supportive or intensive) to include a comprehensive assessment,  individualized treatment plan, and individual counseling</t>
  </si>
  <si>
    <t>H0005HBHD</t>
  </si>
  <si>
    <t>Adult Spec Female Outpatient Group Counseling</t>
  </si>
  <si>
    <t>Bundled rate to provide adult pregnant femal outpatient process group services (supportive or intensive)</t>
  </si>
  <si>
    <t>T1012HBHDHQ</t>
  </si>
  <si>
    <t>Adult Spec Female Outpatient Group Education</t>
  </si>
  <si>
    <t>Bundled rate to provide adult pregnant female outpatient group education services (supportive or intensive)</t>
  </si>
  <si>
    <t>H0010HBHD</t>
  </si>
  <si>
    <t>Adult Spec Fem Residential Detoxification</t>
  </si>
  <si>
    <t xml:space="preserve">Bundled rate for adult residential withdrawal management to provide physician care, physician examination, physician monitoring of fetus, emergency medical care, and room and board. </t>
  </si>
  <si>
    <t>H0012HBHD</t>
  </si>
  <si>
    <t>Adult Spec Fem Ambulatory Detoxification</t>
  </si>
  <si>
    <t>Bundled rate for adult ambulatory withdrawal management to provide physician care, physician examination, physician monitoring of fetus, and emergency medical care.</t>
  </si>
  <si>
    <t>H0006</t>
  </si>
  <si>
    <t>H0006HA</t>
  </si>
  <si>
    <t>SA/COPSD</t>
  </si>
  <si>
    <t>Co-occurring Psychiatric &amp; Substance Abuse Disorders - Youth</t>
  </si>
  <si>
    <t xml:space="preserve">Bundled rate to provide adult co-occurring psychiatric &amp; substance use disorders counseling, case management to address both psychiatric and substance use disorders and automobile mileage </t>
  </si>
  <si>
    <t>H0006HB</t>
  </si>
  <si>
    <t>Co-occurring Psychiatric &amp; Substance Abuse Disorders - Adult</t>
  </si>
  <si>
    <t xml:space="preserve">Bundled rate to provide youth (under 18) co-occurring psychiatric &amp; substance use disorders counseling, case management to address both psychiatric and substance use disorders and automobile mileage </t>
  </si>
  <si>
    <t>H2036HATG</t>
  </si>
  <si>
    <t>SA/TRY</t>
  </si>
  <si>
    <t>Youth Residential Intensive</t>
  </si>
  <si>
    <t>Bundled rate to provide payment for youth (under 18) residential treatment service to include individual and group counseling, education, planned activities, room and board</t>
  </si>
  <si>
    <t>H2022HAHF</t>
  </si>
  <si>
    <t>Youth Intensive Residential Services-Room &amp; Board</t>
  </si>
  <si>
    <t>Bundled rate to provide payment for youth (under 18) in residential treatment services room and board not covered by Medicaid</t>
  </si>
  <si>
    <t>H2036HATF</t>
  </si>
  <si>
    <t>Youth Residential Supportive</t>
  </si>
  <si>
    <t>Bundled rate to provide payment for youth (under 18) supportive residential treatment service to include individual and group counseling, education, planned activities, room and board</t>
  </si>
  <si>
    <t>H2035HA</t>
  </si>
  <si>
    <t>Youth Outpatient Individual</t>
  </si>
  <si>
    <t>Bundled rate to provide youth (under 17) outpatient services (supportive or intensive) to include a comprehensive assessment,  individualized treatment plan, and individual counseling</t>
  </si>
  <si>
    <t>H2016</t>
  </si>
  <si>
    <t>H2016HA</t>
  </si>
  <si>
    <t>Youth Adolescent Support</t>
  </si>
  <si>
    <t xml:space="preserve">Rate to provide youth (under 18) adolescent support services to ensure emotional, developmental, and mental health issues are addressed </t>
  </si>
  <si>
    <t>T1006</t>
  </si>
  <si>
    <t>T1006HATF</t>
  </si>
  <si>
    <t>Youth Family Counseling</t>
  </si>
  <si>
    <t>Rate to provide youth (under 18) counseling to the client and family</t>
  </si>
  <si>
    <t>T1006HAHF</t>
  </si>
  <si>
    <t>Youth Family Support</t>
  </si>
  <si>
    <t>Rate to provide youth (under 18) adolescent support services to ensure emotional, developmental, and mental health issues are addressed at the family level</t>
  </si>
  <si>
    <t>90791HA</t>
  </si>
  <si>
    <t>Psychiatric Diagnostic Evaluation</t>
  </si>
  <si>
    <t>Rate to provide a psychiatric consultation for the youth (under 18) client</t>
  </si>
  <si>
    <t>H0005HA</t>
  </si>
  <si>
    <t>Youth Outpatient Group Counseling</t>
  </si>
  <si>
    <t>Bundled rate to provide youth (under 17) outpatient process group services (supportive or intensive)</t>
  </si>
  <si>
    <t>T1012HAHQ</t>
  </si>
  <si>
    <t>Youth Outpatient Group Education</t>
  </si>
  <si>
    <t>Bundled rate to provide youth (under 17) outpatient group education services (supportive or intensive)</t>
  </si>
  <si>
    <t>Youth Adolescent Support-Medicaid Youth Wraparound</t>
  </si>
  <si>
    <t>Rate to provide youth (under 18) adolescent support services to ensure emotional, developmental, and mental health issues are addressed not paid by Medicaid</t>
  </si>
  <si>
    <t>T1006HATFHV</t>
  </si>
  <si>
    <t>Youth Family Counseling-Medicaid Youth Wraparound-Parent Education Sessions</t>
  </si>
  <si>
    <t>Rate to provide youth (under 18) counseling to the client and family not paid by Medicaid</t>
  </si>
  <si>
    <t>T1006HAHFHV</t>
  </si>
  <si>
    <t>Youth Family Support-Medicaid Youth Wraparound(TRY)</t>
  </si>
  <si>
    <t>Rate to provide youth (under 18) adolescent support services to ensure emotional, developmental, and mental health issues are addressed at the family level not paid by Medicaid</t>
  </si>
  <si>
    <t>T1502</t>
  </si>
  <si>
    <t>T1502HBHGHDHF</t>
  </si>
  <si>
    <t>SA/NAS-MAT</t>
  </si>
  <si>
    <t>Dose</t>
  </si>
  <si>
    <t>Specialized Female Buprenorphine</t>
  </si>
  <si>
    <t>Bundled rate to provide pregnant female dispense or injection of buprenorphine to include physician assessment and care, and fetus care</t>
  </si>
  <si>
    <t>H0020</t>
  </si>
  <si>
    <t>H0020HBHGHDHF</t>
  </si>
  <si>
    <t>Specialized Female Methadone</t>
  </si>
  <si>
    <t>Bundled rate to provide pregnant females the dispense or injection of methadone to include physician assessment and care and fetus care</t>
  </si>
  <si>
    <t>J2315</t>
  </si>
  <si>
    <t>J2315HBHD</t>
  </si>
  <si>
    <t>Injection, Naltrexone Extended-Release</t>
  </si>
  <si>
    <t>Bundled rate to provide an injection of naltrexone to include physician assessment and care, and care for the fetus</t>
  </si>
  <si>
    <t>H0016</t>
  </si>
  <si>
    <t>H0016HBHD</t>
  </si>
  <si>
    <t>Event</t>
  </si>
  <si>
    <t>Medical Services - Naltrexone Extended-Release</t>
  </si>
  <si>
    <t>Rate to provide medical services for clients receiving naltrexone</t>
  </si>
  <si>
    <t>99202HBHD</t>
  </si>
  <si>
    <t>Visit</t>
  </si>
  <si>
    <t>Outpatient Visit - Health Screening Consent, Immunization and Information</t>
  </si>
  <si>
    <t>Rate to provide a health screening, obtain consent form, and provide health-based information</t>
  </si>
  <si>
    <t>87340HBHD</t>
  </si>
  <si>
    <t>Hepatitis B - Surface Antigen Test</t>
  </si>
  <si>
    <t>Rate to perform surface antigen testing for hepatitis B</t>
  </si>
  <si>
    <t>86803HBHD</t>
  </si>
  <si>
    <t>Hepatitis C - Antibody Test</t>
  </si>
  <si>
    <t>Rate to perform antibody testing for hepatitis C</t>
  </si>
  <si>
    <t>87389HBHD</t>
  </si>
  <si>
    <t>HIV (initial) - Ag/Ab EIA Combination Test</t>
  </si>
  <si>
    <t>Rate to perform Ag/Ab EIA combination test for HIV</t>
  </si>
  <si>
    <t>86701HBHD</t>
  </si>
  <si>
    <t>HIV (confirmatory)) - Multispot Test</t>
  </si>
  <si>
    <t>Rate to perform multispot test for HIV</t>
  </si>
  <si>
    <t>87591HBHD</t>
  </si>
  <si>
    <t>Gonorrhea - Urine-based Test</t>
  </si>
  <si>
    <t>Rate to perform individual urine based testing for gonorrhea</t>
  </si>
  <si>
    <t>87491HBHD</t>
  </si>
  <si>
    <t>Chlamydia - Urine-based Test</t>
  </si>
  <si>
    <t>Rate to perfom urine based testing for chlamydia</t>
  </si>
  <si>
    <t>83036HBHD</t>
  </si>
  <si>
    <t>Diabetes - Glycosylated (A1C) Test</t>
  </si>
  <si>
    <t>Rate to perform individual A1C testing for diabetes</t>
  </si>
  <si>
    <t>93005HBHD</t>
  </si>
  <si>
    <t>EKG - Tracing Only, without Interpretation and Report</t>
  </si>
  <si>
    <t>Rate to provide consultation on EKG test</t>
  </si>
  <si>
    <t>93010HBHD</t>
  </si>
  <si>
    <t>EKG/ECG - Report and Interpretation</t>
  </si>
  <si>
    <t>Rate to perform an individual EKG</t>
  </si>
  <si>
    <t>81025HBHD</t>
  </si>
  <si>
    <t>Urine Pregnancy Test, By Visual Color Comparison</t>
  </si>
  <si>
    <t>Rate  to perform an individual urine of blood-based test for pregnancy</t>
  </si>
  <si>
    <t>3510F</t>
  </si>
  <si>
    <t>3510FHBHGHD</t>
  </si>
  <si>
    <t>TB Testing Intradermal</t>
  </si>
  <si>
    <t>Rate to perform an intradermal TB test</t>
  </si>
  <si>
    <t>99213HBHD</t>
  </si>
  <si>
    <t>Outpatient Visit - Results and Referrals</t>
  </si>
  <si>
    <t>Rate to provide consultation on health tests provided for individuals in medication-assisted treatment for substance use disorder</t>
  </si>
  <si>
    <t>99205HBHG</t>
  </si>
  <si>
    <t>Hepatitis C - Treatment Coordination</t>
  </si>
  <si>
    <t>Rate to provide treatment coordination for hepatitis C positive individuals</t>
  </si>
  <si>
    <t>86804HBHG</t>
  </si>
  <si>
    <t>Hepatitis C - Confirmatory Test</t>
  </si>
  <si>
    <t>Rate to provide a confirmatory test on individuals who tested positive for hepatitus C</t>
  </si>
  <si>
    <t>87522HBHG</t>
  </si>
  <si>
    <t>Hepatitis C - Viral Load Quantification</t>
  </si>
  <si>
    <t>Rate to provide viral load quantification for individuals in treatment for hepatitis C</t>
  </si>
  <si>
    <t>90792HBHG</t>
  </si>
  <si>
    <t>Initial Interview for Diagnosis of Psychiatric Condition</t>
  </si>
  <si>
    <t>Rate to perform an interview with potential medicated-assisted treatment client on psychiatric condition</t>
  </si>
  <si>
    <t>90832HBHG</t>
  </si>
  <si>
    <t>Thirty-Minute Physician Visit for Psychiatric Follow-Up</t>
  </si>
  <si>
    <t>Rate to provide a psychiatric follow-up for potential medicated-assisted treatment clients</t>
  </si>
  <si>
    <t>97597HBHG</t>
  </si>
  <si>
    <t>Wound Care Management</t>
  </si>
  <si>
    <t>Rate to provide a physician care and plan to heal superficial wounds on medicated-assisted clients</t>
  </si>
  <si>
    <t>Medication Assisted Treatment (MAT)</t>
  </si>
  <si>
    <t>H0020HBHV</t>
  </si>
  <si>
    <t>SA/MAT</t>
  </si>
  <si>
    <t>Methadone</t>
  </si>
  <si>
    <t>Bundled rate to provide adult dispense or injection of methadone to include physician assessment and care and outpatient counseling</t>
  </si>
  <si>
    <t>T1502HBHV</t>
  </si>
  <si>
    <t>Buprenorphine</t>
  </si>
  <si>
    <t>Bundled rate to provide adult dispense or injection of buprenorphine to include physician assessment and care</t>
  </si>
  <si>
    <t>J2315HBHFHG</t>
  </si>
  <si>
    <t>H0016HBHFHG</t>
  </si>
  <si>
    <t>Medical Services - Naltrexone Extended- Release</t>
  </si>
  <si>
    <t>99202HBHDHG</t>
  </si>
  <si>
    <t>87340HBHDHG</t>
  </si>
  <si>
    <t>86803HBHDHG</t>
  </si>
  <si>
    <t>87389HBHDHG</t>
  </si>
  <si>
    <t>86701HBHDHG</t>
  </si>
  <si>
    <t>HIV (confirmatory) - Multispot Test</t>
  </si>
  <si>
    <t>87591HBHDHG</t>
  </si>
  <si>
    <t>87491HBHDHG</t>
  </si>
  <si>
    <t>83036HBHDHG</t>
  </si>
  <si>
    <t>3510FHBHDHG</t>
  </si>
  <si>
    <t>93010HB</t>
  </si>
  <si>
    <t>93005HB</t>
  </si>
  <si>
    <t>81025HB</t>
  </si>
  <si>
    <t>Rate  to perform an individual urine-based test for pregnancy</t>
  </si>
  <si>
    <t>99213HBHDHG</t>
  </si>
  <si>
    <t>99205HBHV</t>
  </si>
  <si>
    <t>86804HBHV</t>
  </si>
  <si>
    <t>87522HBHV</t>
  </si>
  <si>
    <t>90792HBHV</t>
  </si>
  <si>
    <t>90832HBHV</t>
  </si>
  <si>
    <t>97597HBHV</t>
  </si>
  <si>
    <t>H0002</t>
  </si>
  <si>
    <t>H0002HBHG</t>
  </si>
  <si>
    <t>GPRA Assessment</t>
  </si>
  <si>
    <t>Rate to complete the government performance and results act required by federal government funded prorams</t>
  </si>
  <si>
    <t>T1502HBHGHF</t>
  </si>
  <si>
    <t>SA/OBT</t>
  </si>
  <si>
    <t>Office Based Opioid Treatment - Adult</t>
  </si>
  <si>
    <t>Bundled rate to provide for the dispense or injection of buprenorphine to include physician assessment and care  within private office setting</t>
  </si>
  <si>
    <t>J2315HBHF</t>
  </si>
  <si>
    <t>Injection - Naltrexone Extended-Release -Adult</t>
  </si>
  <si>
    <t>H0016HBHF</t>
  </si>
  <si>
    <t>Medical Services - Naltrexone Extended-Release -Adult</t>
  </si>
  <si>
    <t>T1502HBHDHGHF</t>
  </si>
  <si>
    <t>Office Based Opioid Treatment (Specialized Female)</t>
  </si>
  <si>
    <t>Bundled rate to provide pregnant females for the dispense or injection of buprenorphine to include physician assessment and care, and fetus care within private office setting</t>
  </si>
  <si>
    <t>J2315HBHV</t>
  </si>
  <si>
    <t>Injection - Naltrexone Extended-Release -Specialized Female</t>
  </si>
  <si>
    <t>H0016HBHV</t>
  </si>
  <si>
    <t>Medical Services - Naltrexone Extended-Release -Specialized Female</t>
  </si>
  <si>
    <t>H0002HBHGHF</t>
  </si>
  <si>
    <t>GPRA Assessment (OBT)</t>
  </si>
  <si>
    <t>H0012HBHDHT</t>
  </si>
  <si>
    <t>SA/NAS-PPW</t>
  </si>
  <si>
    <t>Pregnant Post Partum Ambulatory Detoxification</t>
  </si>
  <si>
    <t>Bundled rate for adult ambulatory withdrawal management to provide physician care, physician examination, physician monitoring of fetus or newborn, and emergency medical care.</t>
  </si>
  <si>
    <t>H0010HBHDHT</t>
  </si>
  <si>
    <t>Pregnant Post Partum Residential Detoxification</t>
  </si>
  <si>
    <t xml:space="preserve">Bundled rate for adult residential withdrawal management to provide physician care, physician examination, physician monitoring of fetus or newborn, emergency medical care, and room and board. </t>
  </si>
  <si>
    <t>H2036HBHDTGHV</t>
  </si>
  <si>
    <t>Pregnant Post Partum Intensive Residential</t>
  </si>
  <si>
    <t>Bundled rate to provide payment for pregnant or postpartum (18 months) residential treatment services to include individual and group counseling, education, planned activities, child care, room and board</t>
  </si>
  <si>
    <t>H2035HBHGHDHT</t>
  </si>
  <si>
    <t>Pregnant Post Partum Outpatient - Individual</t>
  </si>
  <si>
    <t>H0005HBHGHDHT</t>
  </si>
  <si>
    <t>Pregnant Post Partum Outpatient - Group Counseling</t>
  </si>
  <si>
    <t>T1012HBHDHQHT</t>
  </si>
  <si>
    <t>Pregnant Post Partum Outpatient - Group Education</t>
  </si>
  <si>
    <t>H2036HDTGHT</t>
  </si>
  <si>
    <t>Pregnant Post Partum Women and Children Intensive Residential</t>
  </si>
  <si>
    <t>Bundled rate to provide payment for women with children intensive residential treatment service to include individual and group counseling, education, planned activities, room and board</t>
  </si>
  <si>
    <t>H2022HBHDTGHT</t>
  </si>
  <si>
    <t>Pregnant Post Partum W/C Residential Wraparound Services-LESS THAN 21</t>
  </si>
  <si>
    <t>H2022HBHDHT</t>
  </si>
  <si>
    <t>Pregnant Post Partum W/C Residential Wraparound Services- 21 and OVER</t>
  </si>
  <si>
    <t>Pregnant Post Partum Opioid Treatment</t>
  </si>
  <si>
    <t>T1502HBHGHDHT</t>
  </si>
  <si>
    <t>Pregnant Post Partum Buprenorphine</t>
  </si>
  <si>
    <t>Bundled rate to provide pregnant female dispense or injection of buprenorphine to include physician assessment and care and fetus care</t>
  </si>
  <si>
    <t>Not Active</t>
  </si>
  <si>
    <t>H0020HBHDTG</t>
  </si>
  <si>
    <t>Pregnant Post Partum Methadone</t>
  </si>
  <si>
    <t>J2315HBHT</t>
  </si>
  <si>
    <t>Pregnant Post Partum Injection, Naltrexone Extended-Release</t>
  </si>
  <si>
    <t>H0016HBHT</t>
  </si>
  <si>
    <t>Pregnant Post Partum Medical Services - Naltrexone Extended-Release</t>
  </si>
  <si>
    <t>99202HBHDHT</t>
  </si>
  <si>
    <t>Pregnant Post Partum Outpatient Visit - Health Screening Consent, Immunization</t>
  </si>
  <si>
    <t>87340HBHDHT</t>
  </si>
  <si>
    <t>Pregnant Post Partum Hepatitis B - Testing</t>
  </si>
  <si>
    <t>86803HBHDHT</t>
  </si>
  <si>
    <t>Pregnant Post Partum Hepatitis C - Testing</t>
  </si>
  <si>
    <t>87389HBHDHT</t>
  </si>
  <si>
    <t>Pregnant Post Partum HIV (initial) - Testing</t>
  </si>
  <si>
    <t>86701HBHDHT</t>
  </si>
  <si>
    <t>Pregnant Post Partum HIV (confirmatory) - Testing</t>
  </si>
  <si>
    <t>87591HBHDHT</t>
  </si>
  <si>
    <t>Pregnant Post Partum Gonorrhea - Testing</t>
  </si>
  <si>
    <t>87491HBHDHT</t>
  </si>
  <si>
    <t>Pregnant Post Partum Chlamydia - Testing (NAS-PPW)</t>
  </si>
  <si>
    <t>83036HBHDHT</t>
  </si>
  <si>
    <t>Pregnant Post Partum Diabetes - Testing (NAS-PPW)</t>
  </si>
  <si>
    <t>93010HBHF</t>
  </si>
  <si>
    <t>EKG/ECG - Report and Interpretation (NAS-PPW)</t>
  </si>
  <si>
    <t>93005HBHF</t>
  </si>
  <si>
    <t>EKG - Tracing Only, without Interpretation and Report (NAS-PPW)</t>
  </si>
  <si>
    <t>G8802HBHF</t>
  </si>
  <si>
    <t>Pregnant Post Partum Urine Pregnancy Test (NAS-PPW)</t>
  </si>
  <si>
    <t>3510FHBHDHT</t>
  </si>
  <si>
    <t>Pregnant Post Partum TB Testing Intradermal (NAS-PPW)</t>
  </si>
  <si>
    <t>99213HBHDHT</t>
  </si>
  <si>
    <t>Pregnant Post Partum Outpatient Visit - Results and Referrals (NAS-PPW)</t>
  </si>
  <si>
    <t>99205HBHD</t>
  </si>
  <si>
    <t>Pregnant Post Partum Hepatitis C - Treatment Coordination (NAS-PPW)</t>
  </si>
  <si>
    <t>86804HBHD</t>
  </si>
  <si>
    <t>Pregnant Post Partum Hepatitis C - Confirmatory Test (NAS-PPW)</t>
  </si>
  <si>
    <t>87522HBHD</t>
  </si>
  <si>
    <t>Pregnant Post Partum Hepatitis C - Viral Load Quantification (NAS-PPW)</t>
  </si>
  <si>
    <t>90792HBHD</t>
  </si>
  <si>
    <t>Initial Interview for Diagnosis of Psychiatric Condition (NAS-PPW)</t>
  </si>
  <si>
    <t>90832HBHD</t>
  </si>
  <si>
    <t>Thirty-Minute Physician Visit for Psychiatric Follow-Up (NAS-PPW)</t>
  </si>
  <si>
    <t>97597HBHD</t>
  </si>
  <si>
    <t>Wound Care Management (NAS-PPW)</t>
  </si>
  <si>
    <t>LBHA Services</t>
  </si>
  <si>
    <t>H0010HBU9</t>
  </si>
  <si>
    <t>SA/TRA-LBHA</t>
  </si>
  <si>
    <t>Adult Residential Detoxification (TRA-LBHA)</t>
  </si>
  <si>
    <t xml:space="preserve">Bundled rate for adult residential withdrawal management to provide physician care, physician examination, emergency medical care, and room and board for Local Behavioral Health Authority </t>
  </si>
  <si>
    <t>H0012HBU9</t>
  </si>
  <si>
    <t>Adult Ambulatory Detoxification (TRA-LBHA)</t>
  </si>
  <si>
    <t xml:space="preserve">Bundled rate for adult ambulatory withdrawal management to provide physician care, physician examination, and emergency medical care for Local Behavioral Health Authority </t>
  </si>
  <si>
    <t>H2036HBTGU9</t>
  </si>
  <si>
    <t>Adult Residential Intensive (TRA-LBHA)</t>
  </si>
  <si>
    <t>Bundled rate to provide payment for adult residential treatment service to include individual and group counseling, education, planned activities, room and board in care of a Local Behavioral health Authority</t>
  </si>
  <si>
    <t>H2036HBTFU9</t>
  </si>
  <si>
    <t>Adult Residential Supportive (TRA-LBHA)</t>
  </si>
  <si>
    <t>Bundled rate to provide payment for adult supportive residential treatment service to include individual and group counseling, education, planned activities, room and board in care of a Local Behavioral Health Authority</t>
  </si>
  <si>
    <t>H2035HBU9</t>
  </si>
  <si>
    <t>Adult Outpatient Individual (TRA-LBHA)</t>
  </si>
  <si>
    <t>Bundled rate to provide adult outpatient services (supportive or intensive) to include a comprehensive assessment,  individualized treatment plan, and individual counseling for Local Behavioral Health Authorities</t>
  </si>
  <si>
    <t>H0005HBU9</t>
  </si>
  <si>
    <t>Adult Outpatient Group Counseling (TRA-LBHA)</t>
  </si>
  <si>
    <t>Bundled rate to provide adult outpatient process group services (supportive or intensive) for Local Behavioral Health Authorities</t>
  </si>
  <si>
    <t>T1012HBHQU9</t>
  </si>
  <si>
    <t>Adult Outpatient Group Education (TRA-LBHA)</t>
  </si>
  <si>
    <t>Bundled rate to provide adult outpatient group education services (supportive or intensive) for Local Behavioral Health Authorities</t>
  </si>
  <si>
    <t>Specialized Female  Substance Use Disorder Services</t>
  </si>
  <si>
    <t>H0010HBHDU9</t>
  </si>
  <si>
    <t>SA/TRF-LBHA</t>
  </si>
  <si>
    <t>Adult Spec Fem Residential Detox (TRF-LBHA)</t>
  </si>
  <si>
    <t xml:space="preserve">Bundled rate for adult residential withdrawal management to provide physician care, physician examination, physician monitoring of fetus, emergency medical care, and room and board for Local Behavioral Health Authority </t>
  </si>
  <si>
    <t>H0012HBHDU9</t>
  </si>
  <si>
    <t>Adult Spec Fem Ambulatory Detox (TRF-LBHA)</t>
  </si>
  <si>
    <t xml:space="preserve">Bundled rate for adult ambulatory withdrawal management to provide physician care, physician examination, physician monitoring of fetus, and emergency medical care for Local Behavioral Health Authority </t>
  </si>
  <si>
    <t>H2036HBHDTGU9</t>
  </si>
  <si>
    <t>Adult Spec Fem Residential Intensive (TRF-LBHA)</t>
  </si>
  <si>
    <t>Bundled rate to provide payment for adult pregnant women residential treatment service to include individual and group counseling, education, planned activities, room and board in care of a Local Behavioral Health Authority</t>
  </si>
  <si>
    <t>H2036HBHDTFU9</t>
  </si>
  <si>
    <t>Adult Spec Fem Residential Supportive (TRF-LBHA)</t>
  </si>
  <si>
    <t>Bundled rate to provide payment for pregnant females supportive residential treatment service to include individual and group counseling, education, planned activities, room and board  in care of a Local Behavioral Health Authority</t>
  </si>
  <si>
    <t>H2035HBHDU9</t>
  </si>
  <si>
    <t>Adult Spec Female Outpatient Individual (TRF-LBHA)</t>
  </si>
  <si>
    <t>H0005HBHDU9</t>
  </si>
  <si>
    <t>Adult Spec Female Outpatient Group Counseling (TRF-LBHA)</t>
  </si>
  <si>
    <t>T1012HBHDHQU9</t>
  </si>
  <si>
    <t>Adult Spec Female Outpatient Group Education (TRF-LBHA)</t>
  </si>
  <si>
    <t>Women with Children Substance Use Disorder Services</t>
  </si>
  <si>
    <t>H2036HDTGU9</t>
  </si>
  <si>
    <t>Adult Spec Fem W/C Residential Intensive (TRF-LBHA)</t>
  </si>
  <si>
    <t>Bundled rate to provide payment for adult women and their children residential treatment service to include individual and group counseling, education, planned activities, childcare, room and board for both the woman and her children in care of a Local Behavioral health Authority</t>
  </si>
  <si>
    <t>H2022HAHDTGU6</t>
  </si>
  <si>
    <t>Adult Spec Fem W/C Residential Wraparound Services-LESS THAN 21 (TRF-LBHA)</t>
  </si>
  <si>
    <t>Bundled rate to provide payment for women (under 21) with children residential treatment service child care and room and board not paid by Medicaid  in care of a Local Behavioral Health Authority</t>
  </si>
  <si>
    <t>H2022HBHDTGU6</t>
  </si>
  <si>
    <t>Adult Spec Fem W/C Residential Wraparound Services- 21 and OVER (TRF-LBHA)</t>
  </si>
  <si>
    <t>Bundled rate to provide payment for women (over 21) with children residential treatment service child care and room and board not paid by Medicaid  in care of a Local Behavioral Health Authority</t>
  </si>
  <si>
    <t>H2036HDTFU9</t>
  </si>
  <si>
    <t>Adult Spec Fem W/C Residential Supportive (TRF-LBHA)</t>
  </si>
  <si>
    <t>Bundled rate to provide payment for women with children supportive residential treatment service to include individual and group counseling, education, planned activities, child care room and board  in care of a Local Behavioral Health Authority</t>
  </si>
  <si>
    <t>Co-occurring Psychiatric &amp; Substance Abuse Disorders - Youth (COPSD)</t>
  </si>
  <si>
    <t>Co-occurring Psychiatric &amp; Substance Abuse Disorders - Adult (COPSD)</t>
  </si>
  <si>
    <t>Youth Substance Use Disorder Services</t>
  </si>
  <si>
    <t>H2036HATGU9</t>
  </si>
  <si>
    <t>SA/TRY-LBHA</t>
  </si>
  <si>
    <t>Youth Residential Intensive(TRY-LBHA)</t>
  </si>
  <si>
    <t>Bundled rate to provide payment for youth (under 18) residential treatment service to include individual and group counseling, education, planned activities, access to TEA-approved education, 24-hour supervision, room and board for youth in care of an Local Behavioral Health Authority</t>
  </si>
  <si>
    <t>H2022HAHFU9</t>
  </si>
  <si>
    <t>Youth Intensive Residential Wraparound Services-Room &amp; Board (TRY-LBHA)</t>
  </si>
  <si>
    <t>Bundled rate to provide payment for youth (under 18) in residential treatment services room and board for youth in care of a Local Behavioral Health Authority and covered by Medicaid  in care of a Local Behavioral Health Authority</t>
  </si>
  <si>
    <t>H2036HATFU9</t>
  </si>
  <si>
    <t>Youth Residential Supportive (TRY-LBHA)</t>
  </si>
  <si>
    <t>Bundled rate to provide payment for youth (under 18) supportive residential treatment service to include individual and group counseling, education, planned activities, room and board  in care of a Local Behavioral Health Authority</t>
  </si>
  <si>
    <t>H2035HAU9</t>
  </si>
  <si>
    <t>Youth Outpatient Individual(TRY-LBHA)</t>
  </si>
  <si>
    <t>Bundled rate to provide youth (under 17) outpatient services (supportive or intensive) to include a comprehensive assessment,  individualized treatment plan, and individual counseling  in care of a Local Behavioral Health Authority</t>
  </si>
  <si>
    <t>H2016HAU9</t>
  </si>
  <si>
    <t>Youth Adolescent Support(TRY-LBHA)</t>
  </si>
  <si>
    <t>T1006HATFU9</t>
  </si>
  <si>
    <t>Youth Family Counseling(TRY-LBHA)</t>
  </si>
  <si>
    <t>T1006HAHFU9</t>
  </si>
  <si>
    <t>Youth Family Support(TRY-LBHA)</t>
  </si>
  <si>
    <t>90791HAU9</t>
  </si>
  <si>
    <t>Psychiatric Diagnostic Evaluation(TRY-LBHA)</t>
  </si>
  <si>
    <t>H0005HAU9</t>
  </si>
  <si>
    <t>Youth Outpatient Group Counseling(TRY-LBHA)</t>
  </si>
  <si>
    <t>Bundled rate to provide youth (under 17) outpatient process group services (supportive or intensive)  in care of a Local Behavioral Health Authority</t>
  </si>
  <si>
    <t>T1012HAHQU9</t>
  </si>
  <si>
    <t>Youth Outpatient Group Education(TRY-LBHA)</t>
  </si>
  <si>
    <t>Bundled rate to provide youth (under 17) outpatient group education services (supportive or intensive)  in care of a Local Behavioral Health Authority</t>
  </si>
  <si>
    <t>H2016HAHVU9</t>
  </si>
  <si>
    <t>Youth Adolescent Support-Medicaid Youth Wraparound(TRY-LBHA)</t>
  </si>
  <si>
    <t>T1006HATFHVU9</t>
  </si>
  <si>
    <t>Youth Family Counseling-Medicaid Youth Wraparound-Parent Education Sessions(TRY-LBHA)</t>
  </si>
  <si>
    <t>T1006HAHFU6</t>
  </si>
  <si>
    <t>Youth Family Support-Medicaid Youth Wraparound(TRY-LBHA)</t>
  </si>
  <si>
    <t>Total COPSD</t>
  </si>
  <si>
    <t>12/22/2023</t>
  </si>
  <si>
    <t>Revised rates and calculations, and received approval from CMU, TTOR, and SITP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</si>
</sst>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0.0"/>
  </numFmts>
  <fonts count="34" x14ac:knownFonts="1">
    <font>
      <sz val="10"/>
      <name val="Arial"/>
    </font>
    <font>
      <sz val="10"/>
      <name val="Arial"/>
      <family val="2"/>
    </font>
    <font>
      <b/>
      <sz val="12"/>
      <name val="Arial"/>
      <family val="2"/>
    </font>
    <font>
      <b/>
      <sz val="11"/>
      <name val="Arial"/>
      <family val="2"/>
    </font>
    <font>
      <sz val="10"/>
      <name val="Arial Narrow"/>
      <family val="2"/>
    </font>
    <font>
      <b/>
      <sz val="10"/>
      <name val="Arial"/>
      <family val="2"/>
    </font>
    <font>
      <sz val="8"/>
      <name val="Arial"/>
      <family val="2"/>
    </font>
    <font>
      <i/>
      <sz val="8"/>
      <name val="Arial Narrow"/>
      <family val="2"/>
    </font>
    <font>
      <sz val="12"/>
      <name val="Arial"/>
      <family val="2"/>
    </font>
    <font>
      <sz val="8"/>
      <color indexed="81"/>
      <name val="Tahoma"/>
      <family val="2"/>
    </font>
    <font>
      <sz val="10"/>
      <color indexed="63"/>
      <name val="Arial"/>
      <family val="2"/>
    </font>
    <font>
      <sz val="14"/>
      <name val="Arial"/>
      <family val="2"/>
    </font>
    <font>
      <b/>
      <sz val="14"/>
      <name val="Arial"/>
      <family val="2"/>
    </font>
    <font>
      <b/>
      <sz val="9"/>
      <color indexed="81"/>
      <name val="Tahoma"/>
      <family val="2"/>
    </font>
    <font>
      <sz val="11"/>
      <color theme="1"/>
      <name val="Calibri"/>
      <family val="2"/>
      <scheme val="minor"/>
    </font>
    <font>
      <u/>
      <sz val="11"/>
      <color theme="10"/>
      <name val="Calibri"/>
      <family val="2"/>
      <scheme val="minor"/>
    </font>
    <font>
      <sz val="10"/>
      <color theme="0"/>
      <name val="Arial"/>
      <family val="2"/>
    </font>
    <font>
      <sz val="10"/>
      <color theme="1"/>
      <name val="Arial"/>
      <family val="2"/>
    </font>
    <font>
      <sz val="10"/>
      <color theme="0" tint="-0.249977111117893"/>
      <name val="Arial"/>
      <family val="2"/>
    </font>
    <font>
      <sz val="16"/>
      <color theme="3" tint="0.39997558519241921"/>
      <name val="Arial"/>
      <family val="2"/>
    </font>
    <font>
      <sz val="10"/>
      <color theme="0"/>
      <name val="Arial Narrow"/>
      <family val="2"/>
    </font>
    <font>
      <sz val="12"/>
      <name val="Arial Narrow"/>
      <family val="2"/>
    </font>
    <font>
      <b/>
      <sz val="10"/>
      <color theme="1"/>
      <name val="Arial"/>
      <family val="2"/>
    </font>
    <font>
      <b/>
      <sz val="12"/>
      <color theme="1"/>
      <name val="Arial"/>
      <family val="2"/>
    </font>
    <font>
      <b/>
      <sz val="9"/>
      <name val="Arial"/>
      <family val="2"/>
    </font>
    <font>
      <sz val="9"/>
      <name val="Arial"/>
      <family val="2"/>
    </font>
    <font>
      <sz val="9"/>
      <color indexed="81"/>
      <name val="Tahoma"/>
      <family val="2"/>
    </font>
    <font>
      <sz val="11"/>
      <name val="Arial"/>
      <family val="2"/>
    </font>
    <font>
      <b/>
      <sz val="11"/>
      <color theme="1"/>
      <name val="Calibri"/>
      <family val="2"/>
      <scheme val="minor"/>
    </font>
    <font>
      <b/>
      <sz val="11"/>
      <name val="Calibri"/>
      <family val="2"/>
      <scheme val="minor"/>
    </font>
    <font>
      <sz val="11"/>
      <name val="Calibri"/>
      <family val="2"/>
      <scheme val="minor"/>
    </font>
    <font>
      <sz val="10"/>
      <color theme="9" tint="0.39997558519241921"/>
      <name val="Arial"/>
      <family val="2"/>
    </font>
    <font>
      <sz val="8"/>
      <name val="Arial"/>
      <family val="2"/>
    </font>
    <font>
      <sz val="11"/>
      <color rgb="FF000000"/>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rgb="FFFFFF9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FF99"/>
        <bgColor rgb="FF000000"/>
      </patternFill>
    </fill>
  </fills>
  <borders count="69">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0" fontId="14" fillId="0" borderId="0"/>
    <xf numFmtId="9" fontId="1" fillId="0" borderId="0" applyFont="0" applyFill="0" applyBorder="0" applyAlignment="0" applyProtection="0"/>
  </cellStyleXfs>
  <cellXfs count="780">
    <xf numFmtId="0" fontId="0" fillId="0" borderId="0" xfId="0"/>
    <xf numFmtId="44" fontId="18" fillId="5" borderId="0" xfId="0" applyNumberFormat="1" applyFont="1" applyFill="1"/>
    <xf numFmtId="44" fontId="10" fillId="4" borderId="20" xfId="2" applyFont="1" applyFill="1" applyBorder="1" applyProtection="1"/>
    <xf numFmtId="0" fontId="5" fillId="3" borderId="40" xfId="0" applyFont="1" applyFill="1" applyBorder="1" applyAlignment="1">
      <alignment horizontal="center" wrapText="1"/>
    </xf>
    <xf numFmtId="1" fontId="18" fillId="5" borderId="13" xfId="2" applyNumberFormat="1" applyFont="1" applyFill="1" applyBorder="1" applyAlignment="1" applyProtection="1">
      <alignment horizontal="center"/>
    </xf>
    <xf numFmtId="0" fontId="4" fillId="0" borderId="0" xfId="0" applyFont="1" applyAlignment="1">
      <alignment horizontal="center"/>
    </xf>
    <xf numFmtId="0" fontId="5" fillId="0" borderId="0" xfId="0" applyFont="1"/>
    <xf numFmtId="0" fontId="0" fillId="0" borderId="0" xfId="0" applyAlignment="1">
      <alignment horizontal="center"/>
    </xf>
    <xf numFmtId="0" fontId="5" fillId="0" borderId="0" xfId="0" applyFont="1" applyAlignment="1">
      <alignment horizontal="left"/>
    </xf>
    <xf numFmtId="44" fontId="4" fillId="0" borderId="0" xfId="2" applyFont="1" applyFill="1" applyBorder="1" applyProtection="1"/>
    <xf numFmtId="0" fontId="5" fillId="0" borderId="0" xfId="0" applyFont="1" applyAlignment="1">
      <alignment horizontal="center"/>
    </xf>
    <xf numFmtId="0" fontId="4" fillId="0" borderId="0" xfId="2" applyNumberFormat="1" applyFont="1" applyFill="1" applyBorder="1" applyAlignment="1" applyProtection="1">
      <alignment horizontal="center"/>
    </xf>
    <xf numFmtId="44" fontId="3" fillId="3" borderId="29" xfId="2" applyFont="1" applyFill="1" applyBorder="1" applyAlignment="1" applyProtection="1">
      <alignment horizontal="center" wrapText="1"/>
    </xf>
    <xf numFmtId="0" fontId="8" fillId="0" borderId="0" xfId="0" applyFont="1"/>
    <xf numFmtId="0" fontId="0" fillId="2" borderId="0" xfId="0" applyFill="1"/>
    <xf numFmtId="0" fontId="0" fillId="0" borderId="11" xfId="0" applyBorder="1"/>
    <xf numFmtId="0" fontId="11" fillId="0" borderId="0" xfId="0" applyFont="1"/>
    <xf numFmtId="0" fontId="11" fillId="2" borderId="0" xfId="0" applyFont="1" applyFill="1"/>
    <xf numFmtId="0" fontId="0" fillId="5" borderId="0" xfId="0" applyFill="1"/>
    <xf numFmtId="0" fontId="8" fillId="0" borderId="0" xfId="0" applyFont="1" applyAlignment="1">
      <alignment horizontal="center"/>
    </xf>
    <xf numFmtId="0" fontId="0" fillId="2" borderId="0" xfId="0" applyFill="1" applyAlignment="1">
      <alignment horizontal="center"/>
    </xf>
    <xf numFmtId="0" fontId="19" fillId="0" borderId="0" xfId="0" applyFont="1"/>
    <xf numFmtId="0" fontId="1" fillId="0" borderId="8" xfId="0" applyFont="1" applyBorder="1" applyAlignment="1">
      <alignment horizontal="left"/>
    </xf>
    <xf numFmtId="0" fontId="1" fillId="2" borderId="5" xfId="0" applyFont="1" applyFill="1" applyBorder="1" applyAlignment="1">
      <alignment horizontal="center"/>
    </xf>
    <xf numFmtId="164" fontId="1" fillId="2" borderId="47" xfId="0" applyNumberFormat="1" applyFont="1" applyFill="1" applyBorder="1" applyAlignment="1">
      <alignment horizontal="center"/>
    </xf>
    <xf numFmtId="0" fontId="1" fillId="2" borderId="17" xfId="0" applyFont="1" applyFill="1" applyBorder="1" applyAlignment="1">
      <alignment horizontal="center"/>
    </xf>
    <xf numFmtId="0" fontId="1" fillId="0" borderId="5" xfId="0" applyFont="1" applyBorder="1" applyAlignment="1">
      <alignment horizontal="left"/>
    </xf>
    <xf numFmtId="0" fontId="1" fillId="2" borderId="11" xfId="0" applyFont="1" applyFill="1" applyBorder="1" applyAlignment="1">
      <alignment horizontal="center"/>
    </xf>
    <xf numFmtId="166" fontId="1" fillId="6" borderId="48" xfId="0" applyNumberFormat="1" applyFont="1" applyFill="1" applyBorder="1" applyAlignment="1">
      <alignment horizontal="center"/>
    </xf>
    <xf numFmtId="166" fontId="1" fillId="6" borderId="29" xfId="0" applyNumberFormat="1" applyFont="1" applyFill="1" applyBorder="1" applyAlignment="1">
      <alignment horizontal="center"/>
    </xf>
    <xf numFmtId="0" fontId="16" fillId="0" borderId="0" xfId="0" applyFont="1"/>
    <xf numFmtId="14" fontId="8" fillId="3" borderId="5" xfId="2" applyNumberFormat="1" applyFont="1" applyFill="1" applyBorder="1" applyProtection="1">
      <protection locked="0"/>
    </xf>
    <xf numFmtId="0" fontId="21" fillId="3" borderId="46" xfId="2" applyNumberFormat="1" applyFont="1" applyFill="1" applyBorder="1" applyAlignment="1" applyProtection="1">
      <alignment horizontal="center"/>
      <protection locked="0"/>
    </xf>
    <xf numFmtId="9" fontId="8" fillId="3" borderId="46" xfId="2" applyNumberFormat="1" applyFont="1" applyFill="1" applyBorder="1" applyProtection="1">
      <protection locked="0"/>
    </xf>
    <xf numFmtId="1" fontId="18" fillId="5" borderId="0" xfId="2" applyNumberFormat="1" applyFont="1" applyFill="1" applyBorder="1" applyAlignment="1" applyProtection="1">
      <alignment horizontal="center"/>
    </xf>
    <xf numFmtId="0" fontId="1" fillId="5" borderId="20" xfId="0" applyFont="1" applyFill="1" applyBorder="1" applyAlignment="1">
      <alignment horizontal="center"/>
    </xf>
    <xf numFmtId="1" fontId="1" fillId="5" borderId="0" xfId="2" applyNumberFormat="1" applyFont="1" applyFill="1" applyBorder="1" applyAlignment="1" applyProtection="1">
      <alignment horizontal="center"/>
    </xf>
    <xf numFmtId="0" fontId="1" fillId="6" borderId="40" xfId="0" applyFont="1" applyFill="1" applyBorder="1" applyAlignment="1">
      <alignment horizontal="center"/>
    </xf>
    <xf numFmtId="44" fontId="1" fillId="6" borderId="26" xfId="0" applyNumberFormat="1" applyFont="1" applyFill="1" applyBorder="1"/>
    <xf numFmtId="44" fontId="1" fillId="5" borderId="0" xfId="0" applyNumberFormat="1" applyFont="1" applyFill="1"/>
    <xf numFmtId="44" fontId="1" fillId="5" borderId="1" xfId="0" applyNumberFormat="1" applyFont="1" applyFill="1" applyBorder="1"/>
    <xf numFmtId="0" fontId="1" fillId="7" borderId="11" xfId="0" applyFont="1" applyFill="1" applyBorder="1" applyAlignment="1">
      <alignment horizontal="center"/>
    </xf>
    <xf numFmtId="0" fontId="1" fillId="9" borderId="2" xfId="0" applyFont="1" applyFill="1" applyBorder="1" applyAlignment="1">
      <alignment horizontal="left"/>
    </xf>
    <xf numFmtId="0" fontId="5" fillId="9" borderId="3" xfId="0" applyFont="1" applyFill="1" applyBorder="1" applyAlignment="1">
      <alignment horizontal="right"/>
    </xf>
    <xf numFmtId="0" fontId="1" fillId="9" borderId="4" xfId="0" applyFont="1" applyFill="1" applyBorder="1" applyAlignment="1">
      <alignment horizontal="left"/>
    </xf>
    <xf numFmtId="0" fontId="5" fillId="9" borderId="4" xfId="0" applyFont="1" applyFill="1" applyBorder="1" applyAlignment="1">
      <alignment horizontal="right"/>
    </xf>
    <xf numFmtId="0" fontId="23" fillId="9" borderId="4" xfId="0" applyFont="1" applyFill="1" applyBorder="1" applyAlignment="1">
      <alignment horizontal="left"/>
    </xf>
    <xf numFmtId="0" fontId="25" fillId="0" borderId="0" xfId="0" applyFont="1"/>
    <xf numFmtId="0" fontId="22" fillId="10" borderId="4" xfId="0" applyFont="1" applyFill="1" applyBorder="1" applyAlignment="1">
      <alignment horizontal="left"/>
    </xf>
    <xf numFmtId="0" fontId="1" fillId="10" borderId="4" xfId="0" applyFont="1" applyFill="1" applyBorder="1" applyAlignment="1">
      <alignment horizontal="center"/>
    </xf>
    <xf numFmtId="0" fontId="5" fillId="3" borderId="18" xfId="0" applyFont="1" applyFill="1" applyBorder="1" applyAlignment="1">
      <alignment horizontal="center" wrapText="1"/>
    </xf>
    <xf numFmtId="0" fontId="5" fillId="6" borderId="27" xfId="0" applyFont="1" applyFill="1" applyBorder="1" applyAlignment="1">
      <alignment horizontal="center" wrapText="1"/>
    </xf>
    <xf numFmtId="0" fontId="5" fillId="5" borderId="16" xfId="0" applyFont="1" applyFill="1" applyBorder="1" applyAlignment="1">
      <alignment horizontal="center" wrapText="1"/>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0" fontId="21" fillId="0" borderId="0" xfId="2" applyNumberFormat="1" applyFont="1" applyFill="1" applyBorder="1" applyAlignment="1" applyProtection="1">
      <alignment horizontal="center"/>
    </xf>
    <xf numFmtId="0" fontId="2" fillId="0" borderId="0" xfId="0" applyFont="1"/>
    <xf numFmtId="44" fontId="21" fillId="0" borderId="0" xfId="2" applyFont="1" applyFill="1" applyBorder="1" applyProtection="1"/>
    <xf numFmtId="43" fontId="7" fillId="2" borderId="0" xfId="1" applyFont="1" applyFill="1" applyBorder="1" applyProtection="1"/>
    <xf numFmtId="0" fontId="8" fillId="2" borderId="0" xfId="0" applyFont="1" applyFill="1"/>
    <xf numFmtId="0" fontId="20" fillId="0" borderId="0" xfId="0" applyFont="1" applyAlignment="1">
      <alignment horizontal="center"/>
    </xf>
    <xf numFmtId="0" fontId="16" fillId="0" borderId="0" xfId="0" applyFont="1" applyAlignment="1">
      <alignment horizontal="center"/>
    </xf>
    <xf numFmtId="164" fontId="18" fillId="5" borderId="0" xfId="0" applyNumberFormat="1" applyFont="1" applyFill="1" applyAlignment="1">
      <alignment horizontal="right"/>
    </xf>
    <xf numFmtId="44" fontId="0" fillId="6" borderId="40" xfId="0" applyNumberFormat="1" applyFill="1" applyBorder="1"/>
    <xf numFmtId="0" fontId="1" fillId="7" borderId="5" xfId="0" applyFont="1" applyFill="1" applyBorder="1" applyAlignment="1">
      <alignment horizontal="left"/>
    </xf>
    <xf numFmtId="0" fontId="1" fillId="7" borderId="11" xfId="0" applyFont="1" applyFill="1" applyBorder="1" applyAlignment="1">
      <alignment horizontal="left"/>
    </xf>
    <xf numFmtId="44" fontId="1" fillId="5" borderId="0" xfId="2" applyFont="1" applyFill="1" applyBorder="1" applyProtection="1"/>
    <xf numFmtId="0" fontId="1" fillId="5" borderId="0" xfId="0" applyFont="1" applyFill="1" applyAlignment="1">
      <alignment horizontal="center"/>
    </xf>
    <xf numFmtId="44" fontId="1" fillId="5" borderId="26" xfId="0" applyNumberFormat="1" applyFont="1" applyFill="1" applyBorder="1"/>
    <xf numFmtId="44" fontId="1" fillId="5" borderId="7" xfId="0" applyNumberFormat="1" applyFont="1" applyFill="1" applyBorder="1"/>
    <xf numFmtId="0" fontId="1" fillId="7" borderId="5" xfId="0" applyFont="1" applyFill="1" applyBorder="1" applyAlignment="1">
      <alignment horizontal="center"/>
    </xf>
    <xf numFmtId="0" fontId="1" fillId="5" borderId="0" xfId="2" applyNumberFormat="1" applyFont="1" applyFill="1" applyBorder="1" applyProtection="1"/>
    <xf numFmtId="1" fontId="1" fillId="6" borderId="41" xfId="0" applyNumberFormat="1" applyFont="1" applyFill="1" applyBorder="1" applyAlignment="1">
      <alignment horizontal="center"/>
    </xf>
    <xf numFmtId="0" fontId="1" fillId="5" borderId="7" xfId="0" applyFont="1" applyFill="1" applyBorder="1"/>
    <xf numFmtId="164" fontId="1" fillId="5" borderId="0" xfId="0" applyNumberFormat="1" applyFont="1" applyFill="1" applyAlignment="1">
      <alignment horizontal="right"/>
    </xf>
    <xf numFmtId="0" fontId="1" fillId="9" borderId="4" xfId="0" applyFont="1" applyFill="1" applyBorder="1" applyAlignment="1">
      <alignment horizontal="center"/>
    </xf>
    <xf numFmtId="0" fontId="1" fillId="0" borderId="11" xfId="0" applyFont="1" applyBorder="1" applyAlignment="1">
      <alignment horizontal="center"/>
    </xf>
    <xf numFmtId="0" fontId="5" fillId="9" borderId="4" xfId="0" applyFont="1" applyFill="1" applyBorder="1" applyAlignment="1">
      <alignment horizontal="left"/>
    </xf>
    <xf numFmtId="0" fontId="1" fillId="0" borderId="0" xfId="0" applyFont="1"/>
    <xf numFmtId="0" fontId="0" fillId="7" borderId="5" xfId="0" applyFill="1" applyBorder="1" applyAlignment="1">
      <alignment horizontal="left"/>
    </xf>
    <xf numFmtId="0" fontId="5" fillId="10" borderId="8" xfId="0" applyFont="1" applyFill="1" applyBorder="1"/>
    <xf numFmtId="0" fontId="5" fillId="10" borderId="10" xfId="0" applyFont="1" applyFill="1" applyBorder="1"/>
    <xf numFmtId="0" fontId="5" fillId="10" borderId="10" xfId="0" applyFont="1" applyFill="1" applyBorder="1" applyAlignment="1">
      <alignment horizontal="center" wrapText="1"/>
    </xf>
    <xf numFmtId="0" fontId="5" fillId="10" borderId="9" xfId="0" applyFont="1" applyFill="1" applyBorder="1" applyAlignment="1">
      <alignment horizontal="center" wrapText="1"/>
    </xf>
    <xf numFmtId="0" fontId="5" fillId="5" borderId="0" xfId="0" applyFont="1" applyFill="1" applyAlignment="1">
      <alignment horizontal="center" wrapText="1"/>
    </xf>
    <xf numFmtId="0" fontId="5" fillId="5" borderId="13" xfId="0" applyFont="1" applyFill="1" applyBorder="1" applyAlignment="1">
      <alignment horizontal="center" wrapText="1"/>
    </xf>
    <xf numFmtId="0" fontId="5" fillId="5" borderId="28" xfId="0" applyFont="1" applyFill="1" applyBorder="1" applyAlignment="1">
      <alignment horizontal="center" wrapText="1"/>
    </xf>
    <xf numFmtId="0" fontId="5" fillId="10" borderId="42" xfId="0" applyFont="1" applyFill="1" applyBorder="1"/>
    <xf numFmtId="0" fontId="5" fillId="10" borderId="26" xfId="0" applyFont="1" applyFill="1" applyBorder="1"/>
    <xf numFmtId="0" fontId="5" fillId="10" borderId="26" xfId="0" applyFont="1" applyFill="1" applyBorder="1" applyAlignment="1">
      <alignment horizontal="center" wrapText="1"/>
    </xf>
    <xf numFmtId="0" fontId="2" fillId="5" borderId="16" xfId="0" applyFont="1" applyFill="1" applyBorder="1" applyAlignment="1">
      <alignment horizontal="center" wrapText="1"/>
    </xf>
    <xf numFmtId="0" fontId="5" fillId="9" borderId="10" xfId="0" applyFont="1" applyFill="1" applyBorder="1" applyAlignment="1">
      <alignment horizontal="right"/>
    </xf>
    <xf numFmtId="0" fontId="5" fillId="9" borderId="9" xfId="0" applyFont="1" applyFill="1" applyBorder="1" applyAlignment="1">
      <alignment horizontal="right"/>
    </xf>
    <xf numFmtId="0" fontId="5" fillId="10" borderId="4" xfId="0" applyFont="1" applyFill="1" applyBorder="1" applyAlignment="1">
      <alignment horizontal="right"/>
    </xf>
    <xf numFmtId="0" fontId="5" fillId="9" borderId="10" xfId="0" applyFont="1" applyFill="1" applyBorder="1" applyAlignment="1">
      <alignment horizontal="left"/>
    </xf>
    <xf numFmtId="0" fontId="5" fillId="6" borderId="42" xfId="0" applyFont="1" applyFill="1" applyBorder="1" applyAlignment="1">
      <alignment horizontal="center" wrapText="1"/>
    </xf>
    <xf numFmtId="0" fontId="5" fillId="6" borderId="31" xfId="0" applyFont="1" applyFill="1" applyBorder="1" applyAlignment="1">
      <alignment horizontal="center" wrapText="1"/>
    </xf>
    <xf numFmtId="0" fontId="5" fillId="6" borderId="41" xfId="0" applyFont="1" applyFill="1" applyBorder="1" applyAlignment="1">
      <alignment horizontal="center" wrapText="1"/>
    </xf>
    <xf numFmtId="0" fontId="12" fillId="5" borderId="0" xfId="0" applyFont="1" applyFill="1" applyAlignment="1">
      <alignment horizontal="center" wrapText="1"/>
    </xf>
    <xf numFmtId="0" fontId="3" fillId="5" borderId="0" xfId="0" applyFont="1" applyFill="1" applyAlignment="1">
      <alignment horizontal="center" wrapText="1"/>
    </xf>
    <xf numFmtId="0" fontId="2" fillId="9" borderId="4" xfId="0" applyFont="1" applyFill="1" applyBorder="1" applyAlignment="1">
      <alignment horizontal="left"/>
    </xf>
    <xf numFmtId="0" fontId="2" fillId="9" borderId="10" xfId="0" applyFont="1" applyFill="1" applyBorder="1" applyAlignment="1">
      <alignment horizontal="left"/>
    </xf>
    <xf numFmtId="0" fontId="5" fillId="5" borderId="7" xfId="0" applyFont="1" applyFill="1" applyBorder="1" applyAlignment="1">
      <alignment horizontal="center" wrapText="1"/>
    </xf>
    <xf numFmtId="44" fontId="1" fillId="5" borderId="26" xfId="2" applyFont="1" applyFill="1" applyBorder="1" applyProtection="1"/>
    <xf numFmtId="44" fontId="1" fillId="4" borderId="1" xfId="2" applyFont="1" applyFill="1" applyBorder="1" applyProtection="1"/>
    <xf numFmtId="0" fontId="1" fillId="7" borderId="17" xfId="0" applyFont="1" applyFill="1" applyBorder="1" applyAlignment="1">
      <alignment horizontal="center"/>
    </xf>
    <xf numFmtId="0" fontId="5" fillId="9" borderId="4" xfId="0" applyFont="1" applyFill="1" applyBorder="1"/>
    <xf numFmtId="0" fontId="2" fillId="9" borderId="4" xfId="0" applyFont="1" applyFill="1" applyBorder="1" applyAlignment="1">
      <alignment wrapText="1"/>
    </xf>
    <xf numFmtId="0" fontId="2" fillId="10" borderId="10"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5" fillId="11" borderId="42" xfId="0" applyFont="1" applyFill="1" applyBorder="1"/>
    <xf numFmtId="0" fontId="5" fillId="11" borderId="30" xfId="0" applyFont="1" applyFill="1" applyBorder="1"/>
    <xf numFmtId="0" fontId="5" fillId="11" borderId="30" xfId="0" applyFont="1" applyFill="1" applyBorder="1" applyAlignment="1">
      <alignment horizontal="center" wrapText="1"/>
    </xf>
    <xf numFmtId="0" fontId="5" fillId="11" borderId="41" xfId="0" applyFont="1" applyFill="1" applyBorder="1" applyAlignment="1">
      <alignment horizontal="center" wrapText="1"/>
    </xf>
    <xf numFmtId="0" fontId="5" fillId="11" borderId="54" xfId="0" applyFont="1" applyFill="1" applyBorder="1" applyAlignment="1">
      <alignment horizontal="center" wrapText="1"/>
    </xf>
    <xf numFmtId="0" fontId="5" fillId="11" borderId="31" xfId="0" applyFont="1" applyFill="1" applyBorder="1" applyAlignment="1">
      <alignment horizontal="center" wrapText="1"/>
    </xf>
    <xf numFmtId="0" fontId="5" fillId="11" borderId="60" xfId="0" applyFont="1" applyFill="1" applyBorder="1" applyAlignment="1">
      <alignment horizontal="center" wrapText="1"/>
    </xf>
    <xf numFmtId="0" fontId="5" fillId="11" borderId="13" xfId="0" applyFont="1" applyFill="1" applyBorder="1" applyAlignment="1">
      <alignment horizontal="center" wrapText="1"/>
    </xf>
    <xf numFmtId="0" fontId="5" fillId="11" borderId="26" xfId="0" applyFont="1" applyFill="1" applyBorder="1"/>
    <xf numFmtId="0" fontId="5" fillId="11" borderId="26" xfId="0" applyFont="1" applyFill="1" applyBorder="1" applyAlignment="1">
      <alignment horizontal="center"/>
    </xf>
    <xf numFmtId="0" fontId="5" fillId="11" borderId="41" xfId="0" applyFont="1" applyFill="1" applyBorder="1"/>
    <xf numFmtId="44" fontId="11" fillId="11" borderId="26" xfId="2" applyFont="1" applyFill="1" applyBorder="1" applyProtection="1"/>
    <xf numFmtId="164" fontId="11" fillId="11" borderId="26" xfId="0" applyNumberFormat="1" applyFont="1" applyFill="1" applyBorder="1" applyAlignment="1">
      <alignment horizontal="center"/>
    </xf>
    <xf numFmtId="0" fontId="11" fillId="11" borderId="32" xfId="0" applyFont="1" applyFill="1" applyBorder="1" applyAlignment="1">
      <alignment horizontal="center"/>
    </xf>
    <xf numFmtId="0" fontId="5" fillId="11" borderId="0" xfId="0" applyFont="1" applyFill="1" applyAlignment="1">
      <alignment horizontal="right"/>
    </xf>
    <xf numFmtId="0" fontId="12" fillId="11" borderId="0" xfId="0" applyFont="1" applyFill="1" applyAlignment="1">
      <alignment horizontal="center"/>
    </xf>
    <xf numFmtId="0" fontId="12" fillId="11" borderId="26" xfId="0" applyFont="1" applyFill="1" applyBorder="1"/>
    <xf numFmtId="0" fontId="11" fillId="11" borderId="41" xfId="0" applyFont="1" applyFill="1" applyBorder="1" applyAlignment="1">
      <alignment horizontal="center"/>
    </xf>
    <xf numFmtId="0" fontId="12" fillId="11" borderId="42" xfId="0" applyFont="1" applyFill="1" applyBorder="1" applyAlignment="1">
      <alignment wrapText="1"/>
    </xf>
    <xf numFmtId="0" fontId="12" fillId="11" borderId="26" xfId="0" applyFont="1" applyFill="1" applyBorder="1" applyAlignment="1">
      <alignment wrapText="1"/>
    </xf>
    <xf numFmtId="9" fontId="11" fillId="11" borderId="26" xfId="2" applyNumberFormat="1" applyFont="1" applyFill="1" applyBorder="1" applyProtection="1"/>
    <xf numFmtId="0" fontId="5" fillId="6" borderId="18" xfId="0" applyFont="1" applyFill="1" applyBorder="1" applyAlignment="1">
      <alignment horizontal="center" wrapText="1"/>
    </xf>
    <xf numFmtId="0" fontId="5" fillId="6" borderId="40" xfId="0" applyFont="1" applyFill="1" applyBorder="1" applyAlignment="1">
      <alignment horizontal="center" wrapText="1"/>
    </xf>
    <xf numFmtId="0" fontId="5" fillId="11" borderId="26" xfId="0" applyFont="1" applyFill="1" applyBorder="1" applyAlignment="1">
      <alignment horizontal="center" vertical="center" wrapText="1"/>
    </xf>
    <xf numFmtId="0" fontId="2" fillId="9" borderId="16" xfId="0" applyFont="1" applyFill="1" applyBorder="1"/>
    <xf numFmtId="0" fontId="2" fillId="9" borderId="16" xfId="0" applyFont="1" applyFill="1" applyBorder="1" applyAlignment="1">
      <alignment wrapText="1"/>
    </xf>
    <xf numFmtId="0" fontId="2" fillId="9" borderId="19" xfId="0" applyFont="1" applyFill="1" applyBorder="1" applyAlignment="1">
      <alignment wrapText="1"/>
    </xf>
    <xf numFmtId="49" fontId="0" fillId="0" borderId="0" xfId="0" applyNumberFormat="1"/>
    <xf numFmtId="49" fontId="1" fillId="0" borderId="0" xfId="0" applyNumberFormat="1" applyFont="1"/>
    <xf numFmtId="0" fontId="24" fillId="0" borderId="0" xfId="0" applyFont="1"/>
    <xf numFmtId="37" fontId="21" fillId="11" borderId="17" xfId="2" applyNumberFormat="1" applyFont="1" applyFill="1" applyBorder="1" applyProtection="1"/>
    <xf numFmtId="0" fontId="5" fillId="0" borderId="0" xfId="0" applyFont="1" applyAlignment="1">
      <alignment horizontal="right"/>
    </xf>
    <xf numFmtId="44" fontId="11" fillId="0" borderId="0" xfId="2" applyFont="1" applyFill="1" applyBorder="1" applyProtection="1"/>
    <xf numFmtId="44" fontId="2" fillId="0" borderId="0" xfId="0" applyNumberFormat="1" applyFont="1"/>
    <xf numFmtId="166" fontId="2" fillId="0" borderId="0" xfId="0" applyNumberFormat="1" applyFont="1" applyAlignment="1">
      <alignment horizontal="right"/>
    </xf>
    <xf numFmtId="0" fontId="12" fillId="0" borderId="0" xfId="0" applyFont="1" applyAlignment="1">
      <alignment wrapText="1"/>
    </xf>
    <xf numFmtId="0" fontId="12" fillId="0" borderId="0" xfId="0" applyFont="1"/>
    <xf numFmtId="164" fontId="11" fillId="0" borderId="0" xfId="0" applyNumberFormat="1" applyFont="1" applyAlignment="1">
      <alignment horizontal="center"/>
    </xf>
    <xf numFmtId="0" fontId="11" fillId="0" borderId="0" xfId="0" applyFont="1" applyAlignment="1">
      <alignment horizontal="center"/>
    </xf>
    <xf numFmtId="0" fontId="5" fillId="11" borderId="20" xfId="0" applyFont="1" applyFill="1" applyBorder="1" applyAlignment="1">
      <alignment horizontal="right"/>
    </xf>
    <xf numFmtId="0" fontId="8" fillId="9" borderId="25" xfId="0" applyFont="1" applyFill="1" applyBorder="1"/>
    <xf numFmtId="0" fontId="2" fillId="5" borderId="47" xfId="0" applyFont="1" applyFill="1" applyBorder="1" applyAlignment="1">
      <alignment horizontal="center" wrapText="1"/>
    </xf>
    <xf numFmtId="0" fontId="1" fillId="7" borderId="12" xfId="0" applyFont="1" applyFill="1" applyBorder="1" applyAlignment="1">
      <alignment horizontal="left"/>
    </xf>
    <xf numFmtId="0" fontId="1" fillId="7" borderId="20" xfId="0" applyFont="1" applyFill="1" applyBorder="1" applyAlignment="1">
      <alignment horizontal="left"/>
    </xf>
    <xf numFmtId="0" fontId="2" fillId="11" borderId="42" xfId="0" applyFont="1" applyFill="1" applyBorder="1" applyAlignment="1">
      <alignment horizontal="center" wrapText="1"/>
    </xf>
    <xf numFmtId="0" fontId="2" fillId="11" borderId="30" xfId="0" applyFont="1" applyFill="1" applyBorder="1" applyAlignment="1">
      <alignment horizontal="center" wrapText="1"/>
    </xf>
    <xf numFmtId="0" fontId="2" fillId="11" borderId="31" xfId="0" applyFont="1" applyFill="1" applyBorder="1" applyAlignment="1">
      <alignment horizontal="center" wrapText="1"/>
    </xf>
    <xf numFmtId="0" fontId="2" fillId="11" borderId="54" xfId="0" applyFont="1" applyFill="1" applyBorder="1" applyAlignment="1">
      <alignment horizontal="center" wrapText="1"/>
    </xf>
    <xf numFmtId="0" fontId="2" fillId="3" borderId="42" xfId="0" applyFont="1" applyFill="1" applyBorder="1" applyAlignment="1">
      <alignment horizontal="center" wrapText="1"/>
    </xf>
    <xf numFmtId="0" fontId="2" fillId="11" borderId="40" xfId="0" applyFont="1" applyFill="1" applyBorder="1" applyAlignment="1">
      <alignment horizontal="center" wrapText="1"/>
    </xf>
    <xf numFmtId="0" fontId="2" fillId="6" borderId="26" xfId="0" applyFont="1" applyFill="1" applyBorder="1" applyAlignment="1">
      <alignment horizontal="center" wrapText="1"/>
    </xf>
    <xf numFmtId="0" fontId="2" fillId="6" borderId="31" xfId="0" applyFont="1" applyFill="1" applyBorder="1" applyAlignment="1">
      <alignment horizontal="center" wrapText="1"/>
    </xf>
    <xf numFmtId="0" fontId="2" fillId="6" borderId="41" xfId="0" applyFont="1" applyFill="1" applyBorder="1" applyAlignment="1">
      <alignment horizontal="center" wrapText="1"/>
    </xf>
    <xf numFmtId="0" fontId="2" fillId="6" borderId="42" xfId="0" applyFont="1" applyFill="1" applyBorder="1" applyAlignment="1">
      <alignment horizontal="center" wrapText="1"/>
    </xf>
    <xf numFmtId="0" fontId="2" fillId="6" borderId="40" xfId="0" applyFont="1" applyFill="1" applyBorder="1" applyAlignment="1">
      <alignment horizontal="center" wrapText="1"/>
    </xf>
    <xf numFmtId="0" fontId="1" fillId="9" borderId="27" xfId="0" applyFont="1" applyFill="1" applyBorder="1"/>
    <xf numFmtId="0" fontId="1" fillId="9" borderId="13" xfId="0" applyFont="1" applyFill="1" applyBorder="1"/>
    <xf numFmtId="44" fontId="4" fillId="9" borderId="28" xfId="2" applyFont="1" applyFill="1" applyBorder="1" applyProtection="1"/>
    <xf numFmtId="0" fontId="1" fillId="9" borderId="20" xfId="0" applyFont="1" applyFill="1" applyBorder="1"/>
    <xf numFmtId="0" fontId="1" fillId="9" borderId="0" xfId="0" applyFont="1" applyFill="1"/>
    <xf numFmtId="44" fontId="4" fillId="9" borderId="7" xfId="2" applyFont="1" applyFill="1" applyBorder="1" applyProtection="1"/>
    <xf numFmtId="0" fontId="1" fillId="9" borderId="21" xfId="0" applyFont="1" applyFill="1" applyBorder="1"/>
    <xf numFmtId="0" fontId="1" fillId="9" borderId="1" xfId="0" applyFont="1" applyFill="1" applyBorder="1"/>
    <xf numFmtId="44" fontId="4" fillId="9" borderId="32" xfId="2" applyFont="1" applyFill="1" applyBorder="1" applyProtection="1"/>
    <xf numFmtId="0" fontId="0" fillId="9" borderId="27" xfId="0" applyFill="1" applyBorder="1"/>
    <xf numFmtId="0" fontId="5" fillId="9" borderId="13" xfId="0" applyFont="1" applyFill="1" applyBorder="1" applyAlignment="1">
      <alignment horizontal="left"/>
    </xf>
    <xf numFmtId="0" fontId="0" fillId="9" borderId="20" xfId="0" applyFill="1" applyBorder="1"/>
    <xf numFmtId="0" fontId="5" fillId="9" borderId="0" xfId="0" applyFont="1" applyFill="1" applyAlignment="1">
      <alignment horizontal="left"/>
    </xf>
    <xf numFmtId="0" fontId="0" fillId="9" borderId="21" xfId="0" applyFill="1" applyBorder="1"/>
    <xf numFmtId="0" fontId="5" fillId="9" borderId="1" xfId="0" applyFont="1" applyFill="1" applyBorder="1" applyAlignment="1">
      <alignment horizontal="left"/>
    </xf>
    <xf numFmtId="0" fontId="0" fillId="9" borderId="1" xfId="0" applyFill="1" applyBorder="1"/>
    <xf numFmtId="0" fontId="0" fillId="9" borderId="32" xfId="0" applyFill="1" applyBorder="1"/>
    <xf numFmtId="49" fontId="5" fillId="0" borderId="10" xfId="0" applyNumberFormat="1" applyFont="1" applyBorder="1" applyAlignment="1">
      <alignment horizontal="center"/>
    </xf>
    <xf numFmtId="49" fontId="1" fillId="0" borderId="36" xfId="0" applyNumberFormat="1" applyFont="1" applyBorder="1"/>
    <xf numFmtId="49" fontId="0" fillId="0" borderId="36" xfId="0" applyNumberFormat="1" applyBorder="1"/>
    <xf numFmtId="0" fontId="2" fillId="9" borderId="10" xfId="0" applyFont="1" applyFill="1" applyBorder="1" applyAlignment="1">
      <alignment wrapText="1"/>
    </xf>
    <xf numFmtId="0" fontId="1" fillId="2" borderId="12" xfId="0" applyFont="1" applyFill="1" applyBorder="1" applyAlignment="1">
      <alignment horizontal="left"/>
    </xf>
    <xf numFmtId="0" fontId="12" fillId="11" borderId="42" xfId="0" applyFont="1" applyFill="1" applyBorder="1" applyAlignment="1">
      <alignment horizontal="left"/>
    </xf>
    <xf numFmtId="0" fontId="2" fillId="9" borderId="39" xfId="0" applyFont="1" applyFill="1" applyBorder="1" applyAlignment="1">
      <alignment horizontal="left"/>
    </xf>
    <xf numFmtId="0" fontId="12" fillId="11" borderId="42" xfId="0" applyFont="1" applyFill="1" applyBorder="1" applyAlignment="1">
      <alignment horizontal="left" wrapText="1"/>
    </xf>
    <xf numFmtId="0" fontId="8" fillId="9" borderId="12" xfId="0" applyFont="1" applyFill="1" applyBorder="1" applyAlignment="1">
      <alignment horizontal="left"/>
    </xf>
    <xf numFmtId="0" fontId="1" fillId="7" borderId="0" xfId="0" applyFont="1" applyFill="1" applyAlignment="1">
      <alignment horizontal="left"/>
    </xf>
    <xf numFmtId="0" fontId="1" fillId="5" borderId="1" xfId="0" applyFont="1" applyFill="1" applyBorder="1" applyAlignment="1">
      <alignment horizontal="center"/>
    </xf>
    <xf numFmtId="0" fontId="12" fillId="11" borderId="26" xfId="0" applyFont="1" applyFill="1" applyBorder="1" applyAlignment="1">
      <alignment horizontal="left" wrapText="1"/>
    </xf>
    <xf numFmtId="44" fontId="5" fillId="0" borderId="0" xfId="2" applyFont="1" applyFill="1" applyBorder="1" applyProtection="1"/>
    <xf numFmtId="0" fontId="2" fillId="9" borderId="10" xfId="0" applyFont="1" applyFill="1" applyBorder="1" applyAlignment="1">
      <alignment horizontal="center"/>
    </xf>
    <xf numFmtId="0" fontId="8" fillId="9" borderId="10" xfId="0" applyFont="1" applyFill="1" applyBorder="1" applyAlignment="1">
      <alignment horizontal="left"/>
    </xf>
    <xf numFmtId="0" fontId="2" fillId="9" borderId="10" xfId="0" applyFont="1" applyFill="1" applyBorder="1"/>
    <xf numFmtId="0" fontId="18" fillId="5" borderId="0" xfId="0" applyFont="1" applyFill="1" applyAlignment="1">
      <alignment horizontal="center"/>
    </xf>
    <xf numFmtId="166" fontId="5" fillId="5" borderId="0" xfId="0" applyNumberFormat="1" applyFont="1" applyFill="1" applyAlignment="1">
      <alignment horizontal="center" wrapText="1"/>
    </xf>
    <xf numFmtId="166" fontId="5" fillId="5" borderId="16" xfId="0" applyNumberFormat="1" applyFont="1" applyFill="1" applyBorder="1" applyAlignment="1">
      <alignment horizontal="center" wrapText="1"/>
    </xf>
    <xf numFmtId="166" fontId="11" fillId="11" borderId="26" xfId="0" applyNumberFormat="1" applyFont="1" applyFill="1" applyBorder="1" applyAlignment="1">
      <alignment horizontal="center"/>
    </xf>
    <xf numFmtId="166" fontId="1" fillId="5" borderId="0" xfId="0" applyNumberFormat="1" applyFont="1" applyFill="1" applyAlignment="1">
      <alignment horizontal="center"/>
    </xf>
    <xf numFmtId="166" fontId="1" fillId="6" borderId="18" xfId="0" applyNumberFormat="1" applyFont="1" applyFill="1" applyBorder="1" applyAlignment="1">
      <alignment horizontal="center"/>
    </xf>
    <xf numFmtId="166" fontId="1" fillId="6" borderId="10" xfId="0" applyNumberFormat="1" applyFont="1" applyFill="1" applyBorder="1" applyAlignment="1">
      <alignment horizontal="center"/>
    </xf>
    <xf numFmtId="166" fontId="2" fillId="5" borderId="16" xfId="0" applyNumberFormat="1" applyFont="1" applyFill="1" applyBorder="1" applyAlignment="1">
      <alignment horizontal="center" wrapText="1"/>
    </xf>
    <xf numFmtId="166" fontId="1" fillId="6" borderId="6" xfId="0" applyNumberFormat="1" applyFont="1" applyFill="1" applyBorder="1" applyAlignment="1">
      <alignment horizontal="center"/>
    </xf>
    <xf numFmtId="0" fontId="1" fillId="5" borderId="0" xfId="0" applyFont="1" applyFill="1"/>
    <xf numFmtId="0" fontId="1" fillId="2" borderId="20" xfId="0" applyFont="1" applyFill="1" applyBorder="1" applyAlignment="1">
      <alignment horizontal="left"/>
    </xf>
    <xf numFmtId="0" fontId="8" fillId="5" borderId="0" xfId="0" applyFont="1" applyFill="1"/>
    <xf numFmtId="0" fontId="5" fillId="5" borderId="44" xfId="0" applyFont="1" applyFill="1" applyBorder="1" applyAlignment="1">
      <alignment horizontal="center" wrapText="1"/>
    </xf>
    <xf numFmtId="166" fontId="1" fillId="6" borderId="55" xfId="0" applyNumberFormat="1" applyFont="1" applyFill="1" applyBorder="1" applyAlignment="1">
      <alignment horizontal="center"/>
    </xf>
    <xf numFmtId="1" fontId="1" fillId="6" borderId="32" xfId="0" applyNumberFormat="1" applyFont="1" applyFill="1" applyBorder="1" applyAlignment="1">
      <alignment horizontal="center"/>
    </xf>
    <xf numFmtId="44" fontId="1" fillId="3" borderId="41" xfId="2" applyFont="1" applyFill="1" applyBorder="1" applyProtection="1">
      <protection locked="0"/>
    </xf>
    <xf numFmtId="44" fontId="1" fillId="8" borderId="41" xfId="2" applyFont="1" applyFill="1" applyBorder="1" applyProtection="1">
      <protection locked="0"/>
    </xf>
    <xf numFmtId="44" fontId="1" fillId="4" borderId="0" xfId="2" applyFont="1" applyFill="1" applyBorder="1" applyProtection="1"/>
    <xf numFmtId="0" fontId="1" fillId="9" borderId="45" xfId="0" applyFont="1" applyFill="1" applyBorder="1" applyAlignment="1">
      <alignment horizontal="center"/>
    </xf>
    <xf numFmtId="0" fontId="1" fillId="9" borderId="44" xfId="0" applyFont="1" applyFill="1" applyBorder="1" applyAlignment="1">
      <alignment horizontal="center"/>
    </xf>
    <xf numFmtId="0" fontId="23" fillId="9" borderId="44" xfId="0" applyFont="1" applyFill="1" applyBorder="1" applyAlignment="1">
      <alignment horizontal="center"/>
    </xf>
    <xf numFmtId="166" fontId="1" fillId="9" borderId="55" xfId="0" applyNumberFormat="1" applyFont="1" applyFill="1" applyBorder="1" applyAlignment="1">
      <alignment horizontal="center"/>
    </xf>
    <xf numFmtId="0" fontId="1" fillId="9" borderId="25" xfId="0" applyFont="1" applyFill="1" applyBorder="1" applyAlignment="1">
      <alignment horizontal="center"/>
    </xf>
    <xf numFmtId="166" fontId="1" fillId="9" borderId="50" xfId="0" applyNumberFormat="1" applyFont="1" applyFill="1" applyBorder="1" applyAlignment="1">
      <alignment horizontal="center"/>
    </xf>
    <xf numFmtId="0" fontId="1" fillId="0" borderId="22" xfId="0" applyFont="1" applyBorder="1" applyAlignment="1">
      <alignment horizontal="left"/>
    </xf>
    <xf numFmtId="167" fontId="5" fillId="5" borderId="16" xfId="0" applyNumberFormat="1" applyFont="1" applyFill="1" applyBorder="1" applyAlignment="1">
      <alignment horizontal="center" wrapText="1"/>
    </xf>
    <xf numFmtId="167" fontId="1" fillId="5" borderId="0" xfId="2" applyNumberFormat="1" applyFont="1" applyFill="1" applyBorder="1" applyAlignment="1" applyProtection="1">
      <alignment horizontal="center"/>
    </xf>
    <xf numFmtId="167" fontId="1" fillId="5" borderId="1" xfId="2" applyNumberFormat="1" applyFont="1" applyFill="1" applyBorder="1" applyAlignment="1" applyProtection="1">
      <alignment horizontal="center"/>
    </xf>
    <xf numFmtId="167" fontId="2" fillId="5" borderId="16" xfId="0" applyNumberFormat="1" applyFont="1" applyFill="1" applyBorder="1" applyAlignment="1">
      <alignment horizontal="center" wrapText="1"/>
    </xf>
    <xf numFmtId="167" fontId="1" fillId="5" borderId="0" xfId="0" applyNumberFormat="1" applyFont="1" applyFill="1" applyAlignment="1">
      <alignment horizontal="center"/>
    </xf>
    <xf numFmtId="49" fontId="0" fillId="0" borderId="0" xfId="0" applyNumberFormat="1" applyAlignment="1">
      <alignment horizontal="center"/>
    </xf>
    <xf numFmtId="1" fontId="1" fillId="6" borderId="40" xfId="2" applyNumberFormat="1" applyFont="1" applyFill="1" applyBorder="1" applyAlignment="1" applyProtection="1">
      <alignment horizontal="center"/>
    </xf>
    <xf numFmtId="44" fontId="12" fillId="11" borderId="26" xfId="0" applyNumberFormat="1" applyFont="1" applyFill="1" applyBorder="1"/>
    <xf numFmtId="0" fontId="12" fillId="11" borderId="41" xfId="0" applyFont="1" applyFill="1" applyBorder="1"/>
    <xf numFmtId="166" fontId="12" fillId="11" borderId="40" xfId="0" applyNumberFormat="1" applyFont="1" applyFill="1" applyBorder="1" applyAlignment="1">
      <alignment horizontal="right"/>
    </xf>
    <xf numFmtId="44" fontId="12" fillId="11" borderId="42" xfId="0" applyNumberFormat="1" applyFont="1" applyFill="1" applyBorder="1"/>
    <xf numFmtId="44" fontId="5" fillId="11" borderId="42" xfId="0" applyNumberFormat="1" applyFont="1" applyFill="1" applyBorder="1"/>
    <xf numFmtId="166" fontId="5" fillId="11" borderId="40" xfId="0" applyNumberFormat="1" applyFont="1" applyFill="1" applyBorder="1"/>
    <xf numFmtId="167" fontId="1" fillId="6" borderId="40" xfId="2" applyNumberFormat="1" applyFont="1" applyFill="1" applyBorder="1" applyAlignment="1" applyProtection="1">
      <alignment horizontal="center"/>
    </xf>
    <xf numFmtId="167" fontId="1" fillId="4" borderId="20" xfId="2" applyNumberFormat="1" applyFont="1" applyFill="1" applyBorder="1" applyAlignment="1" applyProtection="1">
      <alignment horizontal="center"/>
    </xf>
    <xf numFmtId="167" fontId="1" fillId="4" borderId="0" xfId="2" applyNumberFormat="1" applyFont="1" applyFill="1" applyBorder="1" applyAlignment="1" applyProtection="1">
      <alignment horizontal="center"/>
    </xf>
    <xf numFmtId="44" fontId="2" fillId="11" borderId="42" xfId="0" applyNumberFormat="1" applyFont="1" applyFill="1" applyBorder="1"/>
    <xf numFmtId="167" fontId="8" fillId="11" borderId="41" xfId="0" applyNumberFormat="1" applyFont="1" applyFill="1" applyBorder="1"/>
    <xf numFmtId="44" fontId="2" fillId="11" borderId="40" xfId="0" applyNumberFormat="1" applyFont="1" applyFill="1" applyBorder="1"/>
    <xf numFmtId="167" fontId="8" fillId="11" borderId="28" xfId="0" applyNumberFormat="1" applyFont="1" applyFill="1" applyBorder="1"/>
    <xf numFmtId="167" fontId="2" fillId="11" borderId="41" xfId="0" applyNumberFormat="1" applyFont="1" applyFill="1" applyBorder="1"/>
    <xf numFmtId="166" fontId="2" fillId="11" borderId="40" xfId="0" applyNumberFormat="1" applyFont="1" applyFill="1" applyBorder="1" applyAlignment="1">
      <alignment horizontal="right"/>
    </xf>
    <xf numFmtId="166" fontId="1" fillId="6" borderId="40" xfId="0" applyNumberFormat="1" applyFont="1" applyFill="1" applyBorder="1" applyAlignment="1">
      <alignment horizontal="center"/>
    </xf>
    <xf numFmtId="44" fontId="1" fillId="6" borderId="40" xfId="0" applyNumberFormat="1" applyFont="1" applyFill="1" applyBorder="1"/>
    <xf numFmtId="167" fontId="1" fillId="5" borderId="0" xfId="5" applyNumberFormat="1" applyFont="1" applyFill="1" applyBorder="1" applyAlignment="1" applyProtection="1">
      <alignment horizontal="center"/>
    </xf>
    <xf numFmtId="0" fontId="18" fillId="5" borderId="0" xfId="0" applyFont="1" applyFill="1"/>
    <xf numFmtId="42" fontId="18" fillId="5" borderId="0" xfId="0" applyNumberFormat="1" applyFont="1" applyFill="1"/>
    <xf numFmtId="44" fontId="18" fillId="5" borderId="0" xfId="2" applyFont="1" applyFill="1" applyBorder="1" applyProtection="1"/>
    <xf numFmtId="44" fontId="5" fillId="5" borderId="0" xfId="2" applyFont="1" applyFill="1" applyBorder="1" applyProtection="1"/>
    <xf numFmtId="0" fontId="5" fillId="10" borderId="45" xfId="0" applyFont="1" applyFill="1" applyBorder="1"/>
    <xf numFmtId="0" fontId="5" fillId="10" borderId="44" xfId="0" applyFont="1" applyFill="1" applyBorder="1"/>
    <xf numFmtId="0" fontId="5" fillId="10" borderId="44" xfId="0" applyFont="1" applyFill="1" applyBorder="1" applyAlignment="1">
      <alignment horizontal="center" wrapText="1"/>
    </xf>
    <xf numFmtId="0" fontId="5" fillId="10" borderId="55" xfId="0" applyFont="1" applyFill="1" applyBorder="1" applyAlignment="1">
      <alignment horizontal="center" wrapText="1"/>
    </xf>
    <xf numFmtId="0" fontId="5" fillId="9" borderId="50" xfId="0" applyFont="1" applyFill="1" applyBorder="1" applyAlignment="1">
      <alignment horizontal="right"/>
    </xf>
    <xf numFmtId="0" fontId="29" fillId="11" borderId="27" xfId="0" applyFont="1" applyFill="1" applyBorder="1"/>
    <xf numFmtId="0" fontId="29" fillId="11" borderId="63" xfId="0" applyFont="1" applyFill="1" applyBorder="1"/>
    <xf numFmtId="0" fontId="29" fillId="11" borderId="63" xfId="0" applyFont="1" applyFill="1" applyBorder="1" applyAlignment="1">
      <alignment horizontal="center"/>
    </xf>
    <xf numFmtId="0" fontId="29" fillId="11" borderId="63" xfId="0" applyFont="1" applyFill="1" applyBorder="1" applyAlignment="1">
      <alignment horizontal="center" wrapText="1"/>
    </xf>
    <xf numFmtId="0" fontId="30" fillId="0" borderId="0" xfId="0" applyFont="1" applyAlignment="1">
      <alignment horizontal="center"/>
    </xf>
    <xf numFmtId="0" fontId="30" fillId="0" borderId="0" xfId="0" applyFont="1"/>
    <xf numFmtId="0" fontId="30" fillId="0" borderId="11" xfId="0" applyFont="1" applyBorder="1"/>
    <xf numFmtId="166" fontId="30" fillId="0" borderId="15" xfId="0" applyNumberFormat="1" applyFont="1" applyBorder="1" applyAlignment="1">
      <alignment horizontal="center"/>
    </xf>
    <xf numFmtId="0" fontId="30" fillId="2" borderId="11" xfId="0" applyFont="1" applyFill="1" applyBorder="1" applyAlignment="1">
      <alignment horizontal="center"/>
    </xf>
    <xf numFmtId="0" fontId="30" fillId="0" borderId="5" xfId="0" applyFont="1" applyBorder="1"/>
    <xf numFmtId="0" fontId="30" fillId="0" borderId="2" xfId="0" applyFont="1" applyBorder="1"/>
    <xf numFmtId="166" fontId="30" fillId="0" borderId="5" xfId="0" applyNumberFormat="1" applyFont="1" applyBorder="1" applyAlignment="1">
      <alignment horizontal="center"/>
    </xf>
    <xf numFmtId="0" fontId="30" fillId="2" borderId="9" xfId="0" applyFont="1" applyFill="1" applyBorder="1" applyAlignment="1">
      <alignment horizontal="center"/>
    </xf>
    <xf numFmtId="0" fontId="30" fillId="2" borderId="5" xfId="0" applyFont="1" applyFill="1" applyBorder="1" applyAlignment="1">
      <alignment horizontal="center"/>
    </xf>
    <xf numFmtId="0" fontId="30" fillId="0" borderId="17" xfId="0" applyFont="1" applyBorder="1"/>
    <xf numFmtId="0" fontId="30" fillId="2" borderId="15" xfId="0" applyFont="1" applyFill="1" applyBorder="1" applyAlignment="1">
      <alignment horizontal="center"/>
    </xf>
    <xf numFmtId="0" fontId="30" fillId="2" borderId="0" xfId="0" applyFont="1" applyFill="1" applyAlignment="1">
      <alignment horizontal="center" wrapText="1"/>
    </xf>
    <xf numFmtId="0" fontId="30" fillId="2" borderId="23" xfId="0" applyFont="1" applyFill="1" applyBorder="1" applyAlignment="1">
      <alignment horizontal="center" wrapText="1"/>
    </xf>
    <xf numFmtId="0" fontId="30" fillId="2" borderId="4" xfId="0" applyFont="1" applyFill="1" applyBorder="1" applyAlignment="1">
      <alignment horizontal="center" wrapText="1"/>
    </xf>
    <xf numFmtId="0" fontId="30" fillId="2" borderId="5" xfId="0" applyFont="1" applyFill="1" applyBorder="1" applyAlignment="1">
      <alignment horizontal="center" wrapText="1"/>
    </xf>
    <xf numFmtId="0" fontId="30" fillId="0" borderId="4" xfId="0" applyFont="1" applyBorder="1" applyAlignment="1">
      <alignment horizontal="center" wrapText="1"/>
    </xf>
    <xf numFmtId="0" fontId="30" fillId="0" borderId="5" xfId="0" applyFont="1" applyBorder="1" applyAlignment="1">
      <alignment horizontal="center" wrapText="1"/>
    </xf>
    <xf numFmtId="0" fontId="30" fillId="0" borderId="0" xfId="0" applyFont="1" applyAlignment="1">
      <alignment horizontal="center" wrapText="1"/>
    </xf>
    <xf numFmtId="0" fontId="30" fillId="0" borderId="15" xfId="0" applyFont="1" applyBorder="1" applyAlignment="1">
      <alignment horizontal="center" wrapText="1"/>
    </xf>
    <xf numFmtId="0" fontId="30" fillId="2" borderId="15" xfId="0" applyFont="1" applyFill="1" applyBorder="1" applyAlignment="1">
      <alignment horizontal="left"/>
    </xf>
    <xf numFmtId="0" fontId="30" fillId="2" borderId="36" xfId="0" applyFont="1" applyFill="1" applyBorder="1" applyAlignment="1">
      <alignment horizontal="center"/>
    </xf>
    <xf numFmtId="0" fontId="30" fillId="0" borderId="15" xfId="0" applyFont="1" applyBorder="1"/>
    <xf numFmtId="0" fontId="14" fillId="0" borderId="17" xfId="0" applyFont="1" applyBorder="1"/>
    <xf numFmtId="166" fontId="14" fillId="0" borderId="17" xfId="0" applyNumberFormat="1" applyFont="1" applyBorder="1" applyAlignment="1">
      <alignment horizontal="center"/>
    </xf>
    <xf numFmtId="0" fontId="30" fillId="2" borderId="17" xfId="0" applyFont="1" applyFill="1" applyBorder="1" applyAlignment="1">
      <alignment horizontal="center"/>
    </xf>
    <xf numFmtId="0" fontId="30" fillId="2" borderId="11" xfId="0" applyFont="1" applyFill="1" applyBorder="1" applyAlignment="1">
      <alignment horizontal="left"/>
    </xf>
    <xf numFmtId="0" fontId="30" fillId="2" borderId="2" xfId="0" applyFont="1" applyFill="1" applyBorder="1" applyAlignment="1">
      <alignment horizontal="left"/>
    </xf>
    <xf numFmtId="0" fontId="30" fillId="2" borderId="3" xfId="0" applyFont="1" applyFill="1" applyBorder="1" applyAlignment="1">
      <alignment horizontal="center"/>
    </xf>
    <xf numFmtId="0" fontId="30" fillId="2" borderId="5" xfId="0" applyFont="1" applyFill="1" applyBorder="1" applyAlignment="1">
      <alignment horizontal="left"/>
    </xf>
    <xf numFmtId="0" fontId="30" fillId="2" borderId="19" xfId="0" applyFont="1" applyFill="1" applyBorder="1" applyAlignment="1">
      <alignment horizontal="center"/>
    </xf>
    <xf numFmtId="0" fontId="30" fillId="0" borderId="3" xfId="0" applyFont="1" applyBorder="1" applyAlignment="1">
      <alignment horizontal="center"/>
    </xf>
    <xf numFmtId="0" fontId="30" fillId="0" borderId="36" xfId="0" applyFont="1" applyBorder="1" applyAlignment="1">
      <alignment horizontal="center"/>
    </xf>
    <xf numFmtId="0" fontId="30" fillId="2" borderId="8" xfId="0" applyFont="1" applyFill="1" applyBorder="1" applyAlignment="1">
      <alignment horizontal="left"/>
    </xf>
    <xf numFmtId="0" fontId="30" fillId="2" borderId="24" xfId="0" applyFont="1" applyFill="1" applyBorder="1" applyAlignment="1">
      <alignment horizontal="left"/>
    </xf>
    <xf numFmtId="0" fontId="30" fillId="2" borderId="17" xfId="0" applyFont="1" applyFill="1" applyBorder="1" applyAlignment="1">
      <alignment horizontal="left"/>
    </xf>
    <xf numFmtId="0" fontId="29" fillId="9" borderId="8" xfId="0" applyFont="1" applyFill="1" applyBorder="1" applyAlignment="1">
      <alignment horizontal="right"/>
    </xf>
    <xf numFmtId="0" fontId="29" fillId="9" borderId="10" xfId="0" applyFont="1" applyFill="1" applyBorder="1" applyAlignment="1">
      <alignment horizontal="right"/>
    </xf>
    <xf numFmtId="0" fontId="29" fillId="9" borderId="10" xfId="0" applyFont="1" applyFill="1" applyBorder="1" applyAlignment="1">
      <alignment horizontal="center"/>
    </xf>
    <xf numFmtId="0" fontId="30" fillId="2" borderId="22" xfId="0" applyFont="1" applyFill="1" applyBorder="1" applyAlignment="1">
      <alignment horizontal="left"/>
    </xf>
    <xf numFmtId="0" fontId="30" fillId="0" borderId="17" xfId="0" applyFont="1" applyBorder="1" applyAlignment="1">
      <alignment horizontal="left"/>
    </xf>
    <xf numFmtId="0" fontId="30" fillId="0" borderId="24" xfId="0" applyFont="1" applyBorder="1" applyAlignment="1">
      <alignment horizontal="left"/>
    </xf>
    <xf numFmtId="166" fontId="30" fillId="0" borderId="11" xfId="0" applyNumberFormat="1" applyFont="1" applyBorder="1" applyAlignment="1">
      <alignment horizontal="center"/>
    </xf>
    <xf numFmtId="0" fontId="30" fillId="9" borderId="4" xfId="0" applyFont="1" applyFill="1" applyBorder="1" applyAlignment="1">
      <alignment horizontal="center"/>
    </xf>
    <xf numFmtId="0" fontId="30" fillId="0" borderId="8" xfId="0" applyFont="1" applyBorder="1" applyAlignment="1">
      <alignment horizontal="left"/>
    </xf>
    <xf numFmtId="0" fontId="30" fillId="0" borderId="2" xfId="0" applyFont="1" applyBorder="1" applyAlignment="1">
      <alignment horizontal="left"/>
    </xf>
    <xf numFmtId="0" fontId="30" fillId="9" borderId="4" xfId="0" applyFont="1" applyFill="1" applyBorder="1" applyAlignment="1">
      <alignment horizontal="left"/>
    </xf>
    <xf numFmtId="0" fontId="30" fillId="9" borderId="4" xfId="0" applyFont="1" applyFill="1" applyBorder="1" applyAlignment="1">
      <alignment horizontal="center" wrapText="1"/>
    </xf>
    <xf numFmtId="0" fontId="30" fillId="0" borderId="5" xfId="0" applyFont="1" applyBorder="1" applyAlignment="1">
      <alignment horizontal="left"/>
    </xf>
    <xf numFmtId="166" fontId="30" fillId="0" borderId="0" xfId="0" applyNumberFormat="1" applyFont="1" applyAlignment="1">
      <alignment horizontal="center"/>
    </xf>
    <xf numFmtId="0" fontId="30" fillId="0" borderId="22" xfId="0" applyFont="1" applyBorder="1" applyAlignment="1">
      <alignment horizontal="left"/>
    </xf>
    <xf numFmtId="0" fontId="30" fillId="9" borderId="2" xfId="0" applyFont="1" applyFill="1" applyBorder="1" applyAlignment="1">
      <alignment horizontal="left"/>
    </xf>
    <xf numFmtId="0" fontId="30" fillId="2" borderId="8" xfId="0" applyFont="1" applyFill="1" applyBorder="1" applyAlignment="1">
      <alignment horizontal="center"/>
    </xf>
    <xf numFmtId="0" fontId="30" fillId="2" borderId="2" xfId="0" applyFont="1" applyFill="1" applyBorder="1" applyAlignment="1">
      <alignment horizontal="center"/>
    </xf>
    <xf numFmtId="0" fontId="30" fillId="2" borderId="24" xfId="0" applyFont="1" applyFill="1" applyBorder="1" applyAlignment="1">
      <alignment horizontal="center"/>
    </xf>
    <xf numFmtId="0" fontId="30" fillId="2" borderId="22" xfId="0" applyFont="1" applyFill="1" applyBorder="1" applyAlignment="1">
      <alignment horizontal="center"/>
    </xf>
    <xf numFmtId="0" fontId="30" fillId="9" borderId="8" xfId="0" applyFont="1" applyFill="1" applyBorder="1" applyAlignment="1">
      <alignment horizontal="center"/>
    </xf>
    <xf numFmtId="0" fontId="30" fillId="9" borderId="10" xfId="0" applyFont="1" applyFill="1" applyBorder="1" applyAlignment="1">
      <alignment horizontal="center"/>
    </xf>
    <xf numFmtId="0" fontId="30" fillId="9" borderId="10" xfId="0" applyFont="1" applyFill="1" applyBorder="1" applyAlignment="1">
      <alignment horizontal="center" wrapText="1"/>
    </xf>
    <xf numFmtId="0" fontId="30" fillId="0" borderId="11" xfId="0" applyFont="1" applyBorder="1" applyAlignment="1">
      <alignment horizontal="left"/>
    </xf>
    <xf numFmtId="0" fontId="30" fillId="2" borderId="9" xfId="0" applyFont="1" applyFill="1" applyBorder="1" applyAlignment="1">
      <alignment horizontal="center" wrapText="1"/>
    </xf>
    <xf numFmtId="0" fontId="30" fillId="2" borderId="19" xfId="0" applyFont="1" applyFill="1" applyBorder="1" applyAlignment="1">
      <alignment horizontal="center" wrapText="1"/>
    </xf>
    <xf numFmtId="0" fontId="30" fillId="2" borderId="36" xfId="0" applyFont="1" applyFill="1" applyBorder="1" applyAlignment="1">
      <alignment horizontal="center" wrapText="1"/>
    </xf>
    <xf numFmtId="0" fontId="30" fillId="2" borderId="3" xfId="0" applyFont="1" applyFill="1" applyBorder="1" applyAlignment="1">
      <alignment horizontal="center" wrapText="1"/>
    </xf>
    <xf numFmtId="0" fontId="30" fillId="7" borderId="5" xfId="0" applyFont="1" applyFill="1" applyBorder="1" applyAlignment="1">
      <alignment horizontal="left"/>
    </xf>
    <xf numFmtId="0" fontId="29" fillId="9" borderId="10" xfId="0" applyFont="1" applyFill="1" applyBorder="1" applyAlignment="1">
      <alignment horizontal="left"/>
    </xf>
    <xf numFmtId="0" fontId="30" fillId="2" borderId="4" xfId="0" applyFont="1" applyFill="1" applyBorder="1" applyAlignment="1">
      <alignment horizontal="center"/>
    </xf>
    <xf numFmtId="0" fontId="30" fillId="2" borderId="11" xfId="0" applyFont="1" applyFill="1" applyBorder="1" applyAlignment="1">
      <alignment horizontal="center" wrapText="1"/>
    </xf>
    <xf numFmtId="0" fontId="30" fillId="2" borderId="15" xfId="0" applyFont="1" applyFill="1" applyBorder="1" applyAlignment="1">
      <alignment horizontal="center" wrapText="1"/>
    </xf>
    <xf numFmtId="0" fontId="30" fillId="9" borderId="4" xfId="0" applyFont="1" applyFill="1" applyBorder="1"/>
    <xf numFmtId="0" fontId="29" fillId="9" borderId="4" xfId="0" applyFont="1" applyFill="1" applyBorder="1" applyAlignment="1">
      <alignment horizontal="center" wrapText="1"/>
    </xf>
    <xf numFmtId="0" fontId="29" fillId="9" borderId="2" xfId="0" applyFont="1" applyFill="1" applyBorder="1" applyAlignment="1">
      <alignment horizontal="left"/>
    </xf>
    <xf numFmtId="0" fontId="29" fillId="9" borderId="4" xfId="0" applyFont="1" applyFill="1" applyBorder="1"/>
    <xf numFmtId="0" fontId="29" fillId="9" borderId="4" xfId="0" applyFont="1" applyFill="1" applyBorder="1" applyAlignment="1">
      <alignment horizontal="center"/>
    </xf>
    <xf numFmtId="0" fontId="30" fillId="0" borderId="15" xfId="0" applyFont="1" applyBorder="1" applyAlignment="1">
      <alignment horizontal="left"/>
    </xf>
    <xf numFmtId="0" fontId="14" fillId="0" borderId="5" xfId="0" applyFont="1" applyBorder="1" applyAlignment="1">
      <alignment horizontal="left"/>
    </xf>
    <xf numFmtId="0" fontId="30" fillId="0" borderId="15" xfId="0" applyFont="1" applyBorder="1" applyAlignment="1">
      <alignment horizontal="center"/>
    </xf>
    <xf numFmtId="0" fontId="14" fillId="0" borderId="2" xfId="0" applyFont="1" applyBorder="1"/>
    <xf numFmtId="0" fontId="14" fillId="0" borderId="2" xfId="0" applyFont="1" applyBorder="1" applyAlignment="1">
      <alignment horizontal="left"/>
    </xf>
    <xf numFmtId="0" fontId="14" fillId="0" borderId="8" xfId="0" applyFont="1" applyBorder="1" applyAlignment="1">
      <alignment horizontal="left"/>
    </xf>
    <xf numFmtId="0" fontId="14" fillId="0" borderId="24" xfId="0" applyFont="1" applyBorder="1" applyAlignment="1">
      <alignment horizontal="left"/>
    </xf>
    <xf numFmtId="0" fontId="14" fillId="0" borderId="25" xfId="0" applyFont="1" applyBorder="1"/>
    <xf numFmtId="0" fontId="14" fillId="0" borderId="20" xfId="0" applyFont="1" applyBorder="1"/>
    <xf numFmtId="0" fontId="14" fillId="2" borderId="36" xfId="0" applyFont="1" applyFill="1" applyBorder="1" applyAlignment="1">
      <alignment horizontal="center"/>
    </xf>
    <xf numFmtId="0" fontId="14" fillId="2" borderId="5" xfId="0" applyFont="1" applyFill="1" applyBorder="1" applyAlignment="1">
      <alignment horizontal="left"/>
    </xf>
    <xf numFmtId="0" fontId="30" fillId="0" borderId="9" xfId="0" applyFont="1" applyBorder="1" applyAlignment="1">
      <alignment horizontal="center"/>
    </xf>
    <xf numFmtId="0" fontId="30" fillId="0" borderId="19" xfId="0" applyFont="1" applyBorder="1" applyAlignment="1">
      <alignment horizontal="center"/>
    </xf>
    <xf numFmtId="0" fontId="30" fillId="0" borderId="5" xfId="0" applyFont="1" applyBorder="1" applyAlignment="1">
      <alignment horizontal="center"/>
    </xf>
    <xf numFmtId="0" fontId="0" fillId="0" borderId="11" xfId="0" applyBorder="1" applyAlignment="1">
      <alignment horizontal="center"/>
    </xf>
    <xf numFmtId="0" fontId="0" fillId="0" borderId="11" xfId="0" applyBorder="1" applyAlignment="1">
      <alignment horizontal="left"/>
    </xf>
    <xf numFmtId="0" fontId="1" fillId="2" borderId="12" xfId="0" applyFont="1" applyFill="1" applyBorder="1" applyAlignment="1">
      <alignment horizontal="center"/>
    </xf>
    <xf numFmtId="0" fontId="1" fillId="0" borderId="8" xfId="0" applyFont="1" applyBorder="1" applyAlignment="1">
      <alignment horizontal="center"/>
    </xf>
    <xf numFmtId="0" fontId="5" fillId="11" borderId="27" xfId="0" applyFont="1" applyFill="1" applyBorder="1"/>
    <xf numFmtId="0" fontId="5" fillId="11" borderId="13" xfId="0" applyFont="1" applyFill="1" applyBorder="1"/>
    <xf numFmtId="0" fontId="5" fillId="11" borderId="13" xfId="0" applyFont="1" applyFill="1" applyBorder="1" applyAlignment="1">
      <alignment horizontal="center"/>
    </xf>
    <xf numFmtId="0" fontId="2" fillId="9" borderId="26" xfId="0" applyFont="1" applyFill="1" applyBorder="1" applyAlignment="1">
      <alignment horizontal="center" wrapText="1"/>
    </xf>
    <xf numFmtId="0" fontId="5" fillId="9" borderId="26" xfId="0" applyFont="1" applyFill="1" applyBorder="1" applyAlignment="1">
      <alignment horizontal="left"/>
    </xf>
    <xf numFmtId="0" fontId="5" fillId="9" borderId="26" xfId="0" applyFont="1" applyFill="1" applyBorder="1" applyAlignment="1">
      <alignment horizontal="right"/>
    </xf>
    <xf numFmtId="0" fontId="1" fillId="0" borderId="22" xfId="0" applyFont="1" applyBorder="1" applyAlignment="1">
      <alignment horizontal="center"/>
    </xf>
    <xf numFmtId="0" fontId="8" fillId="9" borderId="4" xfId="0" applyFont="1" applyFill="1" applyBorder="1" applyAlignment="1">
      <alignment horizontal="center" wrapText="1"/>
    </xf>
    <xf numFmtId="0" fontId="12" fillId="11" borderId="26" xfId="0" applyFont="1" applyFill="1" applyBorder="1" applyAlignment="1">
      <alignment horizontal="center"/>
    </xf>
    <xf numFmtId="0" fontId="5" fillId="11" borderId="63" xfId="0" applyFont="1" applyFill="1" applyBorder="1"/>
    <xf numFmtId="0" fontId="5" fillId="11" borderId="23" xfId="0" applyFont="1" applyFill="1" applyBorder="1" applyAlignment="1">
      <alignment horizontal="center" wrapText="1"/>
    </xf>
    <xf numFmtId="0" fontId="5" fillId="11" borderId="43" xfId="0" applyFont="1" applyFill="1" applyBorder="1" applyAlignment="1">
      <alignment horizontal="center" wrapText="1"/>
    </xf>
    <xf numFmtId="0" fontId="5" fillId="11" borderId="63" xfId="0" applyFont="1" applyFill="1" applyBorder="1" applyAlignment="1">
      <alignment horizontal="center" wrapText="1"/>
    </xf>
    <xf numFmtId="0" fontId="5" fillId="9" borderId="8" xfId="0" applyFont="1" applyFill="1" applyBorder="1" applyAlignment="1">
      <alignment horizontal="right"/>
    </xf>
    <xf numFmtId="0" fontId="5" fillId="9" borderId="10" xfId="0" applyFont="1" applyFill="1" applyBorder="1"/>
    <xf numFmtId="0" fontId="5" fillId="9" borderId="42" xfId="0" applyFont="1" applyFill="1" applyBorder="1" applyAlignment="1">
      <alignment horizontal="right"/>
    </xf>
    <xf numFmtId="0" fontId="2" fillId="9" borderId="26" xfId="0" applyFont="1" applyFill="1" applyBorder="1" applyAlignment="1">
      <alignment horizontal="right"/>
    </xf>
    <xf numFmtId="0" fontId="1" fillId="2" borderId="20" xfId="0" applyFont="1" applyFill="1" applyBorder="1" applyAlignment="1">
      <alignment horizontal="center"/>
    </xf>
    <xf numFmtId="0" fontId="5" fillId="10" borderId="2" xfId="0" applyFont="1" applyFill="1" applyBorder="1" applyAlignment="1">
      <alignment horizontal="right"/>
    </xf>
    <xf numFmtId="0" fontId="1" fillId="0" borderId="12" xfId="0" applyFont="1" applyBorder="1" applyAlignment="1">
      <alignment horizontal="left"/>
    </xf>
    <xf numFmtId="0" fontId="1" fillId="0" borderId="11" xfId="0" applyFont="1" applyBorder="1" applyAlignment="1">
      <alignment horizontal="left"/>
    </xf>
    <xf numFmtId="0" fontId="1" fillId="0" borderId="5" xfId="0" applyFont="1" applyBorder="1" applyAlignment="1">
      <alignment horizontal="center"/>
    </xf>
    <xf numFmtId="0" fontId="1" fillId="0" borderId="10" xfId="0" applyFont="1" applyBorder="1" applyAlignment="1">
      <alignment horizontal="left"/>
    </xf>
    <xf numFmtId="0" fontId="1" fillId="0" borderId="64" xfId="0" applyFont="1" applyBorder="1" applyAlignment="1">
      <alignment horizontal="center"/>
    </xf>
    <xf numFmtId="0" fontId="1" fillId="0" borderId="64" xfId="0" applyFont="1" applyBorder="1" applyAlignment="1">
      <alignment horizontal="left"/>
    </xf>
    <xf numFmtId="0" fontId="1" fillId="0" borderId="39" xfId="0" applyFont="1" applyBorder="1" applyAlignment="1">
      <alignment horizontal="left"/>
    </xf>
    <xf numFmtId="0" fontId="1" fillId="0" borderId="19" xfId="0" applyFont="1" applyBorder="1" applyAlignment="1">
      <alignment horizontal="center"/>
    </xf>
    <xf numFmtId="0" fontId="1" fillId="0" borderId="17" xfId="0" applyFont="1" applyBorder="1" applyAlignment="1">
      <alignment horizontal="left"/>
    </xf>
    <xf numFmtId="0" fontId="1" fillId="0" borderId="46" xfId="0" applyFont="1" applyBorder="1" applyAlignment="1">
      <alignment horizontal="left"/>
    </xf>
    <xf numFmtId="0" fontId="1" fillId="0" borderId="16" xfId="0" applyFont="1" applyBorder="1" applyAlignment="1">
      <alignment horizontal="left"/>
    </xf>
    <xf numFmtId="0" fontId="1" fillId="0" borderId="9" xfId="0" applyFont="1" applyBorder="1" applyAlignment="1">
      <alignment horizontal="center"/>
    </xf>
    <xf numFmtId="0" fontId="1" fillId="0" borderId="3" xfId="0" applyFont="1" applyBorder="1" applyAlignment="1">
      <alignment horizontal="left"/>
    </xf>
    <xf numFmtId="0" fontId="1" fillId="0" borderId="9" xfId="0" applyFont="1" applyBorder="1" applyAlignment="1">
      <alignment horizontal="left"/>
    </xf>
    <xf numFmtId="0" fontId="0" fillId="7" borderId="12" xfId="0" applyFill="1" applyBorder="1" applyAlignment="1">
      <alignment horizontal="left"/>
    </xf>
    <xf numFmtId="0" fontId="1" fillId="7" borderId="10" xfId="0" applyFont="1" applyFill="1" applyBorder="1" applyAlignment="1">
      <alignment horizontal="center"/>
    </xf>
    <xf numFmtId="0" fontId="1" fillId="7" borderId="0" xfId="0" applyFont="1" applyFill="1" applyAlignment="1">
      <alignment horizontal="center"/>
    </xf>
    <xf numFmtId="0" fontId="1" fillId="7" borderId="10" xfId="0" applyFont="1" applyFill="1" applyBorder="1" applyAlignment="1">
      <alignment horizontal="left"/>
    </xf>
    <xf numFmtId="0" fontId="0" fillId="7" borderId="9" xfId="0" applyFill="1" applyBorder="1" applyAlignment="1">
      <alignment horizontal="center"/>
    </xf>
    <xf numFmtId="0" fontId="0" fillId="7" borderId="10" xfId="0" applyFill="1" applyBorder="1" applyAlignment="1">
      <alignment horizontal="left"/>
    </xf>
    <xf numFmtId="0" fontId="1" fillId="7" borderId="15" xfId="0" applyFont="1" applyFill="1" applyBorder="1" applyAlignment="1">
      <alignment horizontal="left"/>
    </xf>
    <xf numFmtId="0" fontId="0" fillId="7" borderId="11" xfId="0" applyFill="1" applyBorder="1" applyAlignment="1">
      <alignment horizontal="left"/>
    </xf>
    <xf numFmtId="0" fontId="0" fillId="6" borderId="42" xfId="0" applyFill="1" applyBorder="1"/>
    <xf numFmtId="0" fontId="24" fillId="6" borderId="41" xfId="0" applyFont="1" applyFill="1" applyBorder="1" applyAlignment="1">
      <alignment horizontal="center"/>
    </xf>
    <xf numFmtId="0" fontId="5" fillId="6" borderId="21" xfId="0" applyFont="1" applyFill="1" applyBorder="1" applyAlignment="1">
      <alignment horizontal="center" wrapText="1"/>
    </xf>
    <xf numFmtId="0" fontId="5" fillId="6" borderId="52" xfId="0" applyFont="1" applyFill="1" applyBorder="1" applyAlignment="1">
      <alignment horizontal="center" wrapText="1"/>
    </xf>
    <xf numFmtId="0" fontId="5" fillId="6" borderId="42" xfId="0" applyFont="1" applyFill="1" applyBorder="1"/>
    <xf numFmtId="37" fontId="21" fillId="11" borderId="40" xfId="2" applyNumberFormat="1" applyFont="1" applyFill="1" applyBorder="1" applyProtection="1"/>
    <xf numFmtId="0" fontId="0" fillId="0" borderId="12" xfId="0" applyBorder="1" applyAlignment="1">
      <alignment horizontal="left"/>
    </xf>
    <xf numFmtId="0" fontId="0" fillId="0" borderId="10" xfId="0" applyBorder="1" applyAlignment="1">
      <alignment horizontal="left"/>
    </xf>
    <xf numFmtId="0" fontId="0" fillId="0" borderId="9" xfId="0" applyBorder="1" applyAlignment="1">
      <alignment horizontal="center"/>
    </xf>
    <xf numFmtId="0" fontId="0" fillId="0" borderId="5" xfId="0" applyBorder="1" applyAlignment="1">
      <alignment horizontal="left"/>
    </xf>
    <xf numFmtId="0" fontId="3" fillId="6" borderId="42" xfId="0" applyFont="1" applyFill="1" applyBorder="1"/>
    <xf numFmtId="0" fontId="14" fillId="0" borderId="5" xfId="0" applyFont="1" applyBorder="1"/>
    <xf numFmtId="0" fontId="14" fillId="2" borderId="8" xfId="0" applyFont="1" applyFill="1" applyBorder="1" applyAlignment="1">
      <alignment horizontal="left"/>
    </xf>
    <xf numFmtId="0" fontId="14" fillId="7" borderId="2" xfId="0" applyFont="1" applyFill="1" applyBorder="1" applyAlignment="1">
      <alignment horizontal="left"/>
    </xf>
    <xf numFmtId="0" fontId="14" fillId="2" borderId="2" xfId="0" applyFont="1" applyFill="1" applyBorder="1" applyAlignment="1">
      <alignment horizontal="left"/>
    </xf>
    <xf numFmtId="0" fontId="30" fillId="2" borderId="0" xfId="0" applyFont="1" applyFill="1" applyAlignment="1">
      <alignment horizontal="left"/>
    </xf>
    <xf numFmtId="164" fontId="18" fillId="5" borderId="13" xfId="0" applyNumberFormat="1" applyFont="1" applyFill="1" applyBorder="1"/>
    <xf numFmtId="1" fontId="18" fillId="5" borderId="0" xfId="0" applyNumberFormat="1" applyFont="1" applyFill="1" applyAlignment="1">
      <alignment horizontal="center"/>
    </xf>
    <xf numFmtId="1" fontId="1" fillId="6" borderId="40" xfId="0" applyNumberFormat="1" applyFont="1" applyFill="1" applyBorder="1" applyAlignment="1">
      <alignment horizontal="center"/>
    </xf>
    <xf numFmtId="1" fontId="18" fillId="5" borderId="1" xfId="0" applyNumberFormat="1" applyFont="1" applyFill="1" applyBorder="1" applyAlignment="1">
      <alignment horizontal="center"/>
    </xf>
    <xf numFmtId="166" fontId="1" fillId="6" borderId="40" xfId="0" applyNumberFormat="1" applyFont="1" applyFill="1" applyBorder="1" applyAlignment="1">
      <alignment horizontal="right"/>
    </xf>
    <xf numFmtId="0" fontId="1" fillId="9" borderId="12" xfId="0" applyFont="1" applyFill="1" applyBorder="1" applyAlignment="1">
      <alignment horizontal="center"/>
    </xf>
    <xf numFmtId="0" fontId="1" fillId="9" borderId="10" xfId="0" applyFont="1" applyFill="1" applyBorder="1" applyAlignment="1">
      <alignment horizontal="center"/>
    </xf>
    <xf numFmtId="0" fontId="23" fillId="9" borderId="10" xfId="0" applyFont="1" applyFill="1" applyBorder="1" applyAlignment="1">
      <alignment horizontal="center"/>
    </xf>
    <xf numFmtId="166" fontId="1" fillId="9" borderId="61" xfId="0" applyNumberFormat="1" applyFont="1" applyFill="1" applyBorder="1" applyAlignment="1">
      <alignment horizontal="center"/>
    </xf>
    <xf numFmtId="44" fontId="1" fillId="5" borderId="1" xfId="2" applyFont="1" applyFill="1" applyBorder="1" applyProtection="1"/>
    <xf numFmtId="0" fontId="2" fillId="11" borderId="26" xfId="0" applyFont="1" applyFill="1" applyBorder="1"/>
    <xf numFmtId="44" fontId="8" fillId="11" borderId="26" xfId="2" applyFont="1" applyFill="1" applyBorder="1" applyProtection="1"/>
    <xf numFmtId="166" fontId="8" fillId="11" borderId="26" xfId="0" applyNumberFormat="1" applyFont="1" applyFill="1" applyBorder="1" applyAlignment="1">
      <alignment horizontal="center"/>
    </xf>
    <xf numFmtId="166" fontId="12" fillId="11" borderId="18" xfId="0" applyNumberFormat="1" applyFont="1" applyFill="1" applyBorder="1" applyAlignment="1">
      <alignment horizontal="center" wrapText="1"/>
    </xf>
    <xf numFmtId="165" fontId="8" fillId="11" borderId="26" xfId="0" applyNumberFormat="1" applyFont="1" applyFill="1" applyBorder="1"/>
    <xf numFmtId="164" fontId="8" fillId="11" borderId="26" xfId="0" applyNumberFormat="1" applyFont="1" applyFill="1" applyBorder="1" applyAlignment="1">
      <alignment horizontal="center"/>
    </xf>
    <xf numFmtId="0" fontId="8" fillId="11" borderId="26" xfId="0" applyFont="1" applyFill="1" applyBorder="1" applyAlignment="1">
      <alignment horizontal="center"/>
    </xf>
    <xf numFmtId="166" fontId="8" fillId="11" borderId="40" xfId="2" applyNumberFormat="1" applyFont="1" applyFill="1" applyBorder="1" applyAlignment="1" applyProtection="1">
      <alignment horizontal="center"/>
    </xf>
    <xf numFmtId="2" fontId="8" fillId="11" borderId="26" xfId="0" applyNumberFormat="1" applyFont="1" applyFill="1" applyBorder="1" applyAlignment="1">
      <alignment horizontal="center"/>
    </xf>
    <xf numFmtId="44" fontId="8" fillId="11" borderId="41" xfId="0" applyNumberFormat="1" applyFont="1" applyFill="1" applyBorder="1"/>
    <xf numFmtId="0" fontId="2" fillId="11" borderId="26" xfId="0" applyFont="1" applyFill="1" applyBorder="1" applyAlignment="1">
      <alignment horizontal="center"/>
    </xf>
    <xf numFmtId="167" fontId="8" fillId="11" borderId="26" xfId="2" applyNumberFormat="1" applyFont="1" applyFill="1" applyBorder="1" applyAlignment="1" applyProtection="1">
      <alignment horizontal="center"/>
    </xf>
    <xf numFmtId="44" fontId="8" fillId="11" borderId="40" xfId="0" applyNumberFormat="1" applyFont="1" applyFill="1" applyBorder="1"/>
    <xf numFmtId="0" fontId="2" fillId="11" borderId="1" xfId="0" applyFont="1" applyFill="1" applyBorder="1" applyAlignment="1">
      <alignment horizontal="center"/>
    </xf>
    <xf numFmtId="167" fontId="8" fillId="11" borderId="41" xfId="2" applyNumberFormat="1" applyFont="1" applyFill="1" applyBorder="1" applyAlignment="1" applyProtection="1">
      <alignment horizontal="center"/>
    </xf>
    <xf numFmtId="9" fontId="18" fillId="5" borderId="0" xfId="2" applyNumberFormat="1" applyFont="1" applyFill="1" applyBorder="1" applyProtection="1"/>
    <xf numFmtId="44" fontId="1" fillId="6" borderId="40" xfId="0" applyNumberFormat="1" applyFont="1" applyFill="1" applyBorder="1" applyAlignment="1">
      <alignment horizontal="right"/>
    </xf>
    <xf numFmtId="1" fontId="18" fillId="5" borderId="26" xfId="0" applyNumberFormat="1" applyFont="1" applyFill="1" applyBorder="1" applyAlignment="1">
      <alignment horizontal="center"/>
    </xf>
    <xf numFmtId="0" fontId="18" fillId="5" borderId="1" xfId="0" applyFont="1" applyFill="1" applyBorder="1" applyAlignment="1">
      <alignment horizontal="center"/>
    </xf>
    <xf numFmtId="166" fontId="1" fillId="2" borderId="47" xfId="0" applyNumberFormat="1" applyFont="1" applyFill="1" applyBorder="1" applyAlignment="1">
      <alignment horizontal="center"/>
    </xf>
    <xf numFmtId="166" fontId="1" fillId="7" borderId="62" xfId="0" applyNumberFormat="1" applyFont="1" applyFill="1" applyBorder="1" applyAlignment="1">
      <alignment horizontal="center"/>
    </xf>
    <xf numFmtId="166" fontId="1" fillId="2" borderId="50" xfId="0" applyNumberFormat="1" applyFont="1" applyFill="1" applyBorder="1" applyAlignment="1">
      <alignment horizontal="center"/>
    </xf>
    <xf numFmtId="166" fontId="12" fillId="11" borderId="26" xfId="0" applyNumberFormat="1" applyFont="1" applyFill="1" applyBorder="1"/>
    <xf numFmtId="166" fontId="5" fillId="9" borderId="4" xfId="0" applyNumberFormat="1" applyFont="1" applyFill="1" applyBorder="1" applyAlignment="1">
      <alignment horizontal="right"/>
    </xf>
    <xf numFmtId="166" fontId="1" fillId="2" borderId="13" xfId="0" applyNumberFormat="1" applyFont="1" applyFill="1" applyBorder="1" applyAlignment="1">
      <alignment horizontal="center"/>
    </xf>
    <xf numFmtId="166" fontId="1" fillId="2" borderId="16" xfId="0" applyNumberFormat="1" applyFont="1" applyFill="1" applyBorder="1" applyAlignment="1">
      <alignment horizontal="center"/>
    </xf>
    <xf numFmtId="166" fontId="1" fillId="9" borderId="4" xfId="0" applyNumberFormat="1" applyFont="1" applyFill="1" applyBorder="1" applyAlignment="1">
      <alignment horizontal="center"/>
    </xf>
    <xf numFmtId="166" fontId="1" fillId="2" borderId="0" xfId="0" applyNumberFormat="1" applyFont="1" applyFill="1" applyAlignment="1">
      <alignment horizontal="center"/>
    </xf>
    <xf numFmtId="0" fontId="12" fillId="11" borderId="13" xfId="0" applyFont="1" applyFill="1" applyBorder="1"/>
    <xf numFmtId="44" fontId="11" fillId="11" borderId="13" xfId="2" applyFont="1" applyFill="1" applyBorder="1" applyProtection="1"/>
    <xf numFmtId="166" fontId="11" fillId="11" borderId="13" xfId="0" applyNumberFormat="1" applyFont="1" applyFill="1" applyBorder="1" applyAlignment="1">
      <alignment horizontal="center"/>
    </xf>
    <xf numFmtId="0" fontId="11" fillId="11" borderId="28" xfId="0" applyFont="1" applyFill="1" applyBorder="1" applyAlignment="1">
      <alignment horizontal="center"/>
    </xf>
    <xf numFmtId="166" fontId="12" fillId="11" borderId="27" xfId="0" applyNumberFormat="1" applyFont="1" applyFill="1" applyBorder="1"/>
    <xf numFmtId="0" fontId="12" fillId="11" borderId="28" xfId="0" applyFont="1" applyFill="1" applyBorder="1"/>
    <xf numFmtId="1" fontId="17" fillId="6" borderId="40" xfId="2" applyNumberFormat="1" applyFont="1" applyFill="1" applyBorder="1" applyAlignment="1" applyProtection="1">
      <alignment horizontal="center"/>
    </xf>
    <xf numFmtId="44" fontId="10" fillId="5" borderId="20" xfId="2" applyFont="1" applyFill="1" applyBorder="1" applyProtection="1"/>
    <xf numFmtId="44" fontId="18" fillId="5" borderId="20" xfId="2" applyFont="1" applyFill="1" applyBorder="1" applyProtection="1"/>
    <xf numFmtId="0" fontId="18" fillId="5" borderId="21" xfId="2" applyNumberFormat="1" applyFont="1" applyFill="1" applyBorder="1" applyProtection="1"/>
    <xf numFmtId="0" fontId="5" fillId="5" borderId="27" xfId="0" applyFont="1" applyFill="1" applyBorder="1" applyAlignment="1">
      <alignment horizontal="center" wrapText="1"/>
    </xf>
    <xf numFmtId="0" fontId="18" fillId="5" borderId="20" xfId="0" applyFont="1" applyFill="1" applyBorder="1"/>
    <xf numFmtId="0" fontId="5" fillId="9" borderId="28" xfId="0" applyFont="1" applyFill="1" applyBorder="1" applyAlignment="1">
      <alignment horizontal="right"/>
    </xf>
    <xf numFmtId="0" fontId="5" fillId="11" borderId="0" xfId="0" applyFont="1" applyFill="1"/>
    <xf numFmtId="0" fontId="1" fillId="2" borderId="15" xfId="0" applyFont="1" applyFill="1" applyBorder="1" applyAlignment="1">
      <alignment horizontal="center"/>
    </xf>
    <xf numFmtId="0" fontId="1" fillId="2" borderId="10" xfId="0" applyFont="1" applyFill="1" applyBorder="1" applyAlignment="1">
      <alignment horizontal="center"/>
    </xf>
    <xf numFmtId="0" fontId="1" fillId="2" borderId="3" xfId="0" applyFont="1" applyFill="1" applyBorder="1" applyAlignment="1">
      <alignment horizontal="center"/>
    </xf>
    <xf numFmtId="0" fontId="1" fillId="2" borderId="9" xfId="0" applyFont="1" applyFill="1" applyBorder="1" applyAlignment="1">
      <alignment horizontal="center"/>
    </xf>
    <xf numFmtId="0" fontId="1" fillId="2" borderId="67" xfId="0" applyFont="1" applyFill="1" applyBorder="1" applyAlignment="1">
      <alignment horizontal="center"/>
    </xf>
    <xf numFmtId="0" fontId="1" fillId="2" borderId="64" xfId="0" applyFont="1" applyFill="1" applyBorder="1" applyAlignment="1">
      <alignment horizontal="center"/>
    </xf>
    <xf numFmtId="0" fontId="0" fillId="7" borderId="5" xfId="0" applyFill="1" applyBorder="1" applyAlignment="1">
      <alignment horizontal="center"/>
    </xf>
    <xf numFmtId="0" fontId="0" fillId="7" borderId="11" xfId="0" applyFill="1" applyBorder="1" applyAlignment="1">
      <alignment horizontal="center"/>
    </xf>
    <xf numFmtId="0" fontId="1" fillId="7" borderId="15" xfId="0" applyFont="1" applyFill="1" applyBorder="1" applyAlignment="1">
      <alignment horizontal="center"/>
    </xf>
    <xf numFmtId="0" fontId="0" fillId="7" borderId="20" xfId="0" applyFill="1" applyBorder="1" applyAlignment="1">
      <alignment horizontal="left"/>
    </xf>
    <xf numFmtId="0" fontId="0" fillId="7" borderId="15" xfId="0" applyFill="1" applyBorder="1" applyAlignment="1">
      <alignment horizontal="left"/>
    </xf>
    <xf numFmtId="0" fontId="0" fillId="7" borderId="0" xfId="0" applyFill="1" applyAlignment="1">
      <alignment horizontal="left"/>
    </xf>
    <xf numFmtId="0" fontId="0" fillId="7" borderId="36" xfId="0" applyFill="1" applyBorder="1" applyAlignment="1">
      <alignment horizontal="center"/>
    </xf>
    <xf numFmtId="0" fontId="0" fillId="7" borderId="15" xfId="0" applyFill="1" applyBorder="1" applyAlignment="1">
      <alignment horizontal="center"/>
    </xf>
    <xf numFmtId="164" fontId="1" fillId="7" borderId="61" xfId="0" applyNumberFormat="1" applyFont="1" applyFill="1" applyBorder="1" applyAlignment="1">
      <alignment horizontal="center"/>
    </xf>
    <xf numFmtId="166" fontId="2" fillId="11" borderId="26" xfId="0" applyNumberFormat="1" applyFont="1" applyFill="1" applyBorder="1"/>
    <xf numFmtId="166" fontId="5" fillId="10" borderId="9" xfId="0" applyNumberFormat="1" applyFont="1" applyFill="1" applyBorder="1" applyAlignment="1">
      <alignment horizontal="center" wrapText="1"/>
    </xf>
    <xf numFmtId="166" fontId="5" fillId="10" borderId="41" xfId="0" applyNumberFormat="1" applyFont="1" applyFill="1" applyBorder="1" applyAlignment="1">
      <alignment horizontal="center" wrapText="1"/>
    </xf>
    <xf numFmtId="166" fontId="1" fillId="2" borderId="38" xfId="0" applyNumberFormat="1" applyFont="1" applyFill="1" applyBorder="1" applyAlignment="1">
      <alignment horizontal="center"/>
    </xf>
    <xf numFmtId="14" fontId="5" fillId="0" borderId="0" xfId="0" applyNumberFormat="1" applyFont="1"/>
    <xf numFmtId="14" fontId="0" fillId="0" borderId="0" xfId="0" applyNumberFormat="1"/>
    <xf numFmtId="0" fontId="5" fillId="10" borderId="22" xfId="0" applyFont="1" applyFill="1" applyBorder="1"/>
    <xf numFmtId="0" fontId="5" fillId="10" borderId="0" xfId="0" applyFont="1" applyFill="1"/>
    <xf numFmtId="0" fontId="5" fillId="10" borderId="16" xfId="0" applyFont="1" applyFill="1" applyBorder="1" applyAlignment="1">
      <alignment horizontal="center" wrapText="1"/>
    </xf>
    <xf numFmtId="0" fontId="2" fillId="10" borderId="16" xfId="0" applyFont="1" applyFill="1" applyBorder="1" applyAlignment="1">
      <alignment horizontal="center" vertical="center" wrapText="1"/>
    </xf>
    <xf numFmtId="166" fontId="5" fillId="10" borderId="19" xfId="0" applyNumberFormat="1" applyFont="1" applyFill="1" applyBorder="1" applyAlignment="1">
      <alignment horizontal="center" wrapText="1"/>
    </xf>
    <xf numFmtId="0" fontId="0" fillId="0" borderId="59" xfId="0" applyBorder="1"/>
    <xf numFmtId="0" fontId="0" fillId="0" borderId="23" xfId="0" applyBorder="1"/>
    <xf numFmtId="0" fontId="0" fillId="0" borderId="23" xfId="0" applyBorder="1" applyAlignment="1">
      <alignment horizontal="center"/>
    </xf>
    <xf numFmtId="0" fontId="0" fillId="0" borderId="68" xfId="0" applyBorder="1"/>
    <xf numFmtId="0" fontId="0" fillId="0" borderId="46" xfId="0" applyBorder="1"/>
    <xf numFmtId="0" fontId="0" fillId="0" borderId="46" xfId="0" applyBorder="1" applyAlignment="1">
      <alignment horizontal="center"/>
    </xf>
    <xf numFmtId="0" fontId="30" fillId="0" borderId="0" xfId="0" applyFont="1" applyAlignment="1">
      <alignment wrapText="1"/>
    </xf>
    <xf numFmtId="0" fontId="30" fillId="2" borderId="8" xfId="0" applyFont="1" applyFill="1" applyBorder="1"/>
    <xf numFmtId="0" fontId="30" fillId="2" borderId="22" xfId="0" applyFont="1" applyFill="1" applyBorder="1"/>
    <xf numFmtId="0" fontId="28" fillId="9" borderId="4" xfId="0" applyFont="1" applyFill="1" applyBorder="1" applyAlignment="1">
      <alignment horizontal="left"/>
    </xf>
    <xf numFmtId="0" fontId="29" fillId="9" borderId="4" xfId="0" applyFont="1" applyFill="1" applyBorder="1" applyAlignment="1">
      <alignment horizontal="left"/>
    </xf>
    <xf numFmtId="0" fontId="31" fillId="6" borderId="40" xfId="0" applyFont="1" applyFill="1" applyBorder="1" applyAlignment="1">
      <alignment horizontal="center"/>
    </xf>
    <xf numFmtId="0" fontId="31" fillId="6" borderId="18" xfId="0" applyFont="1" applyFill="1" applyBorder="1" applyAlignment="1">
      <alignment horizontal="center"/>
    </xf>
    <xf numFmtId="0" fontId="31" fillId="6" borderId="29" xfId="0" applyFont="1" applyFill="1" applyBorder="1" applyAlignment="1">
      <alignment horizontal="center"/>
    </xf>
    <xf numFmtId="0" fontId="31" fillId="6" borderId="6" xfId="0" applyFont="1" applyFill="1" applyBorder="1" applyAlignment="1">
      <alignment horizontal="center"/>
    </xf>
    <xf numFmtId="0" fontId="31" fillId="6" borderId="52" xfId="0" applyFont="1" applyFill="1" applyBorder="1" applyAlignment="1">
      <alignment horizontal="center"/>
    </xf>
    <xf numFmtId="167" fontId="31" fillId="6" borderId="40" xfId="2" applyNumberFormat="1" applyFont="1" applyFill="1" applyBorder="1" applyAlignment="1" applyProtection="1">
      <alignment horizontal="center"/>
    </xf>
    <xf numFmtId="167" fontId="31" fillId="5" borderId="0" xfId="2" applyNumberFormat="1" applyFont="1" applyFill="1" applyBorder="1" applyAlignment="1" applyProtection="1">
      <alignment horizontal="center"/>
    </xf>
    <xf numFmtId="0" fontId="31" fillId="5" borderId="20" xfId="0" applyFont="1" applyFill="1" applyBorder="1" applyAlignment="1">
      <alignment horizontal="center"/>
    </xf>
    <xf numFmtId="0" fontId="31" fillId="5" borderId="21" xfId="0" applyFont="1" applyFill="1" applyBorder="1" applyAlignment="1">
      <alignment horizontal="center"/>
    </xf>
    <xf numFmtId="1" fontId="5" fillId="6" borderId="40" xfId="0" applyNumberFormat="1" applyFont="1" applyFill="1" applyBorder="1" applyAlignment="1">
      <alignment horizontal="center"/>
    </xf>
    <xf numFmtId="0" fontId="11" fillId="11" borderId="26" xfId="0" applyFont="1" applyFill="1" applyBorder="1" applyAlignment="1">
      <alignment horizontal="center"/>
    </xf>
    <xf numFmtId="44" fontId="2" fillId="11" borderId="41" xfId="0" applyNumberFormat="1" applyFont="1" applyFill="1" applyBorder="1"/>
    <xf numFmtId="1" fontId="2" fillId="11" borderId="41" xfId="0" applyNumberFormat="1" applyFont="1" applyFill="1" applyBorder="1" applyAlignment="1">
      <alignment horizontal="center"/>
    </xf>
    <xf numFmtId="0" fontId="5" fillId="6" borderId="40" xfId="0" applyFont="1" applyFill="1" applyBorder="1" applyAlignment="1">
      <alignment horizontal="center"/>
    </xf>
    <xf numFmtId="44" fontId="5" fillId="6" borderId="40" xfId="0" applyNumberFormat="1" applyFont="1" applyFill="1" applyBorder="1"/>
    <xf numFmtId="0" fontId="5" fillId="6" borderId="52" xfId="0" applyFont="1" applyFill="1" applyBorder="1" applyAlignment="1">
      <alignment horizontal="center"/>
    </xf>
    <xf numFmtId="44" fontId="5" fillId="6" borderId="52" xfId="0" applyNumberFormat="1" applyFont="1" applyFill="1" applyBorder="1"/>
    <xf numFmtId="1" fontId="5" fillId="6" borderId="52" xfId="0" applyNumberFormat="1" applyFont="1" applyFill="1" applyBorder="1" applyAlignment="1">
      <alignment horizontal="center"/>
    </xf>
    <xf numFmtId="42" fontId="5" fillId="6" borderId="42" xfId="0" applyNumberFormat="1" applyFont="1" applyFill="1" applyBorder="1"/>
    <xf numFmtId="1" fontId="5" fillId="6" borderId="40" xfId="2" applyNumberFormat="1" applyFont="1" applyFill="1" applyBorder="1" applyAlignment="1" applyProtection="1">
      <alignment horizontal="center"/>
    </xf>
    <xf numFmtId="0" fontId="5" fillId="0" borderId="10" xfId="0" applyFont="1" applyBorder="1" applyAlignment="1">
      <alignment horizontal="center" wrapText="1"/>
    </xf>
    <xf numFmtId="0" fontId="0" fillId="0" borderId="15" xfId="0" applyBorder="1" applyAlignment="1">
      <alignment wrapText="1"/>
    </xf>
    <xf numFmtId="0" fontId="1" fillId="0" borderId="15" xfId="0" applyFont="1" applyBorder="1" applyAlignment="1">
      <alignment wrapText="1"/>
    </xf>
    <xf numFmtId="0" fontId="0" fillId="0" borderId="0" xfId="0" applyAlignment="1">
      <alignment wrapText="1"/>
    </xf>
    <xf numFmtId="49" fontId="0" fillId="0" borderId="0" xfId="0" applyNumberFormat="1" applyAlignment="1">
      <alignment vertical="center"/>
    </xf>
    <xf numFmtId="0" fontId="2" fillId="10" borderId="44" xfId="0" applyFont="1" applyFill="1" applyBorder="1" applyAlignment="1">
      <alignment horizontal="center" vertical="center" wrapText="1"/>
    </xf>
    <xf numFmtId="0" fontId="14" fillId="0" borderId="19" xfId="0" applyFont="1" applyBorder="1" applyAlignment="1">
      <alignment horizontal="left"/>
    </xf>
    <xf numFmtId="0" fontId="14" fillId="0" borderId="17" xfId="0" applyFont="1" applyBorder="1" applyAlignment="1">
      <alignment horizontal="left"/>
    </xf>
    <xf numFmtId="9" fontId="1" fillId="0" borderId="0" xfId="2" applyNumberFormat="1" applyFont="1" applyFill="1" applyBorder="1" applyProtection="1"/>
    <xf numFmtId="0" fontId="1" fillId="2" borderId="10" xfId="0" applyFont="1" applyFill="1" applyBorder="1"/>
    <xf numFmtId="166" fontId="1" fillId="2" borderId="10" xfId="0" applyNumberFormat="1" applyFont="1" applyFill="1" applyBorder="1" applyAlignment="1">
      <alignment horizontal="center"/>
    </xf>
    <xf numFmtId="44" fontId="1" fillId="3" borderId="29" xfId="2" applyFont="1" applyFill="1" applyBorder="1" applyProtection="1">
      <protection locked="0"/>
    </xf>
    <xf numFmtId="44" fontId="1" fillId="5" borderId="7" xfId="2" applyFont="1" applyFill="1" applyBorder="1" applyProtection="1"/>
    <xf numFmtId="0" fontId="1" fillId="6" borderId="55" xfId="0" applyFont="1" applyFill="1" applyBorder="1" applyAlignment="1">
      <alignment horizontal="center"/>
    </xf>
    <xf numFmtId="44" fontId="1" fillId="6" borderId="44" xfId="0" applyNumberFormat="1" applyFont="1" applyFill="1" applyBorder="1"/>
    <xf numFmtId="167" fontId="1" fillId="6" borderId="48" xfId="2" applyNumberFormat="1" applyFont="1" applyFill="1" applyBorder="1" applyAlignment="1" applyProtection="1">
      <alignment horizontal="center"/>
    </xf>
    <xf numFmtId="44" fontId="1" fillId="3" borderId="14" xfId="2" applyFont="1" applyFill="1" applyBorder="1" applyProtection="1">
      <protection locked="0"/>
    </xf>
    <xf numFmtId="0" fontId="1" fillId="6" borderId="50" xfId="0" applyFont="1" applyFill="1" applyBorder="1" applyAlignment="1">
      <alignment horizontal="center"/>
    </xf>
    <xf numFmtId="44" fontId="1" fillId="6" borderId="10" xfId="0" applyNumberFormat="1" applyFont="1" applyFill="1" applyBorder="1"/>
    <xf numFmtId="167" fontId="1" fillId="6" borderId="14" xfId="2" applyNumberFormat="1" applyFont="1" applyFill="1" applyBorder="1" applyAlignment="1" applyProtection="1">
      <alignment horizontal="center"/>
    </xf>
    <xf numFmtId="166" fontId="1" fillId="2" borderId="4" xfId="0" applyNumberFormat="1" applyFont="1" applyFill="1" applyBorder="1" applyAlignment="1">
      <alignment horizontal="center"/>
    </xf>
    <xf numFmtId="44" fontId="1" fillId="3" borderId="49" xfId="2" applyFont="1" applyFill="1" applyBorder="1" applyProtection="1">
      <protection locked="0"/>
    </xf>
    <xf numFmtId="0" fontId="1" fillId="6" borderId="56" xfId="0" applyFont="1" applyFill="1" applyBorder="1" applyAlignment="1">
      <alignment horizontal="center"/>
    </xf>
    <xf numFmtId="44" fontId="1" fillId="6" borderId="56" xfId="0" applyNumberFormat="1" applyFont="1" applyFill="1" applyBorder="1"/>
    <xf numFmtId="167" fontId="1" fillId="6" borderId="57" xfId="2" applyNumberFormat="1" applyFont="1" applyFill="1" applyBorder="1" applyAlignment="1" applyProtection="1">
      <alignment horizontal="center"/>
    </xf>
    <xf numFmtId="44" fontId="1" fillId="5" borderId="27" xfId="2" applyFont="1" applyFill="1" applyBorder="1" applyProtection="1"/>
    <xf numFmtId="44" fontId="1" fillId="4" borderId="21" xfId="2" applyFont="1" applyFill="1" applyBorder="1" applyProtection="1"/>
    <xf numFmtId="0" fontId="1" fillId="4" borderId="0" xfId="0" applyFont="1" applyFill="1" applyAlignment="1">
      <alignment horizontal="center"/>
    </xf>
    <xf numFmtId="44" fontId="1" fillId="4" borderId="0" xfId="0" applyNumberFormat="1" applyFont="1" applyFill="1"/>
    <xf numFmtId="0" fontId="1" fillId="6" borderId="28" xfId="0" applyFont="1" applyFill="1" applyBorder="1" applyAlignment="1">
      <alignment horizontal="center"/>
    </xf>
    <xf numFmtId="44" fontId="1" fillId="6" borderId="55" xfId="0" applyNumberFormat="1" applyFont="1" applyFill="1" applyBorder="1"/>
    <xf numFmtId="167" fontId="1" fillId="6" borderId="29" xfId="2" applyNumberFormat="1" applyFont="1" applyFill="1" applyBorder="1" applyAlignment="1" applyProtection="1">
      <alignment horizontal="center"/>
    </xf>
    <xf numFmtId="0" fontId="1" fillId="6" borderId="32" xfId="0" applyFont="1" applyFill="1" applyBorder="1" applyAlignment="1">
      <alignment horizontal="center"/>
    </xf>
    <xf numFmtId="44" fontId="1" fillId="6" borderId="32" xfId="0" applyNumberFormat="1" applyFont="1" applyFill="1" applyBorder="1"/>
    <xf numFmtId="166" fontId="1" fillId="6" borderId="57" xfId="0" applyNumberFormat="1" applyFont="1" applyFill="1" applyBorder="1" applyAlignment="1">
      <alignment horizontal="center"/>
    </xf>
    <xf numFmtId="44" fontId="1" fillId="3" borderId="48" xfId="2" applyFont="1" applyFill="1" applyBorder="1" applyProtection="1">
      <protection locked="0"/>
    </xf>
    <xf numFmtId="44" fontId="1" fillId="6" borderId="43" xfId="0" applyNumberFormat="1" applyFont="1" applyFill="1" applyBorder="1"/>
    <xf numFmtId="167" fontId="1" fillId="6" borderId="28" xfId="2" applyNumberFormat="1" applyFont="1" applyFill="1" applyBorder="1" applyAlignment="1" applyProtection="1">
      <alignment horizontal="center"/>
    </xf>
    <xf numFmtId="44" fontId="1" fillId="6" borderId="19" xfId="0" applyNumberFormat="1" applyFont="1" applyFill="1" applyBorder="1"/>
    <xf numFmtId="167" fontId="1" fillId="6" borderId="47" xfId="2" applyNumberFormat="1" applyFont="1" applyFill="1" applyBorder="1" applyAlignment="1" applyProtection="1">
      <alignment horizontal="center"/>
    </xf>
    <xf numFmtId="166" fontId="1" fillId="0" borderId="4" xfId="0" applyNumberFormat="1" applyFont="1" applyBorder="1" applyAlignment="1">
      <alignment horizontal="center"/>
    </xf>
    <xf numFmtId="44" fontId="1" fillId="8" borderId="57" xfId="2" applyFont="1" applyFill="1" applyBorder="1" applyProtection="1">
      <protection locked="0"/>
    </xf>
    <xf numFmtId="44" fontId="1" fillId="6" borderId="53" xfId="0" applyNumberFormat="1" applyFont="1" applyFill="1" applyBorder="1"/>
    <xf numFmtId="167" fontId="1" fillId="6" borderId="56" xfId="2" applyNumberFormat="1" applyFont="1" applyFill="1" applyBorder="1" applyAlignment="1" applyProtection="1">
      <alignment horizontal="center"/>
    </xf>
    <xf numFmtId="44" fontId="1" fillId="5" borderId="21" xfId="2" applyFont="1" applyFill="1" applyBorder="1" applyProtection="1"/>
    <xf numFmtId="166" fontId="1" fillId="0" borderId="3" xfId="0" applyNumberFormat="1" applyFont="1" applyBorder="1" applyAlignment="1">
      <alignment horizontal="center"/>
    </xf>
    <xf numFmtId="0" fontId="1" fillId="6" borderId="43" xfId="0" applyFont="1" applyFill="1" applyBorder="1" applyAlignment="1">
      <alignment horizontal="center"/>
    </xf>
    <xf numFmtId="0" fontId="1" fillId="6" borderId="53" xfId="0" applyFont="1" applyFill="1" applyBorder="1" applyAlignment="1">
      <alignment horizontal="center"/>
    </xf>
    <xf numFmtId="166" fontId="1" fillId="0" borderId="0" xfId="0" applyNumberFormat="1" applyFont="1" applyAlignment="1">
      <alignment horizontal="center"/>
    </xf>
    <xf numFmtId="0" fontId="1" fillId="6" borderId="33" xfId="0" applyFont="1" applyFill="1" applyBorder="1" applyAlignment="1">
      <alignment horizontal="center"/>
    </xf>
    <xf numFmtId="44" fontId="1" fillId="6" borderId="33" xfId="0" applyNumberFormat="1" applyFont="1" applyFill="1" applyBorder="1"/>
    <xf numFmtId="167" fontId="1" fillId="6" borderId="55" xfId="2" applyNumberFormat="1" applyFont="1" applyFill="1" applyBorder="1" applyAlignment="1" applyProtection="1">
      <alignment horizontal="center"/>
    </xf>
    <xf numFmtId="0" fontId="1" fillId="6" borderId="36" xfId="0" applyFont="1" applyFill="1" applyBorder="1" applyAlignment="1">
      <alignment horizontal="center"/>
    </xf>
    <xf numFmtId="44" fontId="1" fillId="6" borderId="36" xfId="0" applyNumberFormat="1" applyFont="1" applyFill="1" applyBorder="1"/>
    <xf numFmtId="167" fontId="1" fillId="6" borderId="32" xfId="2" applyNumberFormat="1" applyFont="1" applyFill="1" applyBorder="1" applyAlignment="1" applyProtection="1">
      <alignment horizontal="center"/>
    </xf>
    <xf numFmtId="166" fontId="1" fillId="2" borderId="55" xfId="0" applyNumberFormat="1" applyFont="1" applyFill="1" applyBorder="1" applyAlignment="1">
      <alignment horizontal="center"/>
    </xf>
    <xf numFmtId="166" fontId="1" fillId="6" borderId="42" xfId="0" applyNumberFormat="1" applyFont="1" applyFill="1" applyBorder="1" applyAlignment="1">
      <alignment horizontal="center"/>
    </xf>
    <xf numFmtId="0" fontId="1" fillId="6" borderId="31" xfId="0" applyFont="1" applyFill="1" applyBorder="1" applyAlignment="1">
      <alignment horizontal="center"/>
    </xf>
    <xf numFmtId="44" fontId="1" fillId="5" borderId="6" xfId="0" applyNumberFormat="1" applyFont="1" applyFill="1" applyBorder="1"/>
    <xf numFmtId="166" fontId="1" fillId="5" borderId="32" xfId="0" applyNumberFormat="1" applyFont="1" applyFill="1" applyBorder="1" applyAlignment="1">
      <alignment horizontal="center"/>
    </xf>
    <xf numFmtId="166" fontId="1" fillId="2" borderId="22" xfId="0" applyNumberFormat="1" applyFont="1" applyFill="1" applyBorder="1" applyAlignment="1">
      <alignment horizontal="center"/>
    </xf>
    <xf numFmtId="44" fontId="1" fillId="3" borderId="20" xfId="2" applyFont="1" applyFill="1" applyBorder="1" applyProtection="1">
      <protection locked="0"/>
    </xf>
    <xf numFmtId="44" fontId="1" fillId="5" borderId="22" xfId="2" applyFont="1" applyFill="1" applyBorder="1" applyProtection="1"/>
    <xf numFmtId="166" fontId="1" fillId="6" borderId="59" xfId="0" applyNumberFormat="1" applyFont="1" applyFill="1" applyBorder="1" applyAlignment="1">
      <alignment horizontal="center"/>
    </xf>
    <xf numFmtId="0" fontId="1" fillId="6" borderId="30" xfId="0" applyFont="1" applyFill="1" applyBorder="1" applyAlignment="1">
      <alignment horizontal="center"/>
    </xf>
    <xf numFmtId="166" fontId="1" fillId="0" borderId="24" xfId="0" applyNumberFormat="1" applyFont="1" applyBorder="1" applyAlignment="1">
      <alignment horizontal="center"/>
    </xf>
    <xf numFmtId="44" fontId="1" fillId="4" borderId="39" xfId="2" applyFont="1" applyFill="1" applyBorder="1" applyProtection="1"/>
    <xf numFmtId="166" fontId="1" fillId="5" borderId="0" xfId="0" applyNumberFormat="1" applyFont="1" applyFill="1"/>
    <xf numFmtId="166" fontId="1" fillId="2" borderId="8" xfId="0" applyNumberFormat="1" applyFont="1" applyFill="1" applyBorder="1" applyAlignment="1">
      <alignment horizontal="center"/>
    </xf>
    <xf numFmtId="44" fontId="1" fillId="0" borderId="48" xfId="0" applyNumberFormat="1" applyFont="1" applyBorder="1"/>
    <xf numFmtId="165" fontId="1" fillId="2" borderId="48" xfId="5" applyNumberFormat="1" applyFont="1" applyFill="1" applyBorder="1" applyProtection="1"/>
    <xf numFmtId="167" fontId="1" fillId="6" borderId="40" xfId="5" applyNumberFormat="1" applyFont="1" applyFill="1" applyBorder="1" applyAlignment="1" applyProtection="1">
      <alignment horizontal="center"/>
    </xf>
    <xf numFmtId="166" fontId="1" fillId="2" borderId="2" xfId="0" applyNumberFormat="1" applyFont="1" applyFill="1" applyBorder="1" applyAlignment="1">
      <alignment horizontal="center"/>
    </xf>
    <xf numFmtId="44" fontId="1" fillId="0" borderId="29" xfId="0" applyNumberFormat="1" applyFont="1" applyBorder="1"/>
    <xf numFmtId="165" fontId="1" fillId="2" borderId="4" xfId="5" applyNumberFormat="1" applyFont="1" applyFill="1" applyBorder="1" applyProtection="1"/>
    <xf numFmtId="2" fontId="1" fillId="5" borderId="0" xfId="5" applyNumberFormat="1" applyFont="1" applyFill="1" applyBorder="1" applyAlignment="1" applyProtection="1">
      <alignment horizontal="center"/>
    </xf>
    <xf numFmtId="42" fontId="1" fillId="0" borderId="57" xfId="0" applyNumberFormat="1" applyFont="1" applyBorder="1"/>
    <xf numFmtId="164" fontId="1" fillId="2" borderId="16" xfId="5" applyNumberFormat="1" applyFont="1" applyFill="1" applyBorder="1" applyProtection="1"/>
    <xf numFmtId="166" fontId="1" fillId="0" borderId="8" xfId="0" applyNumberFormat="1" applyFont="1" applyBorder="1" applyAlignment="1">
      <alignment horizontal="center"/>
    </xf>
    <xf numFmtId="44" fontId="1" fillId="5" borderId="20" xfId="2" applyFont="1" applyFill="1" applyBorder="1" applyProtection="1"/>
    <xf numFmtId="165" fontId="1" fillId="5" borderId="28" xfId="5" applyNumberFormat="1" applyFont="1" applyFill="1" applyBorder="1" applyProtection="1"/>
    <xf numFmtId="166" fontId="1" fillId="0" borderId="2" xfId="0" applyNumberFormat="1" applyFont="1" applyBorder="1" applyAlignment="1">
      <alignment horizontal="center"/>
    </xf>
    <xf numFmtId="44" fontId="1" fillId="4" borderId="7" xfId="2" applyFont="1" applyFill="1" applyBorder="1" applyProtection="1"/>
    <xf numFmtId="2" fontId="1" fillId="4" borderId="0" xfId="2" applyNumberFormat="1" applyFont="1" applyFill="1" applyBorder="1" applyAlignment="1" applyProtection="1">
      <alignment horizontal="center"/>
    </xf>
    <xf numFmtId="165" fontId="1" fillId="5" borderId="7" xfId="5" applyNumberFormat="1" applyFont="1" applyFill="1" applyBorder="1" applyProtection="1"/>
    <xf numFmtId="166" fontId="1" fillId="0" borderId="22" xfId="0" applyNumberFormat="1" applyFont="1" applyBorder="1" applyAlignment="1">
      <alignment horizontal="center"/>
    </xf>
    <xf numFmtId="165" fontId="1" fillId="5" borderId="32" xfId="5" applyNumberFormat="1" applyFont="1" applyFill="1" applyBorder="1" applyProtection="1"/>
    <xf numFmtId="2" fontId="1" fillId="5" borderId="1" xfId="5" applyNumberFormat="1" applyFont="1" applyFill="1" applyBorder="1" applyAlignment="1" applyProtection="1">
      <alignment horizontal="center"/>
    </xf>
    <xf numFmtId="44" fontId="1" fillId="5" borderId="32" xfId="0" applyNumberFormat="1" applyFont="1" applyFill="1" applyBorder="1"/>
    <xf numFmtId="44" fontId="1" fillId="3" borderId="42" xfId="2" applyFont="1" applyFill="1" applyBorder="1" applyProtection="1">
      <protection locked="0"/>
    </xf>
    <xf numFmtId="9" fontId="1" fillId="7" borderId="48" xfId="5" applyFont="1" applyFill="1" applyBorder="1" applyProtection="1"/>
    <xf numFmtId="44" fontId="1" fillId="6" borderId="42" xfId="0" applyNumberFormat="1" applyFont="1" applyFill="1" applyBorder="1"/>
    <xf numFmtId="1" fontId="1" fillId="6" borderId="52" xfId="2" applyNumberFormat="1" applyFont="1" applyFill="1" applyBorder="1" applyAlignment="1" applyProtection="1">
      <alignment horizontal="center"/>
    </xf>
    <xf numFmtId="166" fontId="1" fillId="7" borderId="2" xfId="0" applyNumberFormat="1" applyFont="1" applyFill="1" applyBorder="1" applyAlignment="1">
      <alignment horizontal="center"/>
    </xf>
    <xf numFmtId="9" fontId="1" fillId="7" borderId="29" xfId="2" applyNumberFormat="1" applyFont="1" applyFill="1" applyBorder="1" applyProtection="1"/>
    <xf numFmtId="9" fontId="1" fillId="0" borderId="52" xfId="2" applyNumberFormat="1" applyFont="1" applyFill="1" applyBorder="1" applyProtection="1"/>
    <xf numFmtId="9" fontId="1" fillId="0" borderId="40" xfId="2" applyNumberFormat="1" applyFont="1" applyFill="1" applyBorder="1" applyProtection="1"/>
    <xf numFmtId="2" fontId="1" fillId="5" borderId="0" xfId="2" applyNumberFormat="1" applyFont="1" applyFill="1" applyBorder="1" applyAlignment="1" applyProtection="1">
      <alignment horizontal="center"/>
    </xf>
    <xf numFmtId="9" fontId="1" fillId="5" borderId="0" xfId="2" applyNumberFormat="1" applyFont="1" applyFill="1" applyBorder="1" applyProtection="1"/>
    <xf numFmtId="166" fontId="1" fillId="7" borderId="24" xfId="0" applyNumberFormat="1" applyFont="1" applyFill="1" applyBorder="1" applyAlignment="1">
      <alignment horizontal="center"/>
    </xf>
    <xf numFmtId="166" fontId="1" fillId="10" borderId="4" xfId="0" applyNumberFormat="1" applyFont="1" applyFill="1" applyBorder="1" applyAlignment="1">
      <alignment horizontal="center"/>
    </xf>
    <xf numFmtId="9" fontId="1" fillId="7" borderId="40" xfId="5" applyFont="1" applyFill="1" applyBorder="1" applyProtection="1"/>
    <xf numFmtId="166" fontId="1" fillId="5" borderId="36" xfId="0" applyNumberFormat="1" applyFont="1" applyFill="1" applyBorder="1" applyAlignment="1">
      <alignment horizontal="center"/>
    </xf>
    <xf numFmtId="166" fontId="1" fillId="2" borderId="51" xfId="0" applyNumberFormat="1" applyFont="1" applyFill="1" applyBorder="1" applyAlignment="1">
      <alignment horizontal="center"/>
    </xf>
    <xf numFmtId="9" fontId="1" fillId="5" borderId="1" xfId="2" applyNumberFormat="1" applyFont="1" applyFill="1" applyBorder="1" applyProtection="1"/>
    <xf numFmtId="2" fontId="1" fillId="5" borderId="1" xfId="2" applyNumberFormat="1" applyFont="1" applyFill="1" applyBorder="1" applyAlignment="1" applyProtection="1">
      <alignment horizontal="center"/>
    </xf>
    <xf numFmtId="0" fontId="1" fillId="5" borderId="32" xfId="0" applyFont="1" applyFill="1" applyBorder="1"/>
    <xf numFmtId="0" fontId="1" fillId="9" borderId="42" xfId="0" applyFont="1" applyFill="1" applyBorder="1" applyAlignment="1">
      <alignment horizontal="center"/>
    </xf>
    <xf numFmtId="0" fontId="1" fillId="9" borderId="26" xfId="0" applyFont="1" applyFill="1" applyBorder="1" applyAlignment="1">
      <alignment horizontal="left"/>
    </xf>
    <xf numFmtId="44" fontId="1" fillId="8" borderId="42" xfId="2" applyFont="1" applyFill="1" applyBorder="1" applyProtection="1">
      <protection locked="0"/>
    </xf>
    <xf numFmtId="10" fontId="1" fillId="0" borderId="40" xfId="2" applyNumberFormat="1" applyFont="1" applyFill="1" applyBorder="1" applyProtection="1"/>
    <xf numFmtId="166" fontId="1" fillId="5" borderId="26" xfId="0" applyNumberFormat="1" applyFont="1" applyFill="1" applyBorder="1" applyAlignment="1">
      <alignment horizontal="center"/>
    </xf>
    <xf numFmtId="44" fontId="1" fillId="5" borderId="28" xfId="0" applyNumberFormat="1" applyFont="1" applyFill="1" applyBorder="1"/>
    <xf numFmtId="9" fontId="1" fillId="0" borderId="29" xfId="2" applyNumberFormat="1" applyFont="1" applyFill="1" applyBorder="1" applyProtection="1"/>
    <xf numFmtId="0" fontId="1" fillId="9" borderId="2" xfId="0" applyFont="1" applyFill="1" applyBorder="1" applyAlignment="1">
      <alignment horizontal="center"/>
    </xf>
    <xf numFmtId="166" fontId="1" fillId="7" borderId="4" xfId="0" applyNumberFormat="1" applyFont="1" applyFill="1" applyBorder="1" applyAlignment="1">
      <alignment horizontal="center"/>
    </xf>
    <xf numFmtId="0" fontId="1" fillId="5" borderId="1" xfId="2" applyNumberFormat="1" applyFont="1" applyFill="1" applyBorder="1" applyProtection="1"/>
    <xf numFmtId="0" fontId="1" fillId="9" borderId="25" xfId="0" applyFont="1" applyFill="1" applyBorder="1" applyAlignment="1">
      <alignment horizontal="left"/>
    </xf>
    <xf numFmtId="0" fontId="1" fillId="9" borderId="4" xfId="0" applyFont="1" applyFill="1" applyBorder="1" applyAlignment="1">
      <alignment horizontal="center" wrapText="1"/>
    </xf>
    <xf numFmtId="166" fontId="1" fillId="2" borderId="62" xfId="0" applyNumberFormat="1" applyFont="1" applyFill="1" applyBorder="1" applyAlignment="1">
      <alignment horizontal="center"/>
    </xf>
    <xf numFmtId="44" fontId="1" fillId="3" borderId="55" xfId="2" applyFont="1" applyFill="1" applyBorder="1" applyProtection="1">
      <protection locked="0"/>
    </xf>
    <xf numFmtId="44" fontId="1" fillId="5" borderId="6" xfId="2" applyFont="1" applyFill="1" applyBorder="1" applyProtection="1"/>
    <xf numFmtId="166" fontId="1" fillId="6" borderId="35" xfId="0" applyNumberFormat="1" applyFont="1" applyFill="1" applyBorder="1" applyAlignment="1">
      <alignment horizontal="center"/>
    </xf>
    <xf numFmtId="0" fontId="1" fillId="6" borderId="66" xfId="0" applyFont="1" applyFill="1" applyBorder="1" applyAlignment="1">
      <alignment horizontal="center"/>
    </xf>
    <xf numFmtId="0" fontId="1" fillId="5" borderId="6" xfId="0" applyFont="1" applyFill="1" applyBorder="1"/>
    <xf numFmtId="44" fontId="1" fillId="3" borderId="56" xfId="2" applyFont="1" applyFill="1" applyBorder="1" applyProtection="1">
      <protection locked="0"/>
    </xf>
    <xf numFmtId="166" fontId="1" fillId="6" borderId="45" xfId="0" applyNumberFormat="1" applyFont="1" applyFill="1" applyBorder="1" applyAlignment="1">
      <alignment horizontal="center"/>
    </xf>
    <xf numFmtId="166" fontId="1" fillId="0" borderId="62" xfId="0" applyNumberFormat="1" applyFont="1" applyBorder="1" applyAlignment="1">
      <alignment horizontal="center"/>
    </xf>
    <xf numFmtId="0" fontId="1" fillId="6" borderId="60" xfId="0" applyFont="1" applyFill="1" applyBorder="1" applyAlignment="1">
      <alignment horizontal="center"/>
    </xf>
    <xf numFmtId="166" fontId="1" fillId="0" borderId="65" xfId="0" applyNumberFormat="1" applyFont="1" applyBorder="1" applyAlignment="1">
      <alignment horizontal="center"/>
    </xf>
    <xf numFmtId="0" fontId="1" fillId="9" borderId="10" xfId="0" applyFont="1" applyFill="1" applyBorder="1" applyAlignment="1">
      <alignment horizontal="center" wrapText="1"/>
    </xf>
    <xf numFmtId="164" fontId="1" fillId="5" borderId="0" xfId="0" applyNumberFormat="1" applyFont="1" applyFill="1" applyAlignment="1">
      <alignment horizontal="center"/>
    </xf>
    <xf numFmtId="167" fontId="1" fillId="5" borderId="20" xfId="2" applyNumberFormat="1" applyFont="1" applyFill="1" applyBorder="1" applyAlignment="1" applyProtection="1">
      <alignment horizontal="center"/>
    </xf>
    <xf numFmtId="166" fontId="1" fillId="2" borderId="65" xfId="0" applyNumberFormat="1" applyFont="1" applyFill="1" applyBorder="1" applyAlignment="1">
      <alignment horizontal="center"/>
    </xf>
    <xf numFmtId="0" fontId="1" fillId="6" borderId="34" xfId="0" applyFont="1" applyFill="1" applyBorder="1" applyAlignment="1">
      <alignment horizontal="center"/>
    </xf>
    <xf numFmtId="0" fontId="1" fillId="6" borderId="58" xfId="0" applyFont="1" applyFill="1" applyBorder="1" applyAlignment="1">
      <alignment horizontal="center"/>
    </xf>
    <xf numFmtId="44" fontId="1" fillId="11" borderId="26" xfId="2" applyFont="1" applyFill="1" applyBorder="1" applyProtection="1"/>
    <xf numFmtId="164" fontId="1" fillId="11" borderId="26" xfId="0" applyNumberFormat="1" applyFont="1" applyFill="1" applyBorder="1" applyAlignment="1">
      <alignment horizontal="center"/>
    </xf>
    <xf numFmtId="0" fontId="1" fillId="11" borderId="26" xfId="0" applyFont="1" applyFill="1" applyBorder="1" applyAlignment="1">
      <alignment horizontal="center"/>
    </xf>
    <xf numFmtId="164" fontId="1" fillId="5" borderId="1" xfId="0" applyNumberFormat="1" applyFont="1" applyFill="1" applyBorder="1" applyAlignment="1">
      <alignment horizontal="center"/>
    </xf>
    <xf numFmtId="0" fontId="1" fillId="2" borderId="11" xfId="0" applyFont="1" applyFill="1" applyBorder="1" applyAlignment="1">
      <alignment horizontal="left"/>
    </xf>
    <xf numFmtId="164" fontId="1" fillId="2" borderId="10" xfId="0" applyNumberFormat="1" applyFont="1" applyFill="1" applyBorder="1" applyAlignment="1">
      <alignment horizontal="center"/>
    </xf>
    <xf numFmtId="44" fontId="1" fillId="3" borderId="45" xfId="2" applyFont="1" applyFill="1" applyBorder="1" applyProtection="1">
      <protection locked="0"/>
    </xf>
    <xf numFmtId="164" fontId="1" fillId="2" borderId="4" xfId="0" applyNumberFormat="1" applyFont="1" applyFill="1" applyBorder="1" applyAlignment="1">
      <alignment horizontal="center"/>
    </xf>
    <xf numFmtId="166" fontId="1" fillId="6" borderId="4" xfId="0" applyNumberFormat="1" applyFont="1" applyFill="1" applyBorder="1" applyAlignment="1">
      <alignment horizontal="center"/>
    </xf>
    <xf numFmtId="44" fontId="1" fillId="5" borderId="39" xfId="2" applyFont="1" applyFill="1" applyBorder="1" applyProtection="1"/>
    <xf numFmtId="0" fontId="1" fillId="2" borderId="15" xfId="0" applyFont="1" applyFill="1" applyBorder="1" applyAlignment="1">
      <alignment horizontal="left"/>
    </xf>
    <xf numFmtId="164" fontId="1" fillId="2" borderId="16" xfId="0" applyNumberFormat="1" applyFont="1" applyFill="1" applyBorder="1" applyAlignment="1">
      <alignment horizontal="center"/>
    </xf>
    <xf numFmtId="44" fontId="1" fillId="4" borderId="20" xfId="2" applyFont="1" applyFill="1" applyBorder="1" applyProtection="1"/>
    <xf numFmtId="166" fontId="1" fillId="6" borderId="0" xfId="0" applyNumberFormat="1" applyFont="1" applyFill="1" applyAlignment="1">
      <alignment horizontal="center"/>
    </xf>
    <xf numFmtId="0" fontId="1" fillId="9" borderId="10" xfId="0" applyFont="1" applyFill="1" applyBorder="1" applyAlignment="1">
      <alignment horizontal="left"/>
    </xf>
    <xf numFmtId="166" fontId="1" fillId="5" borderId="1" xfId="0" applyNumberFormat="1" applyFont="1" applyFill="1" applyBorder="1" applyAlignment="1">
      <alignment horizontal="center"/>
    </xf>
    <xf numFmtId="166" fontId="1" fillId="6" borderId="14" xfId="0" applyNumberFormat="1" applyFont="1" applyFill="1" applyBorder="1" applyAlignment="1">
      <alignment horizontal="center"/>
    </xf>
    <xf numFmtId="164" fontId="1" fillId="7" borderId="4" xfId="0" applyNumberFormat="1" applyFont="1" applyFill="1" applyBorder="1" applyAlignment="1">
      <alignment horizontal="center"/>
    </xf>
    <xf numFmtId="164" fontId="1" fillId="7" borderId="3" xfId="0" applyNumberFormat="1" applyFont="1" applyFill="1" applyBorder="1" applyAlignment="1">
      <alignment horizontal="center"/>
    </xf>
    <xf numFmtId="164" fontId="1" fillId="7" borderId="0" xfId="0" applyNumberFormat="1" applyFont="1" applyFill="1" applyAlignment="1">
      <alignment horizontal="center"/>
    </xf>
    <xf numFmtId="164" fontId="1" fillId="7" borderId="10" xfId="0" applyNumberFormat="1" applyFont="1" applyFill="1" applyBorder="1" applyAlignment="1">
      <alignment horizontal="center"/>
    </xf>
    <xf numFmtId="164" fontId="1" fillId="0" borderId="3" xfId="0" applyNumberFormat="1" applyFont="1" applyBorder="1" applyAlignment="1">
      <alignment horizontal="center"/>
    </xf>
    <xf numFmtId="164" fontId="1" fillId="2" borderId="3" xfId="0" applyNumberFormat="1" applyFont="1" applyFill="1" applyBorder="1" applyAlignment="1">
      <alignment horizontal="center"/>
    </xf>
    <xf numFmtId="44" fontId="1" fillId="4" borderId="32" xfId="2" applyFont="1" applyFill="1" applyBorder="1" applyProtection="1"/>
    <xf numFmtId="164" fontId="1" fillId="2" borderId="50" xfId="0" applyNumberFormat="1" applyFont="1" applyFill="1" applyBorder="1" applyAlignment="1">
      <alignment horizontal="center"/>
    </xf>
    <xf numFmtId="44" fontId="1" fillId="3" borderId="40" xfId="2" applyFont="1" applyFill="1" applyBorder="1" applyProtection="1">
      <protection locked="0"/>
    </xf>
    <xf numFmtId="166" fontId="1" fillId="6" borderId="52" xfId="0" applyNumberFormat="1" applyFont="1" applyFill="1" applyBorder="1" applyAlignment="1">
      <alignment horizontal="center"/>
    </xf>
    <xf numFmtId="164" fontId="1" fillId="2" borderId="22" xfId="0" applyNumberFormat="1" applyFont="1" applyFill="1" applyBorder="1" applyAlignment="1">
      <alignment horizontal="center"/>
    </xf>
    <xf numFmtId="166" fontId="1" fillId="6" borderId="49" xfId="0" applyNumberFormat="1" applyFont="1" applyFill="1" applyBorder="1" applyAlignment="1">
      <alignment horizontal="center"/>
    </xf>
    <xf numFmtId="44" fontId="1" fillId="4" borderId="12" xfId="2" applyFont="1" applyFill="1" applyBorder="1" applyProtection="1"/>
    <xf numFmtId="0" fontId="1" fillId="9" borderId="4" xfId="0" applyFont="1" applyFill="1" applyBorder="1"/>
    <xf numFmtId="0" fontId="1" fillId="9" borderId="3" xfId="0" applyFont="1" applyFill="1" applyBorder="1" applyAlignment="1">
      <alignment horizontal="center"/>
    </xf>
    <xf numFmtId="164" fontId="1" fillId="9" borderId="4" xfId="0" applyNumberFormat="1" applyFont="1" applyFill="1" applyBorder="1" applyAlignment="1">
      <alignment horizontal="center"/>
    </xf>
    <xf numFmtId="0" fontId="1" fillId="5" borderId="20" xfId="0" applyFont="1" applyFill="1" applyBorder="1"/>
    <xf numFmtId="165" fontId="1" fillId="2" borderId="38" xfId="5" applyNumberFormat="1" applyFont="1" applyFill="1" applyBorder="1" applyProtection="1"/>
    <xf numFmtId="164" fontId="1" fillId="2" borderId="37" xfId="5" applyNumberFormat="1" applyFont="1" applyFill="1" applyBorder="1" applyProtection="1"/>
    <xf numFmtId="166" fontId="1" fillId="7" borderId="8" xfId="0" applyNumberFormat="1" applyFont="1" applyFill="1" applyBorder="1" applyAlignment="1">
      <alignment horizontal="center"/>
    </xf>
    <xf numFmtId="0" fontId="1" fillId="9" borderId="12" xfId="0" applyFont="1" applyFill="1" applyBorder="1" applyAlignment="1">
      <alignment horizontal="left"/>
    </xf>
    <xf numFmtId="0" fontId="1" fillId="9" borderId="9" xfId="0" applyFont="1" applyFill="1" applyBorder="1" applyAlignment="1">
      <alignment horizontal="center"/>
    </xf>
    <xf numFmtId="164" fontId="1" fillId="2" borderId="0" xfId="0" applyNumberFormat="1" applyFont="1" applyFill="1" applyAlignment="1">
      <alignment horizontal="center"/>
    </xf>
    <xf numFmtId="9" fontId="1" fillId="7" borderId="13" xfId="2" applyNumberFormat="1" applyFont="1" applyFill="1" applyBorder="1" applyProtection="1"/>
    <xf numFmtId="166" fontId="1" fillId="5" borderId="23" xfId="0" applyNumberFormat="1" applyFont="1" applyFill="1" applyBorder="1" applyAlignment="1">
      <alignment horizontal="center"/>
    </xf>
    <xf numFmtId="0" fontId="1" fillId="5" borderId="28" xfId="0" applyFont="1" applyFill="1" applyBorder="1"/>
    <xf numFmtId="9" fontId="1" fillId="7" borderId="2" xfId="2" applyNumberFormat="1" applyFont="1" applyFill="1" applyBorder="1" applyProtection="1"/>
    <xf numFmtId="9" fontId="1" fillId="7" borderId="4" xfId="2" applyNumberFormat="1" applyFont="1" applyFill="1" applyBorder="1" applyProtection="1"/>
    <xf numFmtId="9" fontId="1" fillId="0" borderId="2" xfId="2" applyNumberFormat="1" applyFont="1" applyFill="1" applyBorder="1" applyProtection="1"/>
    <xf numFmtId="166" fontId="1" fillId="7" borderId="16" xfId="0" applyNumberFormat="1" applyFont="1" applyFill="1" applyBorder="1" applyAlignment="1">
      <alignment horizontal="center"/>
    </xf>
    <xf numFmtId="167" fontId="1" fillId="5" borderId="0" xfId="0" applyNumberFormat="1" applyFont="1" applyFill="1"/>
    <xf numFmtId="166" fontId="1" fillId="9" borderId="3" xfId="0" applyNumberFormat="1" applyFont="1" applyFill="1" applyBorder="1" applyAlignment="1">
      <alignment horizontal="center"/>
    </xf>
    <xf numFmtId="166" fontId="1" fillId="7" borderId="10" xfId="0" applyNumberFormat="1" applyFont="1" applyFill="1" applyBorder="1" applyAlignment="1">
      <alignment horizontal="center"/>
    </xf>
    <xf numFmtId="9" fontId="1" fillId="7" borderId="24" xfId="5" applyFont="1" applyFill="1" applyBorder="1" applyProtection="1"/>
    <xf numFmtId="166" fontId="1" fillId="5" borderId="22" xfId="0" applyNumberFormat="1" applyFont="1" applyFill="1" applyBorder="1" applyAlignment="1">
      <alignment horizontal="center"/>
    </xf>
    <xf numFmtId="166" fontId="1" fillId="2" borderId="5" xfId="0" applyNumberFormat="1" applyFont="1" applyFill="1" applyBorder="1" applyAlignment="1">
      <alignment horizontal="center"/>
    </xf>
    <xf numFmtId="166" fontId="1" fillId="2" borderId="11" xfId="0" applyNumberFormat="1" applyFont="1" applyFill="1" applyBorder="1" applyAlignment="1">
      <alignment horizontal="center"/>
    </xf>
    <xf numFmtId="166" fontId="1" fillId="2" borderId="15" xfId="0" applyNumberFormat="1" applyFont="1" applyFill="1" applyBorder="1" applyAlignment="1">
      <alignment horizontal="center"/>
    </xf>
    <xf numFmtId="0" fontId="1" fillId="0" borderId="0" xfId="0" applyFont="1" applyAlignment="1">
      <alignment horizontal="center"/>
    </xf>
    <xf numFmtId="0" fontId="33" fillId="0" borderId="5" xfId="0" applyFont="1" applyBorder="1" applyAlignment="1">
      <alignment horizontal="left"/>
    </xf>
    <xf numFmtId="0" fontId="1" fillId="13" borderId="11" xfId="0" applyFont="1" applyFill="1" applyBorder="1" applyAlignment="1">
      <alignment horizontal="left"/>
    </xf>
    <xf numFmtId="0" fontId="1" fillId="0" borderId="15" xfId="0" applyFont="1" applyBorder="1" applyAlignment="1">
      <alignment horizontal="left"/>
    </xf>
    <xf numFmtId="0" fontId="1" fillId="13" borderId="12" xfId="0" applyFont="1" applyFill="1" applyBorder="1" applyAlignment="1">
      <alignment horizontal="left"/>
    </xf>
    <xf numFmtId="0" fontId="1" fillId="13" borderId="9" xfId="0" applyFont="1" applyFill="1" applyBorder="1" applyAlignment="1">
      <alignment horizontal="left"/>
    </xf>
    <xf numFmtId="0" fontId="1" fillId="0" borderId="10" xfId="0" applyFont="1" applyBorder="1"/>
    <xf numFmtId="0" fontId="30" fillId="0" borderId="2" xfId="0" applyFont="1" applyBorder="1" applyAlignment="1">
      <alignment wrapText="1"/>
    </xf>
    <xf numFmtId="0" fontId="30" fillId="0" borderId="24" xfId="0" applyFont="1" applyBorder="1" applyAlignment="1">
      <alignment wrapText="1"/>
    </xf>
    <xf numFmtId="0" fontId="30" fillId="0" borderId="8" xfId="0" applyFont="1" applyBorder="1" applyAlignment="1">
      <alignment wrapText="1"/>
    </xf>
    <xf numFmtId="0" fontId="30" fillId="12" borderId="2" xfId="0" applyFont="1" applyFill="1" applyBorder="1" applyAlignment="1">
      <alignment wrapText="1"/>
    </xf>
    <xf numFmtId="0" fontId="30" fillId="12" borderId="5" xfId="0" applyFont="1" applyFill="1" applyBorder="1"/>
    <xf numFmtId="0" fontId="30" fillId="12" borderId="2" xfId="0" applyFont="1" applyFill="1" applyBorder="1" applyAlignment="1">
      <alignment horizontal="center"/>
    </xf>
    <xf numFmtId="0" fontId="30" fillId="12" borderId="4" xfId="0" applyFont="1" applyFill="1" applyBorder="1" applyAlignment="1">
      <alignment horizontal="left"/>
    </xf>
    <xf numFmtId="0" fontId="30" fillId="12" borderId="4" xfId="0" applyFont="1" applyFill="1" applyBorder="1" applyAlignment="1">
      <alignment horizontal="center" wrapText="1"/>
    </xf>
    <xf numFmtId="0" fontId="29" fillId="12" borderId="4" xfId="0" applyFont="1" applyFill="1" applyBorder="1" applyAlignment="1">
      <alignment horizontal="left"/>
    </xf>
    <xf numFmtId="0" fontId="29" fillId="10" borderId="42" xfId="0" applyFont="1" applyFill="1" applyBorder="1" applyAlignment="1">
      <alignment vertical="center"/>
    </xf>
    <xf numFmtId="0" fontId="29" fillId="10" borderId="26" xfId="0" applyFont="1" applyFill="1" applyBorder="1" applyAlignment="1">
      <alignment vertical="center"/>
    </xf>
    <xf numFmtId="0" fontId="29" fillId="10" borderId="42" xfId="0" applyFont="1" applyFill="1" applyBorder="1"/>
    <xf numFmtId="0" fontId="29" fillId="10" borderId="26" xfId="0" applyFont="1" applyFill="1" applyBorder="1"/>
    <xf numFmtId="0" fontId="28" fillId="10" borderId="42" xfId="0" applyFont="1" applyFill="1" applyBorder="1"/>
    <xf numFmtId="0" fontId="28" fillId="10" borderId="26" xfId="0" applyFont="1" applyFill="1" applyBorder="1"/>
    <xf numFmtId="0" fontId="29" fillId="12" borderId="42" xfId="0" applyFont="1" applyFill="1" applyBorder="1"/>
    <xf numFmtId="0" fontId="29" fillId="12" borderId="26" xfId="0" applyFont="1" applyFill="1" applyBorder="1"/>
    <xf numFmtId="0" fontId="29" fillId="11" borderId="66" xfId="0" applyFont="1" applyFill="1" applyBorder="1" applyAlignment="1">
      <alignment horizontal="center"/>
    </xf>
    <xf numFmtId="0" fontId="30" fillId="12" borderId="41" xfId="0" applyFont="1" applyFill="1" applyBorder="1"/>
    <xf numFmtId="0" fontId="30" fillId="12" borderId="26" xfId="0" applyFont="1" applyFill="1" applyBorder="1" applyAlignment="1">
      <alignment wrapText="1"/>
    </xf>
    <xf numFmtId="0" fontId="30" fillId="12" borderId="41" xfId="0" applyFont="1" applyFill="1" applyBorder="1" applyAlignment="1">
      <alignment wrapText="1"/>
    </xf>
    <xf numFmtId="0" fontId="29" fillId="12" borderId="42" xfId="0" applyFont="1" applyFill="1" applyBorder="1" applyAlignment="1">
      <alignment horizontal="right"/>
    </xf>
    <xf numFmtId="0" fontId="29" fillId="12" borderId="26" xfId="0" applyFont="1" applyFill="1" applyBorder="1" applyAlignment="1">
      <alignment horizontal="right"/>
    </xf>
    <xf numFmtId="0" fontId="30" fillId="12" borderId="26" xfId="0" applyFont="1" applyFill="1" applyBorder="1" applyAlignment="1">
      <alignment horizontal="center"/>
    </xf>
    <xf numFmtId="0" fontId="30" fillId="12" borderId="26" xfId="0" applyFont="1" applyFill="1" applyBorder="1"/>
    <xf numFmtId="0" fontId="30" fillId="10" borderId="26" xfId="0" applyFont="1" applyFill="1" applyBorder="1" applyAlignment="1">
      <alignment wrapText="1"/>
    </xf>
    <xf numFmtId="0" fontId="30" fillId="12" borderId="42" xfId="0" applyFont="1" applyFill="1" applyBorder="1" applyAlignment="1">
      <alignment horizontal="left"/>
    </xf>
    <xf numFmtId="0" fontId="30" fillId="12" borderId="26" xfId="0" applyFont="1" applyFill="1" applyBorder="1" applyAlignment="1">
      <alignment horizontal="left"/>
    </xf>
    <xf numFmtId="0" fontId="30" fillId="12" borderId="26" xfId="0" applyFont="1" applyFill="1" applyBorder="1" applyAlignment="1">
      <alignment horizontal="center" wrapText="1"/>
    </xf>
    <xf numFmtId="0" fontId="29" fillId="12" borderId="26" xfId="0" applyFont="1" applyFill="1" applyBorder="1" applyAlignment="1">
      <alignment horizontal="left"/>
    </xf>
    <xf numFmtId="0" fontId="30" fillId="12" borderId="4" xfId="0" applyFont="1" applyFill="1" applyBorder="1" applyAlignment="1">
      <alignment wrapText="1"/>
    </xf>
    <xf numFmtId="0" fontId="30" fillId="12" borderId="3" xfId="0" applyFont="1" applyFill="1" applyBorder="1"/>
    <xf numFmtId="0" fontId="30" fillId="9" borderId="4" xfId="0" applyFont="1" applyFill="1" applyBorder="1" applyAlignment="1">
      <alignment wrapText="1"/>
    </xf>
    <xf numFmtId="0" fontId="30" fillId="9" borderId="3" xfId="0" applyFont="1" applyFill="1" applyBorder="1" applyAlignment="1">
      <alignment wrapText="1"/>
    </xf>
    <xf numFmtId="0" fontId="30" fillId="9" borderId="10" xfId="0" applyFont="1" applyFill="1" applyBorder="1" applyAlignment="1">
      <alignment wrapText="1"/>
    </xf>
    <xf numFmtId="0" fontId="30" fillId="9" borderId="9" xfId="0" applyFont="1" applyFill="1" applyBorder="1" applyAlignment="1">
      <alignment wrapText="1"/>
    </xf>
    <xf numFmtId="0" fontId="30" fillId="0" borderId="22" xfId="0" applyFont="1" applyBorder="1" applyAlignment="1">
      <alignment wrapText="1"/>
    </xf>
    <xf numFmtId="0" fontId="14" fillId="0" borderId="17" xfId="0" applyFont="1" applyBorder="1" applyAlignment="1">
      <alignment horizontal="center"/>
    </xf>
    <xf numFmtId="0" fontId="14" fillId="0" borderId="36" xfId="0" applyFont="1" applyBorder="1" applyAlignment="1">
      <alignment horizontal="center"/>
    </xf>
    <xf numFmtId="0" fontId="30" fillId="2" borderId="17" xfId="0" applyFont="1" applyFill="1" applyBorder="1" applyAlignment="1">
      <alignment horizontal="center" wrapText="1"/>
    </xf>
    <xf numFmtId="0" fontId="30" fillId="2" borderId="16" xfId="0" applyFont="1" applyFill="1" applyBorder="1" applyAlignment="1">
      <alignment horizontal="center"/>
    </xf>
    <xf numFmtId="0" fontId="30" fillId="2" borderId="10" xfId="0" applyFont="1" applyFill="1" applyBorder="1" applyAlignment="1">
      <alignment horizontal="center"/>
    </xf>
    <xf numFmtId="0" fontId="30" fillId="9" borderId="8" xfId="0" applyFont="1" applyFill="1" applyBorder="1"/>
    <xf numFmtId="0" fontId="28" fillId="10" borderId="2" xfId="0" applyFont="1" applyFill="1" applyBorder="1"/>
    <xf numFmtId="0" fontId="28" fillId="10" borderId="4" xfId="0" applyFont="1" applyFill="1" applyBorder="1"/>
    <xf numFmtId="0" fontId="30" fillId="10" borderId="4" xfId="0" applyFont="1" applyFill="1" applyBorder="1" applyAlignment="1">
      <alignment wrapText="1"/>
    </xf>
    <xf numFmtId="0" fontId="30" fillId="10" borderId="3" xfId="0" applyFont="1" applyFill="1" applyBorder="1" applyAlignment="1">
      <alignment wrapText="1"/>
    </xf>
    <xf numFmtId="0" fontId="30" fillId="10" borderId="41" xfId="0" applyFont="1" applyFill="1" applyBorder="1" applyAlignment="1">
      <alignment wrapText="1"/>
    </xf>
    <xf numFmtId="0" fontId="5" fillId="9" borderId="11" xfId="0" applyFont="1" applyFill="1" applyBorder="1" applyAlignment="1">
      <alignment horizontal="center"/>
    </xf>
    <xf numFmtId="44" fontId="1" fillId="5" borderId="16" xfId="0" applyNumberFormat="1" applyFont="1" applyFill="1" applyBorder="1"/>
    <xf numFmtId="0" fontId="29" fillId="11" borderId="17" xfId="0" applyFont="1" applyFill="1" applyBorder="1" applyAlignment="1">
      <alignment horizontal="center" wrapText="1"/>
    </xf>
    <xf numFmtId="166" fontId="30" fillId="0" borderId="2" xfId="0" applyNumberFormat="1" applyFont="1" applyBorder="1" applyAlignment="1">
      <alignment horizontal="center"/>
    </xf>
    <xf numFmtId="166" fontId="30" fillId="0" borderId="24" xfId="0" applyNumberFormat="1" applyFont="1" applyBorder="1" applyAlignment="1">
      <alignment horizontal="center"/>
    </xf>
    <xf numFmtId="166" fontId="30" fillId="0" borderId="17" xfId="0" applyNumberFormat="1" applyFont="1" applyBorder="1" applyAlignment="1">
      <alignment horizontal="center"/>
    </xf>
    <xf numFmtId="166" fontId="30" fillId="0" borderId="36" xfId="0" applyNumberFormat="1" applyFont="1" applyBorder="1" applyAlignment="1">
      <alignment horizontal="center"/>
    </xf>
    <xf numFmtId="164" fontId="1" fillId="0" borderId="24" xfId="0" applyNumberFormat="1" applyFont="1" applyBorder="1" applyAlignment="1">
      <alignment horizontal="center"/>
    </xf>
    <xf numFmtId="8" fontId="1" fillId="14" borderId="48" xfId="2" applyNumberFormat="1" applyFont="1" applyFill="1" applyBorder="1" applyAlignment="1" applyProtection="1">
      <protection locked="0"/>
    </xf>
    <xf numFmtId="44" fontId="27" fillId="8" borderId="1" xfId="2" applyFont="1" applyFill="1" applyBorder="1" applyAlignment="1" applyProtection="1">
      <protection locked="0"/>
    </xf>
    <xf numFmtId="0" fontId="0" fillId="9" borderId="2" xfId="0" applyFill="1" applyBorder="1" applyAlignment="1">
      <alignment horizontal="center"/>
    </xf>
    <xf numFmtId="0" fontId="0" fillId="9" borderId="4" xfId="0" applyFill="1" applyBorder="1" applyAlignment="1">
      <alignment horizontal="center"/>
    </xf>
    <xf numFmtId="0" fontId="0" fillId="9" borderId="3" xfId="0" applyFill="1" applyBorder="1" applyAlignment="1">
      <alignment horizontal="center"/>
    </xf>
    <xf numFmtId="0" fontId="0" fillId="9" borderId="50" xfId="0" applyFill="1" applyBorder="1" applyAlignment="1">
      <alignment horizontal="center"/>
    </xf>
  </cellXfs>
  <cellStyles count="6">
    <cellStyle name="Comma" xfId="1" builtinId="3"/>
    <cellStyle name="Currency" xfId="2" builtinId="4"/>
    <cellStyle name="Hyperlink 2" xfId="3" xr:uid="{00000000-0005-0000-0000-000002000000}"/>
    <cellStyle name="Normal" xfId="0" builtinId="0"/>
    <cellStyle name="Normal 2" xfId="4" xr:uid="{00000000-0005-0000-0000-000004000000}"/>
    <cellStyle name="Percent" xfId="5"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223"/>
  <sheetViews>
    <sheetView tabSelected="1" topLeftCell="A6" zoomScaleNormal="100" workbookViewId="0">
      <selection activeCell="H28" sqref="H28"/>
    </sheetView>
  </sheetViews>
  <sheetFormatPr defaultColWidth="0" defaultRowHeight="12.75" zeroHeight="1" x14ac:dyDescent="0.2"/>
  <cols>
    <col min="1" max="2" width="16.140625" bestFit="1" customWidth="1"/>
    <col min="3" max="3" width="11.42578125" customWidth="1"/>
    <col min="4" max="4" width="74.140625" customWidth="1"/>
    <col min="5" max="5" width="11.28515625" bestFit="1" customWidth="1"/>
    <col min="6" max="6" width="12.140625" customWidth="1"/>
    <col min="7" max="7" width="11.28515625" customWidth="1"/>
    <col min="8" max="8" width="19.7109375" customWidth="1"/>
    <col min="9" max="9" width="8.140625" bestFit="1" customWidth="1"/>
    <col min="10" max="10" width="9.140625" customWidth="1"/>
    <col min="11" max="11" width="17.140625" customWidth="1"/>
    <col min="12" max="12" width="18.42578125" customWidth="1"/>
    <col min="13" max="13" width="11.5703125" style="5" customWidth="1"/>
    <col min="14" max="14" width="14.140625" customWidth="1"/>
    <col min="15" max="15" width="8" bestFit="1" customWidth="1"/>
    <col min="16" max="16" width="12.28515625" hidden="1" customWidth="1"/>
    <col min="17" max="25" width="9.140625" hidden="1" customWidth="1"/>
    <col min="26" max="51" width="0" hidden="1" customWidth="1"/>
    <col min="52" max="16384" width="9.140625" hidden="1"/>
  </cols>
  <sheetData>
    <row r="1" spans="1:50" ht="15.75" x14ac:dyDescent="0.25">
      <c r="A1" s="53" t="s">
        <v>0</v>
      </c>
      <c r="B1" s="53"/>
      <c r="K1" s="5"/>
      <c r="M1" s="142" t="s">
        <v>1</v>
      </c>
      <c r="N1" s="482">
        <f>Version!D1</f>
        <v>45282</v>
      </c>
    </row>
    <row r="2" spans="1:50" ht="15.75" x14ac:dyDescent="0.25">
      <c r="A2" s="53"/>
      <c r="B2" s="53"/>
      <c r="K2" s="5"/>
      <c r="M2"/>
      <c r="N2" s="6"/>
    </row>
    <row r="3" spans="1:50" ht="16.5" thickBot="1" x14ac:dyDescent="0.3">
      <c r="A3" s="9"/>
      <c r="B3" s="54" t="s">
        <v>2</v>
      </c>
      <c r="C3" s="775"/>
      <c r="D3" s="775"/>
      <c r="F3" s="54" t="s">
        <v>3</v>
      </c>
      <c r="G3" s="31">
        <v>45170</v>
      </c>
      <c r="H3" s="19"/>
      <c r="I3" s="54" t="s">
        <v>4</v>
      </c>
      <c r="J3" s="32"/>
      <c r="K3" s="5"/>
      <c r="M3"/>
    </row>
    <row r="4" spans="1:50" ht="16.5" thickBot="1" x14ac:dyDescent="0.3">
      <c r="C4" s="8"/>
      <c r="F4" s="54" t="s">
        <v>5</v>
      </c>
      <c r="G4" s="31">
        <v>45535</v>
      </c>
      <c r="I4" s="13"/>
      <c r="J4" s="19"/>
      <c r="K4" s="55"/>
      <c r="L4" s="56"/>
      <c r="N4" s="528"/>
    </row>
    <row r="5" spans="1:50" ht="16.5" thickBot="1" x14ac:dyDescent="0.3">
      <c r="B5" s="166" t="s">
        <v>6</v>
      </c>
      <c r="C5" s="176"/>
      <c r="D5" s="168"/>
      <c r="E5" s="6"/>
      <c r="F5" s="9"/>
      <c r="G5" s="57"/>
      <c r="H5" s="58"/>
      <c r="I5" s="54" t="s">
        <v>7</v>
      </c>
      <c r="J5" s="33">
        <v>0.05</v>
      </c>
      <c r="N5" s="528"/>
    </row>
    <row r="6" spans="1:50" x14ac:dyDescent="0.2">
      <c r="B6" s="169" t="s">
        <v>8</v>
      </c>
      <c r="C6" s="178"/>
      <c r="D6" s="171"/>
      <c r="E6" s="6"/>
      <c r="F6" s="9"/>
      <c r="G6" s="6"/>
      <c r="H6" s="9"/>
      <c r="J6" s="7"/>
      <c r="K6" s="10"/>
      <c r="L6" s="11"/>
      <c r="N6" s="528"/>
    </row>
    <row r="7" spans="1:50" ht="13.5" thickBot="1" x14ac:dyDescent="0.25">
      <c r="B7" s="172" t="s">
        <v>9</v>
      </c>
      <c r="C7" s="180"/>
      <c r="D7" s="174"/>
      <c r="E7" s="6"/>
      <c r="F7" s="9"/>
      <c r="G7" s="6"/>
      <c r="H7" s="9"/>
    </row>
    <row r="8" spans="1:50" ht="18.75" customHeight="1" thickBot="1" x14ac:dyDescent="0.3">
      <c r="E8" s="7"/>
      <c r="G8" s="7"/>
      <c r="J8" s="7"/>
      <c r="K8" s="10" t="s">
        <v>10</v>
      </c>
      <c r="L8" s="141">
        <f>(G4-G3)</f>
        <v>365</v>
      </c>
      <c r="M8" s="61">
        <f>ROUND(L8/30,0)</f>
        <v>12</v>
      </c>
    </row>
    <row r="9" spans="1:50" ht="30.75" thickBot="1" x14ac:dyDescent="0.3">
      <c r="E9" s="7"/>
      <c r="G9" s="7"/>
      <c r="H9" s="12" t="s">
        <v>11</v>
      </c>
      <c r="I9" s="47"/>
      <c r="J9" s="399" t="s">
        <v>12</v>
      </c>
      <c r="K9" s="396"/>
      <c r="L9" s="140"/>
      <c r="N9" s="10"/>
    </row>
    <row r="10" spans="1:50" ht="39" customHeight="1" thickBot="1" x14ac:dyDescent="0.25">
      <c r="A10" s="111" t="s">
        <v>13</v>
      </c>
      <c r="B10" s="112" t="s">
        <v>14</v>
      </c>
      <c r="C10" s="113" t="s">
        <v>15</v>
      </c>
      <c r="D10" s="114" t="s">
        <v>16</v>
      </c>
      <c r="E10" s="115" t="s">
        <v>17</v>
      </c>
      <c r="F10" s="116" t="s">
        <v>18</v>
      </c>
      <c r="G10" s="117" t="s">
        <v>19</v>
      </c>
      <c r="H10" s="50" t="s">
        <v>20</v>
      </c>
      <c r="I10" s="118" t="s">
        <v>21</v>
      </c>
      <c r="J10" s="397" t="s">
        <v>22</v>
      </c>
      <c r="K10" s="398" t="s">
        <v>23</v>
      </c>
      <c r="L10" s="98" t="s">
        <v>24</v>
      </c>
      <c r="M10" s="51" t="s">
        <v>25</v>
      </c>
      <c r="N10" s="132" t="s">
        <v>26</v>
      </c>
      <c r="AX10" s="7">
        <v>5</v>
      </c>
    </row>
    <row r="11" spans="1:50" ht="13.5" customHeight="1" thickBot="1" x14ac:dyDescent="0.25">
      <c r="A11" s="81"/>
      <c r="B11" s="82"/>
      <c r="C11" s="83"/>
      <c r="D11" s="109" t="s">
        <v>27</v>
      </c>
      <c r="E11" s="83"/>
      <c r="F11" s="83"/>
      <c r="G11" s="84"/>
      <c r="H11" s="86"/>
      <c r="I11" s="86"/>
      <c r="J11" s="86"/>
      <c r="K11" s="86"/>
      <c r="L11" s="86"/>
      <c r="M11" s="86"/>
      <c r="N11" s="87"/>
      <c r="AX11" s="7"/>
    </row>
    <row r="12" spans="1:50" s="14" customFormat="1" ht="13.5" customHeight="1" x14ac:dyDescent="0.2">
      <c r="A12" s="15" t="str">
        <f>List!A3</f>
        <v>H2036</v>
      </c>
      <c r="B12" s="15" t="str">
        <f>List!B3</f>
        <v>H2036HBTG</v>
      </c>
      <c r="C12" s="27" t="str">
        <f>List!D3</f>
        <v>SA/TRA</v>
      </c>
      <c r="D12" s="529" t="str">
        <f>List!G3</f>
        <v>Adult Residential Intensive</v>
      </c>
      <c r="E12" s="27" t="str">
        <f>List!E3</f>
        <v>Day</v>
      </c>
      <c r="F12" s="27">
        <f>List!F3</f>
        <v>28</v>
      </c>
      <c r="G12" s="530">
        <f>F12*J12</f>
        <v>3380.16</v>
      </c>
      <c r="H12" s="531"/>
      <c r="I12" s="532"/>
      <c r="J12" s="28">
        <f>List!C3</f>
        <v>120.72</v>
      </c>
      <c r="K12" s="533">
        <f>ROUND(L12/G12,0)</f>
        <v>0</v>
      </c>
      <c r="L12" s="534">
        <f>H12</f>
        <v>0</v>
      </c>
      <c r="M12" s="535">
        <f>ROUND(((K12/$L$8)*F12),0)</f>
        <v>0</v>
      </c>
      <c r="N12" s="74"/>
    </row>
    <row r="13" spans="1:50" s="14" customFormat="1" ht="13.5" customHeight="1" x14ac:dyDescent="0.2">
      <c r="A13" s="15" t="str">
        <f>List!A4</f>
        <v>H2036</v>
      </c>
      <c r="B13" s="15" t="str">
        <f>List!B4</f>
        <v>H2036HBTF</v>
      </c>
      <c r="C13" s="27" t="str">
        <f>List!D4</f>
        <v>SA/TRA</v>
      </c>
      <c r="D13" s="529" t="str">
        <f>List!G4</f>
        <v>Adult Residential Supportive</v>
      </c>
      <c r="E13" s="27" t="str">
        <f>List!E4</f>
        <v>Day</v>
      </c>
      <c r="F13" s="27">
        <f>List!F4</f>
        <v>35</v>
      </c>
      <c r="G13" s="530">
        <f>F13*J13</f>
        <v>1824.1999999999998</v>
      </c>
      <c r="H13" s="536"/>
      <c r="I13" s="532"/>
      <c r="J13" s="29">
        <f>List!C4</f>
        <v>52.12</v>
      </c>
      <c r="K13" s="537">
        <f>ROUND(L13/G13,0)</f>
        <v>0</v>
      </c>
      <c r="L13" s="538">
        <f>H13</f>
        <v>0</v>
      </c>
      <c r="M13" s="539">
        <f>ROUND(((K13/$L$8)*F13),0)</f>
        <v>0</v>
      </c>
      <c r="N13" s="74"/>
    </row>
    <row r="14" spans="1:50" s="14" customFormat="1" ht="13.5" customHeight="1" thickBot="1" x14ac:dyDescent="0.25">
      <c r="A14" s="15" t="str">
        <f>List!A5</f>
        <v>H2035</v>
      </c>
      <c r="B14" s="15" t="str">
        <f>List!B5</f>
        <v>H2035HB</v>
      </c>
      <c r="C14" s="27" t="str">
        <f>List!D5</f>
        <v>SA/TRA</v>
      </c>
      <c r="D14" s="529" t="str">
        <f>List!G5</f>
        <v>Adult Outpatient Individual</v>
      </c>
      <c r="E14" s="27" t="str">
        <f>List!E5</f>
        <v>Hour</v>
      </c>
      <c r="F14" s="27">
        <f>List!F5</f>
        <v>9</v>
      </c>
      <c r="G14" s="540">
        <f>(F14*J14)</f>
        <v>1212.8399999999999</v>
      </c>
      <c r="H14" s="541"/>
      <c r="I14" s="532"/>
      <c r="J14" s="29">
        <f>List!C5</f>
        <v>134.76</v>
      </c>
      <c r="K14" s="542">
        <f>ROUND(L14/(G14+G15+G16),0)</f>
        <v>0</v>
      </c>
      <c r="L14" s="543">
        <f>H14</f>
        <v>0</v>
      </c>
      <c r="M14" s="544">
        <f>ROUND(((K14/$L$8)*SUM(F14:F16)),0)</f>
        <v>0</v>
      </c>
      <c r="N14" s="74"/>
    </row>
    <row r="15" spans="1:50" s="14" customFormat="1" ht="13.5" customHeight="1" x14ac:dyDescent="0.2">
      <c r="A15" s="15" t="str">
        <f>List!A6</f>
        <v>H0005</v>
      </c>
      <c r="B15" s="15" t="str">
        <f>List!B6</f>
        <v>H0005HB</v>
      </c>
      <c r="C15" s="27" t="str">
        <f>List!D6</f>
        <v>SA/TRA</v>
      </c>
      <c r="D15" s="529" t="str">
        <f>List!G6</f>
        <v>Adult Outpatient Group Counseling</v>
      </c>
      <c r="E15" s="27" t="str">
        <f>List!E6</f>
        <v>Hour</v>
      </c>
      <c r="F15" s="27">
        <f>List!F6</f>
        <v>10</v>
      </c>
      <c r="G15" s="530">
        <f>(F15*J15)</f>
        <v>301</v>
      </c>
      <c r="H15" s="545"/>
      <c r="I15" s="532"/>
      <c r="J15" s="29">
        <f>List!C6</f>
        <v>30.1</v>
      </c>
      <c r="K15" s="68"/>
      <c r="L15" s="39"/>
      <c r="M15" s="225"/>
      <c r="N15" s="74"/>
    </row>
    <row r="16" spans="1:50" s="14" customFormat="1" ht="13.5" customHeight="1" thickBot="1" x14ac:dyDescent="0.25">
      <c r="A16" s="15" t="str">
        <f>List!A7</f>
        <v>T1012</v>
      </c>
      <c r="B16" s="15" t="str">
        <f>List!B7</f>
        <v>T1012HBHQ</v>
      </c>
      <c r="C16" s="27" t="str">
        <f>List!D7</f>
        <v>SA/TRA</v>
      </c>
      <c r="D16" s="529" t="str">
        <f>List!G7</f>
        <v>Adult Outpatient Group Education</v>
      </c>
      <c r="E16" s="27" t="str">
        <f>List!E7</f>
        <v>Hour</v>
      </c>
      <c r="F16" s="27">
        <f>List!F7</f>
        <v>32</v>
      </c>
      <c r="G16" s="530">
        <f>(F16*J16)</f>
        <v>569.28</v>
      </c>
      <c r="H16" s="546"/>
      <c r="I16" s="532"/>
      <c r="J16" s="29">
        <f>List!C7</f>
        <v>17.79</v>
      </c>
      <c r="K16" s="547"/>
      <c r="L16" s="548"/>
      <c r="M16" s="225"/>
      <c r="N16" s="74"/>
    </row>
    <row r="17" spans="1:50" s="14" customFormat="1" ht="13.5" customHeight="1" x14ac:dyDescent="0.2">
      <c r="A17" s="15" t="str">
        <f>List!A8</f>
        <v>H0010</v>
      </c>
      <c r="B17" s="15" t="str">
        <f>List!B8</f>
        <v>H0010HB</v>
      </c>
      <c r="C17" s="27" t="str">
        <f>List!D8</f>
        <v>SA/TRA</v>
      </c>
      <c r="D17" s="529" t="str">
        <f>List!G8</f>
        <v>Adult Residential Detoxification</v>
      </c>
      <c r="E17" s="27" t="str">
        <f>List!E8</f>
        <v>Day</v>
      </c>
      <c r="F17" s="27">
        <f>List!F8</f>
        <v>5</v>
      </c>
      <c r="G17" s="530">
        <f>F17*J17</f>
        <v>1185.05</v>
      </c>
      <c r="H17" s="536"/>
      <c r="I17" s="532"/>
      <c r="J17" s="29">
        <f>List!C8</f>
        <v>237.01</v>
      </c>
      <c r="K17" s="549">
        <f>ROUND(L17/G17,0)</f>
        <v>0</v>
      </c>
      <c r="L17" s="550">
        <f>H17</f>
        <v>0</v>
      </c>
      <c r="M17" s="535">
        <f>ROUND(((K17/$L$8)*F17),0)</f>
        <v>0</v>
      </c>
      <c r="N17" s="74"/>
    </row>
    <row r="18" spans="1:50" s="14" customFormat="1" ht="13.5" customHeight="1" x14ac:dyDescent="0.2">
      <c r="A18" s="15" t="str">
        <f>List!A9</f>
        <v>H0012</v>
      </c>
      <c r="B18" s="15" t="str">
        <f>List!B9</f>
        <v>H0012HB</v>
      </c>
      <c r="C18" s="27" t="str">
        <f>List!D9</f>
        <v>SA/TRA</v>
      </c>
      <c r="D18" s="529" t="str">
        <f>List!G9</f>
        <v>Adult Ambulatory Detoxification</v>
      </c>
      <c r="E18" s="27" t="str">
        <f>List!E9</f>
        <v>Day</v>
      </c>
      <c r="F18" s="27">
        <f>List!F9</f>
        <v>6</v>
      </c>
      <c r="G18" s="530">
        <f>F18*J18</f>
        <v>533.70000000000005</v>
      </c>
      <c r="H18" s="536"/>
      <c r="I18" s="532"/>
      <c r="J18" s="29">
        <f>List!C9</f>
        <v>88.95</v>
      </c>
      <c r="K18" s="537">
        <f>ROUND(L18/G18,0)</f>
        <v>0</v>
      </c>
      <c r="L18" s="538">
        <f>H18</f>
        <v>0</v>
      </c>
      <c r="M18" s="551">
        <f>ROUND(((K18/$L$8)*F18),0)</f>
        <v>0</v>
      </c>
      <c r="N18" s="74"/>
    </row>
    <row r="19" spans="1:50" s="14" customFormat="1" ht="13.5" customHeight="1" thickBot="1" x14ac:dyDescent="0.25">
      <c r="A19" s="15" t="str">
        <f>List!A10</f>
        <v>H2036</v>
      </c>
      <c r="B19" s="15" t="str">
        <f>List!B10</f>
        <v>H2036TF</v>
      </c>
      <c r="C19" s="27" t="str">
        <f>List!D10</f>
        <v>SA/TRA</v>
      </c>
      <c r="D19" s="529" t="str">
        <f>List!G10</f>
        <v>HIV Residential</v>
      </c>
      <c r="E19" s="27" t="str">
        <f>List!E10</f>
        <v>Day</v>
      </c>
      <c r="F19" s="27">
        <f>List!F10</f>
        <v>28</v>
      </c>
      <c r="G19" s="530">
        <f>F19*J19</f>
        <v>5241.04</v>
      </c>
      <c r="H19" s="531"/>
      <c r="I19" s="532"/>
      <c r="J19" s="29">
        <f>List!C10</f>
        <v>187.18</v>
      </c>
      <c r="K19" s="552">
        <f>ROUND(L19/G19,0)</f>
        <v>0</v>
      </c>
      <c r="L19" s="553">
        <f>H19</f>
        <v>0</v>
      </c>
      <c r="M19" s="544">
        <f>ROUND(((K19/$L$8)*F19),0)</f>
        <v>0</v>
      </c>
      <c r="N19" s="74"/>
    </row>
    <row r="20" spans="1:50" ht="13.5" customHeight="1" thickBot="1" x14ac:dyDescent="0.25">
      <c r="A20" s="15" t="str">
        <f>List!A11</f>
        <v>H2022</v>
      </c>
      <c r="B20" s="15" t="str">
        <f>List!B11</f>
        <v>H2022HBTGHFP3</v>
      </c>
      <c r="C20" s="77" t="str">
        <f>List!D11</f>
        <v>SA/TRA</v>
      </c>
      <c r="D20" s="717" t="str">
        <f>List!G11</f>
        <v>Adult HIV Residential Wraparound Services</v>
      </c>
      <c r="E20" s="77" t="str">
        <f>List!E11</f>
        <v>Day</v>
      </c>
      <c r="F20" s="77">
        <f>List!F11</f>
        <v>28</v>
      </c>
      <c r="G20" s="568">
        <f>F20*J20</f>
        <v>996.24</v>
      </c>
      <c r="H20" s="545"/>
      <c r="I20" s="532"/>
      <c r="J20" s="554">
        <f>List!C11</f>
        <v>35.58</v>
      </c>
      <c r="K20" s="68"/>
      <c r="L20" s="767"/>
      <c r="M20" s="225"/>
      <c r="N20" s="74"/>
    </row>
    <row r="21" spans="1:50" s="60" customFormat="1" ht="16.5" customHeight="1" thickBot="1" x14ac:dyDescent="0.3">
      <c r="A21" s="111"/>
      <c r="B21" s="119"/>
      <c r="C21" s="120"/>
      <c r="D21" s="431"/>
      <c r="E21" s="421"/>
      <c r="F21" s="421"/>
      <c r="G21" s="478"/>
      <c r="H21" s="421" t="s">
        <v>28</v>
      </c>
      <c r="I21" s="422"/>
      <c r="J21" s="423"/>
      <c r="K21" s="427"/>
      <c r="L21" s="428">
        <f>SUM(L11:L20)</f>
        <v>0</v>
      </c>
      <c r="M21" s="432"/>
      <c r="N21" s="433">
        <f>L21*J5</f>
        <v>0</v>
      </c>
      <c r="O21" s="59"/>
    </row>
    <row r="22" spans="1:50" ht="13.5" customHeight="1" thickBot="1" x14ac:dyDescent="0.25">
      <c r="A22" s="81"/>
      <c r="B22" s="82"/>
      <c r="C22" s="83"/>
      <c r="D22" s="525" t="s">
        <v>29</v>
      </c>
      <c r="E22" s="83"/>
      <c r="F22" s="83"/>
      <c r="G22" s="479"/>
      <c r="H22" s="85"/>
      <c r="I22" s="85"/>
      <c r="J22" s="200"/>
      <c r="K22" s="85"/>
      <c r="L22" s="85"/>
      <c r="M22" s="224"/>
      <c r="N22" s="52"/>
      <c r="AX22" s="7"/>
    </row>
    <row r="23" spans="1:50" s="14" customFormat="1" ht="13.5" customHeight="1" x14ac:dyDescent="0.2">
      <c r="A23" s="15" t="str">
        <f>List!A13</f>
        <v>H2036</v>
      </c>
      <c r="B23" s="15" t="str">
        <f>List!B13</f>
        <v>H2036HBHDTG</v>
      </c>
      <c r="C23" s="15" t="str">
        <f>List!D13</f>
        <v>SA/TRF</v>
      </c>
      <c r="D23" s="15" t="str">
        <f>List!G13</f>
        <v>Adult Spec Fem Residential Intensive</v>
      </c>
      <c r="E23" s="350" t="str">
        <f>List!E13</f>
        <v>Day</v>
      </c>
      <c r="F23" s="350">
        <f>List!F13</f>
        <v>30</v>
      </c>
      <c r="G23" s="448">
        <f t="shared" ref="G23:G28" si="0">F23*J23</f>
        <v>5823.6</v>
      </c>
      <c r="H23" s="774"/>
      <c r="I23" s="67"/>
      <c r="J23" s="204">
        <f>List!C13</f>
        <v>194.12</v>
      </c>
      <c r="K23" s="549">
        <f>ROUND(L23/G23,0)</f>
        <v>0</v>
      </c>
      <c r="L23" s="556">
        <f>H23</f>
        <v>0</v>
      </c>
      <c r="M23" s="557">
        <f>ROUND(((K23/L8)*F23),0)</f>
        <v>0</v>
      </c>
      <c r="N23" s="74"/>
    </row>
    <row r="24" spans="1:50" s="14" customFormat="1" ht="13.5" customHeight="1" x14ac:dyDescent="0.2">
      <c r="A24" s="15" t="str">
        <f>List!A14</f>
        <v>H2036</v>
      </c>
      <c r="B24" s="15" t="str">
        <f>List!B14</f>
        <v>H2036HBHDTF</v>
      </c>
      <c r="C24" s="15" t="str">
        <f>List!D14</f>
        <v>SA/TRF</v>
      </c>
      <c r="D24" s="15" t="str">
        <f>List!G14</f>
        <v>Adult Spec Fem Residential Supportive</v>
      </c>
      <c r="E24" s="350" t="str">
        <f>List!E14</f>
        <v>Day</v>
      </c>
      <c r="F24" s="350">
        <f>List!F14</f>
        <v>30</v>
      </c>
      <c r="G24" s="540">
        <f t="shared" si="0"/>
        <v>3695.4</v>
      </c>
      <c r="H24" s="774"/>
      <c r="I24" s="67"/>
      <c r="J24" s="204">
        <f>List!C14</f>
        <v>123.18</v>
      </c>
      <c r="K24" s="537">
        <f>ROUND(L24/G24,0)</f>
        <v>0</v>
      </c>
      <c r="L24" s="558">
        <f>H24</f>
        <v>0</v>
      </c>
      <c r="M24" s="559">
        <f>ROUND(((K24/L8)*F24),0)</f>
        <v>0</v>
      </c>
      <c r="N24" s="74"/>
    </row>
    <row r="25" spans="1:50" s="14" customFormat="1" ht="13.5" customHeight="1" x14ac:dyDescent="0.2">
      <c r="A25" s="15" t="str">
        <f>List!A15</f>
        <v>H2036</v>
      </c>
      <c r="B25" s="15" t="str">
        <f>List!B15</f>
        <v>H2036HDTG</v>
      </c>
      <c r="C25" s="15" t="str">
        <f>List!D15</f>
        <v>SA/TRF</v>
      </c>
      <c r="D25" s="15" t="str">
        <f>List!G15</f>
        <v>Adult Spec Fem W/C Residential Intensive</v>
      </c>
      <c r="E25" s="350" t="str">
        <f>List!E15</f>
        <v>Day</v>
      </c>
      <c r="F25" s="350">
        <f>List!F15</f>
        <v>45</v>
      </c>
      <c r="G25" s="560">
        <f t="shared" si="0"/>
        <v>10521.9</v>
      </c>
      <c r="H25" s="774"/>
      <c r="I25" s="67"/>
      <c r="J25" s="204">
        <f>List!C15</f>
        <v>233.82</v>
      </c>
      <c r="K25" s="552">
        <f>ROUND(L25/G25,0)</f>
        <v>0</v>
      </c>
      <c r="L25" s="562">
        <f>H25</f>
        <v>0</v>
      </c>
      <c r="M25" s="563">
        <f>ROUND(((K25/L8)*F25),0)</f>
        <v>0</v>
      </c>
      <c r="N25" s="74"/>
    </row>
    <row r="26" spans="1:50" s="14" customFormat="1" ht="13.5" customHeight="1" x14ac:dyDescent="0.2">
      <c r="A26" s="15" t="str">
        <f>List!A16</f>
        <v>H2022</v>
      </c>
      <c r="B26" s="15" t="str">
        <f>List!B16</f>
        <v>H2022HAHDTGHF</v>
      </c>
      <c r="C26" s="15" t="str">
        <f>List!D16</f>
        <v>SA/TRF</v>
      </c>
      <c r="D26" s="15" t="str">
        <f>List!G16</f>
        <v>Adult Spec Fem W/C Residential Wraparound Services-LESS THAN 21</v>
      </c>
      <c r="E26" s="350" t="str">
        <f>List!E16</f>
        <v>Day</v>
      </c>
      <c r="F26" s="350">
        <f>List!F16</f>
        <v>35</v>
      </c>
      <c r="G26" s="560">
        <f t="shared" si="0"/>
        <v>1904.35</v>
      </c>
      <c r="H26" s="545"/>
      <c r="I26" s="67"/>
      <c r="J26" s="204">
        <f>List!C16</f>
        <v>54.41</v>
      </c>
      <c r="K26" s="547"/>
      <c r="L26" s="548"/>
      <c r="M26" s="225"/>
      <c r="N26" s="74"/>
    </row>
    <row r="27" spans="1:50" s="14" customFormat="1" ht="13.5" customHeight="1" x14ac:dyDescent="0.2">
      <c r="A27" s="15" t="str">
        <f>List!A17</f>
        <v>H2022</v>
      </c>
      <c r="B27" s="15" t="str">
        <f>List!B17</f>
        <v>H2022HBHDTGHF</v>
      </c>
      <c r="C27" s="15" t="str">
        <f>List!D17</f>
        <v>SA/TRF</v>
      </c>
      <c r="D27" s="15" t="str">
        <f>List!G17</f>
        <v>Adult Spec Fem W/C Residential Wraparound Services- 21 and OVER</v>
      </c>
      <c r="E27" s="350" t="str">
        <f>List!E17</f>
        <v>Day</v>
      </c>
      <c r="F27" s="350">
        <f>List!F17</f>
        <v>35</v>
      </c>
      <c r="G27" s="560">
        <f t="shared" si="0"/>
        <v>3772.3</v>
      </c>
      <c r="H27" s="564"/>
      <c r="I27" s="67"/>
      <c r="J27" s="204">
        <f>List!C17</f>
        <v>107.78</v>
      </c>
      <c r="K27" s="547"/>
      <c r="L27" s="548"/>
      <c r="M27" s="225"/>
      <c r="N27" s="74"/>
    </row>
    <row r="28" spans="1:50" s="14" customFormat="1" ht="13.5" customHeight="1" x14ac:dyDescent="0.2">
      <c r="A28" s="15" t="str">
        <f>List!A18</f>
        <v>H2036</v>
      </c>
      <c r="B28" s="15" t="str">
        <f>List!B18</f>
        <v>H2036HDTF</v>
      </c>
      <c r="C28" s="15" t="str">
        <f>List!D18</f>
        <v>SA/TRF</v>
      </c>
      <c r="D28" s="15" t="str">
        <f>List!G18</f>
        <v>Adult Spec Fem W/C Residential Supportive</v>
      </c>
      <c r="E28" s="350" t="str">
        <f>List!E18</f>
        <v>Day</v>
      </c>
      <c r="F28" s="350">
        <f>List!F18</f>
        <v>35</v>
      </c>
      <c r="G28" s="565">
        <f t="shared" si="0"/>
        <v>6542.9</v>
      </c>
      <c r="H28" s="774"/>
      <c r="I28" s="67"/>
      <c r="J28" s="204">
        <f>List!C18</f>
        <v>186.94</v>
      </c>
      <c r="K28" s="566">
        <f>ROUND(L28/G28,0)</f>
        <v>0</v>
      </c>
      <c r="L28" s="556">
        <f>H28</f>
        <v>0</v>
      </c>
      <c r="M28" s="557">
        <f>ROUND(((K28/L8)*F28),0)</f>
        <v>0</v>
      </c>
      <c r="N28" s="74"/>
    </row>
    <row r="29" spans="1:50" s="14" customFormat="1" ht="13.5" customHeight="1" x14ac:dyDescent="0.2">
      <c r="A29" s="15" t="str">
        <f>List!A19</f>
        <v>H2035</v>
      </c>
      <c r="B29" s="15" t="str">
        <f>List!B19</f>
        <v>H2035HBHD</v>
      </c>
      <c r="C29" s="15" t="str">
        <f>List!D19</f>
        <v>SA/TRF</v>
      </c>
      <c r="D29" s="15" t="str">
        <f>List!G19</f>
        <v>Adult Spec Female Outpatient Individual</v>
      </c>
      <c r="E29" s="350" t="str">
        <f>List!E19</f>
        <v>Hour</v>
      </c>
      <c r="F29" s="350">
        <f>List!F19</f>
        <v>9</v>
      </c>
      <c r="G29" s="560">
        <f>(F29*J29)</f>
        <v>1512.09</v>
      </c>
      <c r="H29" s="774"/>
      <c r="I29" s="67"/>
      <c r="J29" s="204">
        <f>List!C19</f>
        <v>168.01</v>
      </c>
      <c r="K29" s="567">
        <f>ROUND(L29/(G29+G30+G31),0)</f>
        <v>0</v>
      </c>
      <c r="L29" s="562">
        <f>H29</f>
        <v>0</v>
      </c>
      <c r="M29" s="563">
        <f>ROUND(((K29/L8)*SUM(F29:F31)),0)</f>
        <v>0</v>
      </c>
      <c r="N29" s="74"/>
    </row>
    <row r="30" spans="1:50" s="14" customFormat="1" ht="13.5" customHeight="1" x14ac:dyDescent="0.2">
      <c r="A30" s="15" t="str">
        <f>List!A20</f>
        <v>H0005</v>
      </c>
      <c r="B30" s="15" t="str">
        <f>List!B20</f>
        <v>H0005HBHD</v>
      </c>
      <c r="C30" s="15" t="str">
        <f>List!D20</f>
        <v>SA/TRF</v>
      </c>
      <c r="D30" s="15" t="str">
        <f>List!G20</f>
        <v>Adult Spec Female Outpatient Group Counseling</v>
      </c>
      <c r="E30" s="350" t="str">
        <f>List!E20</f>
        <v>Hour</v>
      </c>
      <c r="F30" s="350">
        <f>List!F20</f>
        <v>10</v>
      </c>
      <c r="G30" s="560">
        <f>(F30*J30)</f>
        <v>408.40000000000003</v>
      </c>
      <c r="H30" s="545"/>
      <c r="I30" s="67"/>
      <c r="J30" s="204">
        <f>List!C20</f>
        <v>40.840000000000003</v>
      </c>
      <c r="K30" s="68"/>
      <c r="L30" s="39"/>
      <c r="M30" s="225"/>
      <c r="N30" s="74"/>
    </row>
    <row r="31" spans="1:50" s="14" customFormat="1" ht="13.5" customHeight="1" x14ac:dyDescent="0.2">
      <c r="A31" s="15" t="str">
        <f>List!A21</f>
        <v>T1012</v>
      </c>
      <c r="B31" s="15" t="str">
        <f>List!B21</f>
        <v>T1012HBHDHQ</v>
      </c>
      <c r="C31" s="15" t="str">
        <f>List!D21</f>
        <v>SA/TRF</v>
      </c>
      <c r="D31" s="15" t="str">
        <f>List!G21</f>
        <v>Adult Spec Female Outpatient Group Education</v>
      </c>
      <c r="E31" s="350" t="str">
        <f>List!E21</f>
        <v>Hour</v>
      </c>
      <c r="F31" s="350">
        <f>List!F21</f>
        <v>32</v>
      </c>
      <c r="G31" s="568">
        <f>(F31*J31)</f>
        <v>569.28</v>
      </c>
      <c r="H31" s="564"/>
      <c r="I31" s="67"/>
      <c r="J31" s="204">
        <f>List!C21</f>
        <v>17.79</v>
      </c>
      <c r="K31" s="547"/>
      <c r="L31" s="548"/>
      <c r="M31" s="239"/>
      <c r="N31" s="74"/>
    </row>
    <row r="32" spans="1:50" s="14" customFormat="1" ht="13.5" customHeight="1" x14ac:dyDescent="0.2">
      <c r="A32" s="15" t="str">
        <f>List!A22</f>
        <v>H0010</v>
      </c>
      <c r="B32" s="15" t="str">
        <f>List!B22</f>
        <v>H0010HBHD</v>
      </c>
      <c r="C32" s="15" t="str">
        <f>List!D22</f>
        <v>SA/TRF</v>
      </c>
      <c r="D32" s="15" t="str">
        <f>List!G22</f>
        <v>Adult Spec Fem Residential Detoxification</v>
      </c>
      <c r="E32" s="350" t="str">
        <f>List!E22</f>
        <v>Day</v>
      </c>
      <c r="F32" s="350">
        <f>List!F22</f>
        <v>5</v>
      </c>
      <c r="G32" s="540">
        <f>F32*J32</f>
        <v>1193.75</v>
      </c>
      <c r="H32" s="774"/>
      <c r="I32" s="67"/>
      <c r="J32" s="204">
        <f>List!C22</f>
        <v>238.75</v>
      </c>
      <c r="K32" s="569">
        <f>ROUND(L32/G32,0)</f>
        <v>0</v>
      </c>
      <c r="L32" s="570">
        <f>H32</f>
        <v>0</v>
      </c>
      <c r="M32" s="571">
        <f>ROUND(((K32/L8)*F32),0)</f>
        <v>0</v>
      </c>
      <c r="N32" s="74"/>
    </row>
    <row r="33" spans="1:50" s="14" customFormat="1" ht="13.5" customHeight="1" x14ac:dyDescent="0.2">
      <c r="A33" s="15" t="str">
        <f>List!A23</f>
        <v>H0012</v>
      </c>
      <c r="B33" s="15" t="str">
        <f>List!B23</f>
        <v>H0012HBHD</v>
      </c>
      <c r="C33" s="15" t="str">
        <f>List!D23</f>
        <v>SA/TRF</v>
      </c>
      <c r="D33" s="15" t="str">
        <f>List!G23</f>
        <v>Adult Spec Fem Ambulatory Detoxification</v>
      </c>
      <c r="E33" s="350" t="str">
        <f>List!E23</f>
        <v>Day</v>
      </c>
      <c r="F33" s="350">
        <f>List!F23</f>
        <v>6</v>
      </c>
      <c r="G33" s="448">
        <f>F33*J33</f>
        <v>533.70000000000005</v>
      </c>
      <c r="H33" s="774"/>
      <c r="I33" s="67"/>
      <c r="J33" s="246">
        <f>List!C23</f>
        <v>88.95</v>
      </c>
      <c r="K33" s="572">
        <f>ROUND(L33/G33,0)</f>
        <v>0</v>
      </c>
      <c r="L33" s="573">
        <f>H33</f>
        <v>0</v>
      </c>
      <c r="M33" s="574">
        <f>ROUND(((K33/L8)*F33),0)</f>
        <v>0</v>
      </c>
      <c r="N33" s="74"/>
    </row>
    <row r="34" spans="1:50" s="60" customFormat="1" ht="16.5" customHeight="1" x14ac:dyDescent="0.25">
      <c r="A34" s="111"/>
      <c r="B34" s="119"/>
      <c r="C34" s="120"/>
      <c r="D34" s="434"/>
      <c r="E34" s="421"/>
      <c r="F34" s="421"/>
      <c r="G34" s="478"/>
      <c r="H34" s="421" t="s">
        <v>30</v>
      </c>
      <c r="I34" s="422"/>
      <c r="J34" s="423"/>
      <c r="K34" s="427"/>
      <c r="L34" s="428">
        <f>SUM(L23:L33)</f>
        <v>0</v>
      </c>
      <c r="M34" s="435"/>
      <c r="N34" s="430">
        <f>L34*$J$5</f>
        <v>0</v>
      </c>
    </row>
    <row r="35" spans="1:50" ht="13.5" customHeight="1" x14ac:dyDescent="0.2">
      <c r="A35" s="484"/>
      <c r="B35" s="485"/>
      <c r="C35" s="486"/>
      <c r="D35" s="487" t="s">
        <v>31</v>
      </c>
      <c r="E35" s="486"/>
      <c r="F35" s="486"/>
      <c r="G35" s="488"/>
      <c r="H35" s="52"/>
      <c r="I35" s="52"/>
      <c r="J35" s="201"/>
      <c r="K35" s="52"/>
      <c r="L35" s="52"/>
      <c r="M35" s="224"/>
      <c r="N35" s="52"/>
      <c r="AX35" s="7"/>
    </row>
    <row r="36" spans="1:50" s="60" customFormat="1" ht="13.5" customHeight="1" thickBot="1" x14ac:dyDescent="0.25">
      <c r="A36" s="489" t="str">
        <f>List!A25</f>
        <v>H0006</v>
      </c>
      <c r="B36" s="490" t="str">
        <f>List!B25</f>
        <v>H0006HA</v>
      </c>
      <c r="C36" s="490" t="str">
        <f>List!D25</f>
        <v>SA/COPSD</v>
      </c>
      <c r="D36" s="490" t="str">
        <f>List!G25</f>
        <v>Co-occurring Psychiatric &amp; Substance Abuse Disorders - Youth</v>
      </c>
      <c r="E36" s="491" t="str">
        <f>List!E25</f>
        <v>Hour</v>
      </c>
      <c r="F36" s="491">
        <f>List!F25</f>
        <v>17</v>
      </c>
      <c r="G36" s="575">
        <f>F36*J36</f>
        <v>1138.6600000000001</v>
      </c>
      <c r="H36" s="214"/>
      <c r="I36" s="67"/>
      <c r="J36" s="576">
        <f>List!C25</f>
        <v>66.98</v>
      </c>
      <c r="K36" s="577">
        <f>ROUND(L36/G36,0)</f>
        <v>0</v>
      </c>
      <c r="L36" s="38">
        <f>H36</f>
        <v>0</v>
      </c>
      <c r="M36" s="237">
        <f>ROUND(((K36/L8)*42),0)</f>
        <v>0</v>
      </c>
      <c r="N36" s="578"/>
    </row>
    <row r="37" spans="1:50" s="60" customFormat="1" ht="13.5" customHeight="1" thickBot="1" x14ac:dyDescent="0.25">
      <c r="A37" s="492" t="str">
        <f>List!A26</f>
        <v>H0006</v>
      </c>
      <c r="B37" s="493" t="str">
        <f>List!B26</f>
        <v>H0006HB</v>
      </c>
      <c r="C37" s="493" t="str">
        <f>List!D26</f>
        <v>SA/COPSD</v>
      </c>
      <c r="D37" s="493" t="str">
        <f>List!G26</f>
        <v>Co-occurring Psychiatric &amp; Substance Abuse Disorders - Adult</v>
      </c>
      <c r="E37" s="494" t="str">
        <f>List!E26</f>
        <v>Hour</v>
      </c>
      <c r="F37" s="494">
        <f>List!F26</f>
        <v>17</v>
      </c>
      <c r="G37" s="579"/>
      <c r="H37" s="67"/>
      <c r="I37" s="67"/>
      <c r="J37" s="576">
        <f>List!C26</f>
        <v>66.98</v>
      </c>
      <c r="K37" s="68"/>
      <c r="L37" s="39"/>
      <c r="M37" s="225"/>
      <c r="N37" s="39"/>
    </row>
    <row r="38" spans="1:50" s="60" customFormat="1" ht="16.5" customHeight="1" thickBot="1" x14ac:dyDescent="0.3">
      <c r="A38" s="111"/>
      <c r="B38" s="119"/>
      <c r="C38" s="120"/>
      <c r="D38" s="431"/>
      <c r="E38" s="421"/>
      <c r="F38" s="421"/>
      <c r="G38" s="478"/>
      <c r="H38" s="421" t="s">
        <v>537</v>
      </c>
      <c r="I38" s="422"/>
      <c r="J38" s="423"/>
      <c r="K38" s="427"/>
      <c r="L38" s="428">
        <f>SUM(L36)</f>
        <v>0</v>
      </c>
      <c r="M38" s="432"/>
      <c r="N38" s="433">
        <f>L38*$J$5</f>
        <v>0</v>
      </c>
    </row>
    <row r="39" spans="1:50" ht="13.5" customHeight="1" thickBot="1" x14ac:dyDescent="0.25">
      <c r="A39" s="88"/>
      <c r="B39" s="89"/>
      <c r="C39" s="90"/>
      <c r="D39" s="110" t="s">
        <v>32</v>
      </c>
      <c r="E39" s="90"/>
      <c r="F39" s="90"/>
      <c r="G39" s="480"/>
      <c r="H39" s="85"/>
      <c r="I39" s="85"/>
      <c r="J39" s="200"/>
      <c r="K39" s="85"/>
      <c r="L39" s="85"/>
      <c r="M39" s="224"/>
      <c r="N39" s="52"/>
      <c r="AX39" s="7"/>
    </row>
    <row r="40" spans="1:50" s="14" customFormat="1" ht="13.5" customHeight="1" thickBot="1" x14ac:dyDescent="0.25">
      <c r="A40" s="15" t="str">
        <f>List!A28</f>
        <v>H2036</v>
      </c>
      <c r="B40" s="15" t="str">
        <f>List!B28</f>
        <v>H2036HATG</v>
      </c>
      <c r="C40" s="15" t="str">
        <f>List!D28</f>
        <v>SA/TRY</v>
      </c>
      <c r="D40" s="15" t="str">
        <f>List!G28</f>
        <v>Youth Residential Intensive</v>
      </c>
      <c r="E40" s="350" t="str">
        <f>List!E28</f>
        <v>Day</v>
      </c>
      <c r="F40" s="350">
        <f>List!F28</f>
        <v>60</v>
      </c>
      <c r="G40" s="580">
        <f>F40*J40</f>
        <v>11822.4</v>
      </c>
      <c r="H40" s="581"/>
      <c r="I40" s="582"/>
      <c r="J40" s="583">
        <f>List!C28</f>
        <v>197.04</v>
      </c>
      <c r="K40" s="584">
        <f>ROUND(L40/G40,0)</f>
        <v>0</v>
      </c>
      <c r="L40" s="247">
        <f>H40</f>
        <v>0</v>
      </c>
      <c r="M40" s="237">
        <f>ROUND(((K40/L8)*F40),0)</f>
        <v>0</v>
      </c>
      <c r="N40" s="74"/>
    </row>
    <row r="41" spans="1:50" ht="13.5" customHeight="1" thickBot="1" x14ac:dyDescent="0.25">
      <c r="A41" s="15" t="str">
        <f>List!A29</f>
        <v>H2022</v>
      </c>
      <c r="B41" s="15" t="str">
        <f>List!B29</f>
        <v>H2022HAHF</v>
      </c>
      <c r="C41" s="15" t="str">
        <f>List!D29</f>
        <v>SA/TRY</v>
      </c>
      <c r="D41" s="15" t="str">
        <f>List!G29</f>
        <v>Youth Intensive Residential Services-Room &amp; Board</v>
      </c>
      <c r="E41" s="350" t="str">
        <f>List!E29</f>
        <v>Day</v>
      </c>
      <c r="F41" s="350">
        <f>List!F29</f>
        <v>60</v>
      </c>
      <c r="G41" s="585">
        <f>F41*J41</f>
        <v>1569.6</v>
      </c>
      <c r="H41" s="665"/>
      <c r="I41" s="67"/>
      <c r="J41" s="583">
        <f>List!C29</f>
        <v>26.16</v>
      </c>
      <c r="K41" s="68"/>
      <c r="L41" s="39"/>
      <c r="M41" s="225"/>
      <c r="N41" s="208"/>
    </row>
    <row r="42" spans="1:50" s="60" customFormat="1" ht="13.5" customHeight="1" thickBot="1" x14ac:dyDescent="0.25">
      <c r="A42" s="15" t="str">
        <f>List!A30</f>
        <v>H2036</v>
      </c>
      <c r="B42" s="15" t="str">
        <f>List!B30</f>
        <v>H2036HATF</v>
      </c>
      <c r="C42" s="15" t="str">
        <f>List!D30</f>
        <v>SA/TRY</v>
      </c>
      <c r="D42" s="15" t="str">
        <f>List!G30</f>
        <v>Youth Residential Supportive</v>
      </c>
      <c r="E42" s="350" t="str">
        <f>List!E30</f>
        <v>Day</v>
      </c>
      <c r="F42" s="350">
        <f>List!F30</f>
        <v>30</v>
      </c>
      <c r="G42" s="585">
        <f>F42*J42</f>
        <v>4748.1000000000004</v>
      </c>
      <c r="H42" s="555"/>
      <c r="I42" s="582"/>
      <c r="J42" s="583">
        <f>List!C30</f>
        <v>158.27000000000001</v>
      </c>
      <c r="K42" s="584">
        <f>ROUND(L42/G42,0)</f>
        <v>0</v>
      </c>
      <c r="L42" s="247">
        <f>H42</f>
        <v>0</v>
      </c>
      <c r="M42" s="237">
        <f>ROUND(((K42/L8)*F42),0)</f>
        <v>0</v>
      </c>
      <c r="N42" s="74"/>
    </row>
    <row r="43" spans="1:50" ht="13.5" customHeight="1" thickBot="1" x14ac:dyDescent="0.25">
      <c r="A43" s="776"/>
      <c r="B43" s="777"/>
      <c r="C43" s="778"/>
      <c r="D43" s="766" t="str">
        <f>List!F31</f>
        <v>Youth Outpatient Services</v>
      </c>
      <c r="E43" s="776"/>
      <c r="F43" s="777"/>
      <c r="G43" s="779"/>
      <c r="H43" s="561"/>
      <c r="I43" s="582"/>
      <c r="J43" s="587"/>
      <c r="K43" s="208"/>
      <c r="L43" s="208"/>
      <c r="M43" s="228"/>
      <c r="N43" s="74"/>
      <c r="AX43" s="7"/>
    </row>
    <row r="44" spans="1:50" s="14" customFormat="1" ht="13.5" customHeight="1" thickBot="1" x14ac:dyDescent="0.25">
      <c r="A44" s="15" t="str">
        <f>List!A32</f>
        <v>H2035</v>
      </c>
      <c r="B44" s="15" t="str">
        <f>List!B32</f>
        <v>H2035HA</v>
      </c>
      <c r="C44" s="15" t="str">
        <f>List!D32</f>
        <v>SA/TRY</v>
      </c>
      <c r="D44" s="15" t="str">
        <f>List!G32</f>
        <v>Youth Outpatient Individual</v>
      </c>
      <c r="E44" s="350" t="str">
        <f>List!E32</f>
        <v>Hour</v>
      </c>
      <c r="F44" s="350">
        <f>List!F32</f>
        <v>2</v>
      </c>
      <c r="G44" s="588">
        <f>F44*J44</f>
        <v>269.52</v>
      </c>
      <c r="H44" s="589">
        <f>ROUND(IF($H$43&gt;0,($H$43-$I$48)*I44, "0"),0)</f>
        <v>0</v>
      </c>
      <c r="I44" s="590">
        <v>0.16739999999999999</v>
      </c>
      <c r="J44" s="28">
        <f>List!C32</f>
        <v>134.76</v>
      </c>
      <c r="K44" s="37" t="str">
        <f>IF(H43&gt;0,ROUND(H43/(G44+G45+G46+G47+G48+G49+G50),0)," ")</f>
        <v xml:space="preserve"> </v>
      </c>
      <c r="L44" s="247">
        <f>SUM(H44:H48)</f>
        <v>0</v>
      </c>
      <c r="M44" s="591">
        <f>ROUND((IF(H43&gt;0,(K44/L8)*SUM(F44:F50),"0")),0)</f>
        <v>0</v>
      </c>
      <c r="N44" s="74"/>
    </row>
    <row r="45" spans="1:50" s="14" customFormat="1" ht="13.5" customHeight="1" thickBot="1" x14ac:dyDescent="0.25">
      <c r="A45" s="15" t="str">
        <f>List!A33</f>
        <v>H2016</v>
      </c>
      <c r="B45" s="15" t="str">
        <f>List!B33</f>
        <v>H2016HA</v>
      </c>
      <c r="C45" s="15" t="str">
        <f>List!D33</f>
        <v>SA/TRY</v>
      </c>
      <c r="D45" s="15" t="str">
        <f>List!G33</f>
        <v>Youth Adolescent Support</v>
      </c>
      <c r="E45" s="350" t="str">
        <f>List!E33</f>
        <v>Hour</v>
      </c>
      <c r="F45" s="350">
        <f>List!F33</f>
        <v>2</v>
      </c>
      <c r="G45" s="592">
        <f t="shared" ref="G45:G53" si="1">F45*J45</f>
        <v>125.58</v>
      </c>
      <c r="H45" s="593">
        <f>ROUND(IF($H$43&gt;0,($H$43-$I$48)*I45, "0"),0)</f>
        <v>0</v>
      </c>
      <c r="I45" s="594">
        <v>7.3200000000000001E-2</v>
      </c>
      <c r="J45" s="28">
        <f>List!C33</f>
        <v>62.79</v>
      </c>
      <c r="K45" s="68"/>
      <c r="L45" s="39"/>
      <c r="M45" s="595"/>
      <c r="N45" s="74"/>
    </row>
    <row r="46" spans="1:50" s="14" customFormat="1" ht="13.5" customHeight="1" thickBot="1" x14ac:dyDescent="0.25">
      <c r="A46" s="15" t="str">
        <f>List!A34</f>
        <v>T1006</v>
      </c>
      <c r="B46" s="15" t="str">
        <f>List!B34</f>
        <v>T1006HATF</v>
      </c>
      <c r="C46" s="15" t="str">
        <f>List!D34</f>
        <v>SA/TRY</v>
      </c>
      <c r="D46" s="15" t="str">
        <f>List!G34</f>
        <v>Youth Family Counseling</v>
      </c>
      <c r="E46" s="350" t="str">
        <f>List!E34</f>
        <v>Hour</v>
      </c>
      <c r="F46" s="350">
        <f>List!F34</f>
        <v>16</v>
      </c>
      <c r="G46" s="592">
        <f t="shared" si="1"/>
        <v>1255.8399999999999</v>
      </c>
      <c r="H46" s="593">
        <f>ROUND(IF($H$43&gt;0,($H$43-$I$48)*I46, "0"),0)</f>
        <v>0</v>
      </c>
      <c r="I46" s="594">
        <v>0.59819999999999995</v>
      </c>
      <c r="J46" s="28">
        <f>List!C34</f>
        <v>78.489999999999995</v>
      </c>
      <c r="K46" s="68"/>
      <c r="L46" s="39"/>
      <c r="M46" s="595"/>
      <c r="N46" s="74"/>
    </row>
    <row r="47" spans="1:50" ht="13.5" customHeight="1" thickBot="1" x14ac:dyDescent="0.25">
      <c r="A47" s="15" t="str">
        <f>List!A35</f>
        <v>T1006</v>
      </c>
      <c r="B47" s="15" t="str">
        <f>List!B35</f>
        <v>T1006HAHF</v>
      </c>
      <c r="C47" s="15" t="str">
        <f>List!D35</f>
        <v>SA/TRY</v>
      </c>
      <c r="D47" s="15" t="str">
        <f>List!G35</f>
        <v>Youth Family Support</v>
      </c>
      <c r="E47" s="350" t="str">
        <f>List!E35</f>
        <v>Hour</v>
      </c>
      <c r="F47" s="350">
        <f>List!F35</f>
        <v>4</v>
      </c>
      <c r="G47" s="592">
        <f t="shared" si="1"/>
        <v>313.95999999999998</v>
      </c>
      <c r="H47" s="593">
        <f>ROUND(IF($H$43&gt;0,($H$43-$I$48)*I47, "0"),0)</f>
        <v>0</v>
      </c>
      <c r="I47" s="594">
        <v>0.16120000000000001</v>
      </c>
      <c r="J47" s="28">
        <f>List!C35</f>
        <v>78.489999999999995</v>
      </c>
      <c r="K47" s="68"/>
      <c r="L47" s="39"/>
      <c r="M47" s="595"/>
      <c r="N47" s="74"/>
    </row>
    <row r="48" spans="1:50" s="14" customFormat="1" ht="13.5" customHeight="1" thickBot="1" x14ac:dyDescent="0.25">
      <c r="A48" s="351">
        <f>List!A36</f>
        <v>90791</v>
      </c>
      <c r="B48" s="15" t="str">
        <f>List!B36</f>
        <v>90791HA</v>
      </c>
      <c r="C48" s="15" t="str">
        <f>List!D36</f>
        <v>SA/TRY</v>
      </c>
      <c r="D48" s="15" t="str">
        <f>List!G36</f>
        <v>Psychiatric Diagnostic Evaluation</v>
      </c>
      <c r="E48" s="350" t="str">
        <f>List!E36</f>
        <v>Hour</v>
      </c>
      <c r="F48" s="350">
        <f>List!F36</f>
        <v>1</v>
      </c>
      <c r="G48" s="592">
        <f t="shared" si="1"/>
        <v>130.81</v>
      </c>
      <c r="H48" s="596">
        <f>H43-SUM(H44:H47)</f>
        <v>0</v>
      </c>
      <c r="I48" s="597">
        <v>1000</v>
      </c>
      <c r="J48" s="28">
        <f>List!C36</f>
        <v>130.81</v>
      </c>
      <c r="K48" s="68"/>
      <c r="L48" s="39"/>
      <c r="M48" s="595" t="str">
        <f>IF((H43&gt;0),(IF(H44+H45+H46+H47+H48=H43," ","Rounding adjustment needed"))," ")</f>
        <v xml:space="preserve"> </v>
      </c>
      <c r="N48" s="74"/>
    </row>
    <row r="49" spans="1:15" s="14" customFormat="1" ht="13.5" customHeight="1" thickBot="1" x14ac:dyDescent="0.25">
      <c r="A49" s="15" t="str">
        <f>List!A37</f>
        <v>H0005</v>
      </c>
      <c r="B49" s="15" t="str">
        <f>List!B37</f>
        <v>H0005HA</v>
      </c>
      <c r="C49" s="15" t="str">
        <f>List!D37</f>
        <v>SA/TRY</v>
      </c>
      <c r="D49" s="15" t="str">
        <f>List!G37</f>
        <v>Youth Outpatient Group Counseling</v>
      </c>
      <c r="E49" s="350" t="str">
        <f>List!E37</f>
        <v>Hour</v>
      </c>
      <c r="F49" s="350">
        <f>List!F37</f>
        <v>3</v>
      </c>
      <c r="G49" s="598">
        <f t="shared" si="1"/>
        <v>122.52000000000001</v>
      </c>
      <c r="H49" s="599"/>
      <c r="I49" s="600"/>
      <c r="J49" s="28">
        <f>List!C37</f>
        <v>40.840000000000003</v>
      </c>
      <c r="K49" s="68"/>
      <c r="L49" s="39"/>
      <c r="M49" s="595"/>
      <c r="N49" s="74"/>
    </row>
    <row r="50" spans="1:15" s="14" customFormat="1" ht="13.5" customHeight="1" thickBot="1" x14ac:dyDescent="0.25">
      <c r="A50" s="15" t="str">
        <f>List!A38</f>
        <v>T1012</v>
      </c>
      <c r="B50" s="15" t="str">
        <f>List!B38</f>
        <v>T1012HAHQ</v>
      </c>
      <c r="C50" s="15" t="str">
        <f>List!D38</f>
        <v>SA/TRY</v>
      </c>
      <c r="D50" s="15" t="str">
        <f>List!G38</f>
        <v>Youth Outpatient Group Education</v>
      </c>
      <c r="E50" s="350" t="str">
        <f>List!E38</f>
        <v>Hour</v>
      </c>
      <c r="F50" s="350">
        <f>List!F38</f>
        <v>9</v>
      </c>
      <c r="G50" s="601">
        <f t="shared" si="1"/>
        <v>160.10999999999999</v>
      </c>
      <c r="H50" s="2"/>
      <c r="I50" s="602"/>
      <c r="J50" s="28">
        <f>List!C38</f>
        <v>17.79</v>
      </c>
      <c r="K50" s="68"/>
      <c r="L50" s="548"/>
      <c r="M50" s="603"/>
      <c r="N50" s="74"/>
    </row>
    <row r="51" spans="1:15" s="14" customFormat="1" ht="13.5" customHeight="1" thickBot="1" x14ac:dyDescent="0.25">
      <c r="A51" s="15" t="str">
        <f>List!A39</f>
        <v>H2016</v>
      </c>
      <c r="B51" s="15" t="s">
        <v>33</v>
      </c>
      <c r="C51" s="15" t="str">
        <f>List!D39</f>
        <v>SA/TRY</v>
      </c>
      <c r="D51" s="15" t="str">
        <f>List!G39</f>
        <v>Youth Adolescent Support-Medicaid Youth Wraparound</v>
      </c>
      <c r="E51" s="350" t="str">
        <f>List!E39</f>
        <v>Hour</v>
      </c>
      <c r="F51" s="350">
        <f>List!F39</f>
        <v>5</v>
      </c>
      <c r="G51" s="585">
        <f t="shared" si="1"/>
        <v>313.95</v>
      </c>
      <c r="H51" s="599"/>
      <c r="I51" s="604"/>
      <c r="J51" s="28">
        <f>List!C39</f>
        <v>62.79</v>
      </c>
      <c r="K51" s="68"/>
      <c r="L51" s="39"/>
      <c r="M51" s="595"/>
      <c r="N51" s="74"/>
    </row>
    <row r="52" spans="1:15" s="14" customFormat="1" ht="13.5" customHeight="1" thickBot="1" x14ac:dyDescent="0.3">
      <c r="A52" s="15" t="str">
        <f>List!A40</f>
        <v>T1006</v>
      </c>
      <c r="B52" s="15" t="str">
        <f>List!B40</f>
        <v>T1006HATFHV</v>
      </c>
      <c r="C52" s="15" t="str">
        <f>List!D40</f>
        <v>SA/TRY</v>
      </c>
      <c r="D52" s="15" t="str">
        <f>List!G40</f>
        <v>Youth Family Counseling-Medicaid Youth Wraparound-Parent Education Sessions</v>
      </c>
      <c r="E52" s="350" t="str">
        <f>List!E40</f>
        <v>Hour</v>
      </c>
      <c r="F52" s="350">
        <f>List!F40</f>
        <v>6</v>
      </c>
      <c r="G52" s="601">
        <f t="shared" si="1"/>
        <v>470.93999999999994</v>
      </c>
      <c r="H52" s="599"/>
      <c r="I52" s="604"/>
      <c r="J52" s="28">
        <f>List!C40</f>
        <v>78.489999999999995</v>
      </c>
      <c r="K52" s="68"/>
      <c r="L52" s="39"/>
      <c r="M52" s="595"/>
      <c r="N52" s="74"/>
      <c r="O52" s="59" t="str">
        <f>IF((H43&gt;0),IF(H44+H45+H46+H47+H48=H43," ",+H43-H44-H45-H46-H47-H48), " ")</f>
        <v xml:space="preserve"> </v>
      </c>
    </row>
    <row r="53" spans="1:15" s="14" customFormat="1" ht="13.5" customHeight="1" thickBot="1" x14ac:dyDescent="0.25">
      <c r="A53" s="15" t="str">
        <f>List!A41</f>
        <v>T1006</v>
      </c>
      <c r="B53" s="15" t="str">
        <f>List!B41</f>
        <v>T1006HAHFHV</v>
      </c>
      <c r="C53" s="15" t="str">
        <f>List!D41</f>
        <v>SA/TRY</v>
      </c>
      <c r="D53" s="15" t="str">
        <f>List!G41</f>
        <v>Youth Family Support-Medicaid Youth Wraparound(TRY)</v>
      </c>
      <c r="E53" s="350" t="str">
        <f>List!E41</f>
        <v>Hour</v>
      </c>
      <c r="F53" s="350">
        <f>List!F41</f>
        <v>4</v>
      </c>
      <c r="G53" s="605">
        <f t="shared" si="1"/>
        <v>313.95999999999998</v>
      </c>
      <c r="H53" s="564"/>
      <c r="I53" s="606"/>
      <c r="J53" s="28">
        <f>List!C41</f>
        <v>78.489999999999995</v>
      </c>
      <c r="K53" s="68"/>
      <c r="L53" s="40"/>
      <c r="M53" s="607"/>
      <c r="N53" s="608"/>
    </row>
    <row r="54" spans="1:15" s="14" customFormat="1" ht="16.5" customHeight="1" thickBot="1" x14ac:dyDescent="0.3">
      <c r="A54" s="111"/>
      <c r="B54" s="119"/>
      <c r="C54" s="119"/>
      <c r="D54" s="421"/>
      <c r="E54" s="421"/>
      <c r="F54" s="421"/>
      <c r="G54" s="421"/>
      <c r="H54" s="421" t="s">
        <v>34</v>
      </c>
      <c r="I54" s="425"/>
      <c r="J54" s="426"/>
      <c r="K54" s="427"/>
      <c r="L54" s="428">
        <f>SUM(L40:L53)</f>
        <v>0</v>
      </c>
      <c r="M54" s="429"/>
      <c r="N54" s="430">
        <f>L54*$J$5</f>
        <v>0</v>
      </c>
    </row>
    <row r="55" spans="1:15" s="14" customFormat="1" x14ac:dyDescent="0.2"/>
    <row r="56" spans="1:15" s="14" customFormat="1" x14ac:dyDescent="0.2"/>
    <row r="57" spans="1:15" s="14" customFormat="1" x14ac:dyDescent="0.2"/>
    <row r="58" spans="1:15" s="60" customFormat="1" ht="15" x14ac:dyDescent="0.2"/>
    <row r="59" spans="1:15" x14ac:dyDescent="0.2">
      <c r="A59" s="30" t="s">
        <v>35</v>
      </c>
    </row>
    <row r="60" spans="1:15" x14ac:dyDescent="0.2"/>
    <row r="61" spans="1:15" x14ac:dyDescent="0.2"/>
    <row r="62" spans="1:15" x14ac:dyDescent="0.2"/>
    <row r="63" spans="1:15" x14ac:dyDescent="0.2"/>
    <row r="64" spans="1:15"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spans="3:13" s="30" customFormat="1" x14ac:dyDescent="0.2">
      <c r="M97" s="61"/>
    </row>
    <row r="98" spans="3:13" s="30" customFormat="1" x14ac:dyDescent="0.2">
      <c r="C98" s="62" t="s">
        <v>36</v>
      </c>
      <c r="M98" s="61"/>
    </row>
    <row r="99" spans="3:13" s="30" customFormat="1" x14ac:dyDescent="0.2">
      <c r="C99" s="62">
        <v>1</v>
      </c>
      <c r="M99" s="61"/>
    </row>
    <row r="100" spans="3:13" s="30" customFormat="1" x14ac:dyDescent="0.2">
      <c r="C100" s="62">
        <v>2</v>
      </c>
      <c r="M100" s="61"/>
    </row>
    <row r="101" spans="3:13" s="30" customFormat="1" x14ac:dyDescent="0.2">
      <c r="C101" s="62">
        <v>3</v>
      </c>
      <c r="M101" s="61"/>
    </row>
    <row r="102" spans="3:13" s="30" customFormat="1" x14ac:dyDescent="0.2">
      <c r="C102" s="62">
        <v>4</v>
      </c>
      <c r="M102" s="61"/>
    </row>
    <row r="103" spans="3:13" s="30" customFormat="1" x14ac:dyDescent="0.2">
      <c r="C103" s="62">
        <v>5</v>
      </c>
      <c r="M103" s="61"/>
    </row>
    <row r="104" spans="3:13" s="30" customFormat="1" x14ac:dyDescent="0.2">
      <c r="C104" s="62">
        <v>6</v>
      </c>
      <c r="M104" s="61"/>
    </row>
    <row r="105" spans="3:13" s="30" customFormat="1" x14ac:dyDescent="0.2">
      <c r="C105" s="62">
        <v>7</v>
      </c>
      <c r="M105" s="61"/>
    </row>
    <row r="106" spans="3:13" s="30" customFormat="1" x14ac:dyDescent="0.2">
      <c r="C106" s="62">
        <v>8</v>
      </c>
      <c r="M106" s="61"/>
    </row>
    <row r="107" spans="3:13" s="30" customFormat="1" x14ac:dyDescent="0.2">
      <c r="C107" s="62">
        <v>9</v>
      </c>
      <c r="M107" s="61"/>
    </row>
    <row r="108" spans="3:13" s="30" customFormat="1" x14ac:dyDescent="0.2">
      <c r="C108" s="62">
        <v>10</v>
      </c>
      <c r="M108" s="61"/>
    </row>
    <row r="109" spans="3:13" s="30" customFormat="1" x14ac:dyDescent="0.2">
      <c r="C109" s="62">
        <v>11</v>
      </c>
      <c r="M109" s="61"/>
    </row>
    <row r="110" spans="3:13" s="30" customFormat="1" x14ac:dyDescent="0.2">
      <c r="M110" s="61"/>
    </row>
    <row r="111" spans="3:13" s="30" customFormat="1" x14ac:dyDescent="0.2">
      <c r="M111" s="61"/>
    </row>
    <row r="112" spans="3:13" s="30" customFormat="1" x14ac:dyDescent="0.2">
      <c r="M112" s="61"/>
    </row>
    <row r="113" spans="13:13" s="30" customFormat="1" x14ac:dyDescent="0.2">
      <c r="M113" s="61"/>
    </row>
    <row r="114" spans="13:13" x14ac:dyDescent="0.2"/>
    <row r="115" spans="13:13" x14ac:dyDescent="0.2"/>
    <row r="116" spans="13:13" x14ac:dyDescent="0.2"/>
    <row r="117" spans="13:13" x14ac:dyDescent="0.2"/>
    <row r="118" spans="13:13" x14ac:dyDescent="0.2"/>
    <row r="119" spans="13:13" x14ac:dyDescent="0.2"/>
    <row r="120" spans="13:13" x14ac:dyDescent="0.2"/>
    <row r="121" spans="13:13" x14ac:dyDescent="0.2"/>
    <row r="122" spans="13:13" x14ac:dyDescent="0.2"/>
    <row r="123" spans="13:13" x14ac:dyDescent="0.2"/>
    <row r="124" spans="13:13" x14ac:dyDescent="0.2"/>
    <row r="125" spans="13:13" x14ac:dyDescent="0.2"/>
    <row r="126" spans="13:13" x14ac:dyDescent="0.2"/>
    <row r="127" spans="13:13" x14ac:dyDescent="0.2"/>
    <row r="128" spans="13:13"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spans="1:4" x14ac:dyDescent="0.2"/>
    <row r="194" spans="1:4" x14ac:dyDescent="0.2">
      <c r="D194" s="7"/>
    </row>
    <row r="195" spans="1:4" x14ac:dyDescent="0.2"/>
    <row r="196" spans="1:4" x14ac:dyDescent="0.2"/>
    <row r="197" spans="1:4" x14ac:dyDescent="0.2">
      <c r="D197" s="7"/>
    </row>
    <row r="198" spans="1:4" x14ac:dyDescent="0.2">
      <c r="D198" s="7"/>
    </row>
    <row r="199" spans="1:4" x14ac:dyDescent="0.2">
      <c r="D199" s="7"/>
    </row>
    <row r="200" spans="1:4" x14ac:dyDescent="0.2">
      <c r="A200" s="79" t="s">
        <v>37</v>
      </c>
      <c r="D200" s="7"/>
    </row>
    <row r="201" spans="1:4" x14ac:dyDescent="0.2">
      <c r="D201" s="7"/>
    </row>
    <row r="202" spans="1:4" x14ac:dyDescent="0.2">
      <c r="D202" s="7"/>
    </row>
    <row r="203" spans="1:4" x14ac:dyDescent="0.2"/>
    <row r="204" spans="1:4" x14ac:dyDescent="0.2"/>
    <row r="205" spans="1:4" x14ac:dyDescent="0.2"/>
    <row r="206" spans="1:4" x14ac:dyDescent="0.2"/>
    <row r="207" spans="1:4" x14ac:dyDescent="0.2"/>
    <row r="208" spans="1:4"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sheetData>
  <sheetProtection algorithmName="SHA-512" hashValue="ZyFPvZBiRbmBEXlaIerPqurS/zGdRyvcbnM/1GeuNwdhSZ/I4J132+RGHtV/wGtolW/5SbU2HAGeZU68Cqa1+A==" saltValue="huCJM4UqF2DRQ6gBCwGxNQ==" spinCount="100000" sheet="1" selectLockedCells="1"/>
  <mergeCells count="3">
    <mergeCell ref="C3:D3"/>
    <mergeCell ref="A43:C43"/>
    <mergeCell ref="E43:G43"/>
  </mergeCells>
  <phoneticPr fontId="6" type="noConversion"/>
  <dataValidations xWindow="82" yWindow="283" count="16">
    <dataValidation type="list" allowBlank="1" showInputMessage="1" showErrorMessage="1" sqref="F5:F7" xr:uid="{00000000-0002-0000-0000-000000000000}">
      <formula1>#REF!</formula1>
    </dataValidation>
    <dataValidation type="list" allowBlank="1" showInputMessage="1" showErrorMessage="1" sqref="L6" xr:uid="{00000000-0002-0000-0000-000001000000}">
      <formula1>$D$194:$D$202</formula1>
    </dataValidation>
    <dataValidation allowBlank="1" showInputMessage="1" showErrorMessage="1" prompt="Contractor:" sqref="C3:D3" xr:uid="{C9F888C4-2B26-4AFC-9277-80254ED30A48}"/>
    <dataValidation allowBlank="1" showInputMessage="1" showErrorMessage="1" prompt="Contract start date:" sqref="G3" xr:uid="{3ED4FB2B-CDD6-4A1A-BAD1-F86DCC96E42D}"/>
    <dataValidation allowBlank="1" showInputMessage="1" showErrorMessage="1" prompt="Contract end date:" sqref="G4" xr:uid="{37B70057-23D4-4A1E-A0BF-072DD1D5150D}"/>
    <dataValidation allowBlank="1" showInputMessage="1" showErrorMessage="1" prompt="Required Match:" sqref="J5" xr:uid="{A86B25E8-AC4D-471A-8D59-3A5C927D76FE}"/>
    <dataValidation allowBlank="1" showInputMessage="1" showErrorMessage="1" prompt="Adult Intensive Residential Award Amount:" sqref="H12" xr:uid="{4D9EDF76-3E18-4192-8373-EDF78DF4D762}"/>
    <dataValidation allowBlank="1" showInputMessage="1" showErrorMessage="1" prompt="Adult Residentil Supportive Award Amount:" sqref="H13" xr:uid="{2A0CF077-1F01-452C-A142-E4AD32EAC687}"/>
    <dataValidation allowBlank="1" showInputMessage="1" showErrorMessage="1" prompt="Adult Outpatient Individual Award Amount:" sqref="H14" xr:uid="{7FB1EBBB-1E56-4543-ABF9-D5DAA02E2B52}"/>
    <dataValidation allowBlank="1" showInputMessage="1" showErrorMessage="1" prompt="Adult Residential Detoxification Award Amount:" sqref="H17" xr:uid="{16B815D6-3719-490F-AAC2-D63EC7F0FDEF}"/>
    <dataValidation allowBlank="1" showInputMessage="1" showErrorMessage="1" prompt="Adult Ambulatory Detoxification Award Amount:" sqref="H18" xr:uid="{8133FA04-4BA2-4AC5-A98E-0BD4C32E8E6F}"/>
    <dataValidation allowBlank="1" showInputMessage="1" showErrorMessage="1" prompt="HIV Residential Award Amount:" sqref="H19" xr:uid="{18626193-C35D-4DF4-85DA-C337ADF16D01}"/>
    <dataValidation allowBlank="1" showInputMessage="1" showErrorMessage="1" prompt="Co-occurring Psychiatric &amp; Substance Abuse Disorders - Adult (COPSD) Award Amount:" sqref="H36" xr:uid="{9F191A74-777B-4DD3-B7B0-B937FD040FF6}"/>
    <dataValidation allowBlank="1" showInputMessage="1" showErrorMessage="1" prompt="Youth Residential Intensive Award Amount:" sqref="H40" xr:uid="{FC25988C-7A08-44F2-822A-5BA3CB8F7E72}"/>
    <dataValidation allowBlank="1" showInputMessage="1" showErrorMessage="1" prompt="Youth Residential Supportive Award Amount:" sqref="H42" xr:uid="{87D3AAF2-CBB8-4A74-BC35-0E3908F08051}"/>
    <dataValidation allowBlank="1" showInputMessage="1" showErrorMessage="1" prompt="Youth Outpatient Services Award Amount:" sqref="H43" xr:uid="{DB176C2F-9AA4-4621-A9B0-3A3E7C27F34D}"/>
  </dataValidations>
  <pageMargins left="0" right="0" top="0" bottom="0" header="0" footer="0.25"/>
  <pageSetup scale="53" orientation="landscape" r:id="rId1"/>
  <headerFooter alignWithMargins="0"/>
  <rowBreaks count="2" manualBreakCount="2">
    <brk id="58" max="16" man="1"/>
    <brk id="128" max="16" man="1"/>
  </rowBreaks>
  <legacyDrawing r:id="rId2"/>
  <extLst>
    <ext xmlns:x14="http://schemas.microsoft.com/office/spreadsheetml/2009/9/main" uri="{CCE6A557-97BC-4b89-ADB6-D9C93CAAB3DF}">
      <x14:dataValidations xmlns:xm="http://schemas.microsoft.com/office/excel/2006/main" xWindow="82" yWindow="283" count="1">
        <x14:dataValidation type="list" allowBlank="1" showInputMessage="1" showErrorMessage="1" prompt="Region:" xr:uid="{00000000-0002-0000-0000-000002000000}">
          <x14:formula1>
            <xm:f>Version!$A$180:$A$192</xm:f>
          </x14:formula1>
          <xm:sqref>J3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T165"/>
  <sheetViews>
    <sheetView zoomScaleNormal="100" workbookViewId="0">
      <selection activeCell="C3" sqref="C3:D3"/>
    </sheetView>
  </sheetViews>
  <sheetFormatPr defaultColWidth="0" defaultRowHeight="12.75" zeroHeight="1" x14ac:dyDescent="0.2"/>
  <cols>
    <col min="1" max="1" width="15.85546875" customWidth="1"/>
    <col min="2" max="2" width="16.7109375" bestFit="1" customWidth="1"/>
    <col min="3" max="3" width="13.42578125" customWidth="1"/>
    <col min="4" max="4" width="79.28515625" customWidth="1"/>
    <col min="5" max="7" width="15" customWidth="1"/>
    <col min="8" max="8" width="22.140625" customWidth="1"/>
    <col min="9" max="11" width="9.140625" customWidth="1"/>
    <col min="12" max="12" width="24.140625" customWidth="1"/>
    <col min="13" max="13" width="9.140625" customWidth="1"/>
    <col min="14" max="14" width="11.140625" customWidth="1"/>
    <col min="15" max="15" width="9.140625" customWidth="1"/>
    <col min="16" max="23" width="9.140625" hidden="1" customWidth="1"/>
    <col min="24" max="254" width="0" hidden="1" customWidth="1"/>
    <col min="255" max="16384" width="9.140625" hidden="1"/>
  </cols>
  <sheetData>
    <row r="1" spans="1:251" ht="15.75" x14ac:dyDescent="0.25">
      <c r="A1" s="53" t="s">
        <v>0</v>
      </c>
      <c r="B1" s="53"/>
      <c r="K1" s="5"/>
      <c r="M1" s="79" t="s">
        <v>1</v>
      </c>
      <c r="N1" s="482">
        <f>Version!D1</f>
        <v>45282</v>
      </c>
    </row>
    <row r="2" spans="1:251" ht="15.75" x14ac:dyDescent="0.25">
      <c r="A2" s="53"/>
      <c r="B2" s="53"/>
      <c r="K2" s="5"/>
      <c r="N2" s="6"/>
    </row>
    <row r="3" spans="1:251" ht="16.5" thickBot="1" x14ac:dyDescent="0.3">
      <c r="A3" s="9"/>
      <c r="B3" s="54" t="s">
        <v>2</v>
      </c>
      <c r="C3" s="775"/>
      <c r="D3" s="775"/>
      <c r="F3" s="54" t="s">
        <v>3</v>
      </c>
      <c r="G3" s="31">
        <v>45170</v>
      </c>
      <c r="H3" s="19"/>
      <c r="I3" s="54" t="s">
        <v>4</v>
      </c>
      <c r="J3" s="32"/>
      <c r="K3" s="5"/>
    </row>
    <row r="4" spans="1:251" ht="16.5" thickBot="1" x14ac:dyDescent="0.3">
      <c r="C4" s="8"/>
      <c r="F4" s="54" t="s">
        <v>5</v>
      </c>
      <c r="G4" s="31">
        <v>45535</v>
      </c>
      <c r="I4" s="13"/>
      <c r="J4" s="19"/>
      <c r="K4" s="55"/>
      <c r="L4" s="56"/>
      <c r="M4" s="5"/>
      <c r="N4" s="528"/>
    </row>
    <row r="5" spans="1:251" ht="16.5" thickBot="1" x14ac:dyDescent="0.3">
      <c r="B5" s="175" t="str">
        <f>'TRA TRF TRY COPSD'!B5</f>
        <v>Results on this worksheet are for estimations.</v>
      </c>
      <c r="C5" s="167"/>
      <c r="D5" s="168"/>
      <c r="E5" s="6"/>
      <c r="F5" s="9"/>
      <c r="G5" s="57"/>
      <c r="H5" s="58"/>
      <c r="I5" s="54" t="s">
        <v>7</v>
      </c>
      <c r="J5" s="33">
        <v>0</v>
      </c>
      <c r="M5" s="5"/>
      <c r="N5" s="528"/>
    </row>
    <row r="6" spans="1:251" x14ac:dyDescent="0.2">
      <c r="B6" s="177" t="str">
        <f>'TRA TRF TRY COPSD'!B6</f>
        <v xml:space="preserve">Business decisions should be made utilizing professional/expert advice. </v>
      </c>
      <c r="C6" s="170"/>
      <c r="D6" s="171"/>
      <c r="E6" s="6"/>
      <c r="F6" s="9"/>
      <c r="G6" s="6"/>
      <c r="H6" s="9"/>
      <c r="J6" s="7"/>
      <c r="K6" s="10"/>
      <c r="L6" s="11"/>
      <c r="M6" s="5"/>
      <c r="N6" s="528"/>
    </row>
    <row r="7" spans="1:251" ht="13.5" thickBot="1" x14ac:dyDescent="0.25">
      <c r="B7" s="179" t="str">
        <f>'TRA TRF TRY COPSD'!B7</f>
        <v>HHSC is not responsible for business decisions made utilizing these worksheets.</v>
      </c>
      <c r="C7" s="173"/>
      <c r="D7" s="174"/>
      <c r="E7" s="6"/>
      <c r="F7" s="9"/>
      <c r="G7" s="6"/>
      <c r="H7" s="9"/>
      <c r="M7" s="5"/>
    </row>
    <row r="8" spans="1:251" ht="18.75" customHeight="1" thickBot="1" x14ac:dyDescent="0.3">
      <c r="E8" s="7"/>
      <c r="G8" s="7"/>
      <c r="J8" s="7"/>
      <c r="K8" s="142" t="s">
        <v>10</v>
      </c>
      <c r="L8" s="141">
        <f>(G4-G3)</f>
        <v>365</v>
      </c>
      <c r="M8" s="61">
        <f>ROUND(L8/30,0)</f>
        <v>12</v>
      </c>
    </row>
    <row r="9" spans="1:251" ht="15.75" thickBot="1" x14ac:dyDescent="0.3">
      <c r="E9" s="7"/>
      <c r="G9" s="7"/>
      <c r="H9" s="12" t="s">
        <v>11</v>
      </c>
      <c r="I9" s="47"/>
      <c r="J9" s="395" t="s">
        <v>12</v>
      </c>
      <c r="K9" s="396"/>
      <c r="L9" s="140"/>
      <c r="M9" s="5"/>
      <c r="N9" s="10"/>
    </row>
    <row r="10" spans="1:251" ht="39" customHeight="1" thickBot="1" x14ac:dyDescent="0.25">
      <c r="A10" s="354" t="s">
        <v>13</v>
      </c>
      <c r="B10" s="363" t="s">
        <v>14</v>
      </c>
      <c r="C10" s="364" t="s">
        <v>15</v>
      </c>
      <c r="D10" s="365" t="s">
        <v>38</v>
      </c>
      <c r="E10" s="364" t="s">
        <v>17</v>
      </c>
      <c r="F10" s="364" t="s">
        <v>18</v>
      </c>
      <c r="G10" s="366" t="s">
        <v>19</v>
      </c>
      <c r="H10" s="50" t="s">
        <v>20</v>
      </c>
      <c r="I10" s="118" t="s">
        <v>21</v>
      </c>
      <c r="J10" s="132" t="s">
        <v>22</v>
      </c>
      <c r="K10" s="132" t="s">
        <v>23</v>
      </c>
      <c r="L10" s="132" t="s">
        <v>24</v>
      </c>
      <c r="M10" s="51" t="s">
        <v>25</v>
      </c>
      <c r="N10" s="132" t="s">
        <v>26</v>
      </c>
      <c r="AM10">
        <v>5</v>
      </c>
    </row>
    <row r="11" spans="1:251" ht="17.25" customHeight="1" thickBot="1" x14ac:dyDescent="0.3">
      <c r="A11" s="369"/>
      <c r="B11" s="359"/>
      <c r="C11" s="359"/>
      <c r="D11" s="370" t="s">
        <v>39</v>
      </c>
      <c r="E11" s="359"/>
      <c r="F11" s="359"/>
      <c r="G11" s="359"/>
      <c r="H11" s="459"/>
      <c r="I11" s="86"/>
      <c r="J11" s="86"/>
      <c r="K11" s="86"/>
      <c r="L11" s="86"/>
      <c r="M11" s="211"/>
      <c r="N11" s="87"/>
    </row>
    <row r="12" spans="1:251" s="13" customFormat="1" ht="16.5" customHeight="1" thickBot="1" x14ac:dyDescent="0.25">
      <c r="A12" s="367"/>
      <c r="B12" s="92"/>
      <c r="C12" s="368"/>
      <c r="D12" s="95" t="s">
        <v>40</v>
      </c>
      <c r="E12" s="92"/>
      <c r="F12" s="93"/>
      <c r="G12" s="448">
        <f>ROUND((G13*I13)+(G14*I14)+((G15+G16)*I15),0)</f>
        <v>8547</v>
      </c>
      <c r="H12" s="609"/>
      <c r="I12" s="610">
        <v>0.96</v>
      </c>
      <c r="J12" s="210"/>
      <c r="K12" s="37">
        <f>ROUND(L13/G12*F13/L8,0)</f>
        <v>0</v>
      </c>
      <c r="L12" s="611" t="str">
        <f>IF(H12&gt;0,H12-(L17+L30),"")</f>
        <v/>
      </c>
      <c r="M12" s="612">
        <f>K12</f>
        <v>0</v>
      </c>
      <c r="N12" s="70"/>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spans="1:251" s="13" customFormat="1" ht="16.5" customHeight="1" thickBot="1" x14ac:dyDescent="0.25">
      <c r="A13" s="187" t="str">
        <f>List!A44</f>
        <v>T1502</v>
      </c>
      <c r="B13" s="187" t="str">
        <f>List!B44</f>
        <v>T1502HBHGHDHF</v>
      </c>
      <c r="C13" s="187" t="str">
        <f>List!D44</f>
        <v>SA/NAS-MAT</v>
      </c>
      <c r="D13" s="187" t="str">
        <f>List!G44</f>
        <v>Specialized Female Buprenorphine</v>
      </c>
      <c r="E13" s="352" t="str">
        <f>List!E44</f>
        <v>Dose</v>
      </c>
      <c r="F13" s="25">
        <f>List!F44</f>
        <v>365</v>
      </c>
      <c r="G13" s="613">
        <f t="shared" ref="G13:G29" si="0">F13*J13</f>
        <v>13114.45</v>
      </c>
      <c r="H13" s="599"/>
      <c r="I13" s="614">
        <v>0.18</v>
      </c>
      <c r="J13" s="28">
        <f>List!C44</f>
        <v>35.93</v>
      </c>
      <c r="K13" s="68"/>
      <c r="L13" s="63">
        <f>ROUND((H12*I12)-H15,0)</f>
        <v>0</v>
      </c>
      <c r="M13" s="36"/>
      <c r="N13" s="70"/>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spans="1:251" s="13" customFormat="1" ht="16.5" customHeight="1" thickBot="1" x14ac:dyDescent="0.25">
      <c r="A14" s="187" t="str">
        <f>List!A45</f>
        <v>H0020</v>
      </c>
      <c r="B14" s="187" t="str">
        <f>List!B45</f>
        <v>H0020HBHGHDHF</v>
      </c>
      <c r="C14" s="187" t="str">
        <f>List!D45</f>
        <v>SA/NAS-MAT</v>
      </c>
      <c r="D14" s="187" t="str">
        <f>List!G45</f>
        <v>Specialized Female Methadone</v>
      </c>
      <c r="E14" s="352" t="str">
        <f>List!E45</f>
        <v>Dose</v>
      </c>
      <c r="F14" s="23">
        <f>List!F45</f>
        <v>365</v>
      </c>
      <c r="G14" s="613">
        <f t="shared" si="0"/>
        <v>7234.3</v>
      </c>
      <c r="H14" s="599"/>
      <c r="I14" s="614">
        <v>0.8</v>
      </c>
      <c r="J14" s="28">
        <f>List!C45</f>
        <v>19.82</v>
      </c>
      <c r="K14" s="68"/>
      <c r="L14" s="75"/>
      <c r="M14" s="36"/>
      <c r="N14" s="70"/>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spans="1:251" s="14" customFormat="1" ht="13.5" customHeight="1" thickBot="1" x14ac:dyDescent="0.25">
      <c r="A15" s="187" t="str">
        <f>List!A46</f>
        <v>J2315</v>
      </c>
      <c r="B15" s="187" t="str">
        <f>List!B46</f>
        <v>J2315HBHD</v>
      </c>
      <c r="C15" s="187" t="str">
        <f>List!D46</f>
        <v>SA/NAS-MAT</v>
      </c>
      <c r="D15" s="187" t="str">
        <f>List!G46</f>
        <v>Injection, Naltrexone Extended-Release</v>
      </c>
      <c r="E15" s="352" t="str">
        <f>List!E46</f>
        <v>Dose</v>
      </c>
      <c r="F15" s="463">
        <f>List!F46</f>
        <v>13</v>
      </c>
      <c r="G15" s="613">
        <f t="shared" si="0"/>
        <v>17440.28</v>
      </c>
      <c r="H15" s="457"/>
      <c r="I15" s="615">
        <v>0.02</v>
      </c>
      <c r="J15" s="28">
        <f>List!C46</f>
        <v>1341.56</v>
      </c>
      <c r="K15" s="68"/>
      <c r="L15" s="39"/>
      <c r="M15" s="36"/>
      <c r="N15" s="74"/>
    </row>
    <row r="16" spans="1:251" s="14" customFormat="1" ht="13.5" customHeight="1" thickBot="1" x14ac:dyDescent="0.25">
      <c r="A16" s="187" t="str">
        <f>List!A47</f>
        <v>H0016</v>
      </c>
      <c r="B16" s="187" t="str">
        <f>List!B47</f>
        <v>H0016HBHD</v>
      </c>
      <c r="C16" s="187" t="str">
        <f>List!D47</f>
        <v>SA/NAS-MAT</v>
      </c>
      <c r="D16" s="187" t="str">
        <f>List!G47</f>
        <v>Medical Services - Naltrexone Extended-Release</v>
      </c>
      <c r="E16" s="352" t="str">
        <f>List!E47</f>
        <v>Event</v>
      </c>
      <c r="F16" s="23">
        <f>List!F47</f>
        <v>13</v>
      </c>
      <c r="G16" s="613">
        <f t="shared" si="0"/>
        <v>2500.6800000000003</v>
      </c>
      <c r="H16" s="460"/>
      <c r="I16" s="67"/>
      <c r="J16" s="28">
        <f>List!C47</f>
        <v>192.36</v>
      </c>
      <c r="K16" s="208"/>
      <c r="L16" s="208"/>
      <c r="M16" s="208"/>
      <c r="N16" s="74"/>
    </row>
    <row r="17" spans="1:251" s="14" customFormat="1" ht="16.5" customHeight="1" thickBot="1" x14ac:dyDescent="0.25">
      <c r="A17" s="187">
        <f>List!A48</f>
        <v>99202</v>
      </c>
      <c r="B17" s="187" t="str">
        <f>List!B48</f>
        <v>99202HBHD</v>
      </c>
      <c r="C17" s="187" t="str">
        <f>List!D48</f>
        <v>SA/NAS-MAT</v>
      </c>
      <c r="D17" s="187" t="str">
        <f>List!G48</f>
        <v>Outpatient Visit - Health Screening Consent, Immunization and Information</v>
      </c>
      <c r="E17" s="352" t="str">
        <f>List!E48</f>
        <v>Visit</v>
      </c>
      <c r="F17" s="463">
        <f>List!F48</f>
        <v>1</v>
      </c>
      <c r="G17" s="613">
        <f t="shared" si="0"/>
        <v>42.14</v>
      </c>
      <c r="H17" s="457">
        <f>H12*I17</f>
        <v>0</v>
      </c>
      <c r="I17" s="616">
        <v>0.02</v>
      </c>
      <c r="J17" s="28">
        <f>List!C48</f>
        <v>42.14</v>
      </c>
      <c r="K17" s="68"/>
      <c r="L17" s="247">
        <f>H17</f>
        <v>0</v>
      </c>
      <c r="M17" s="617"/>
      <c r="N17" s="74"/>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spans="1:251" s="14" customFormat="1" ht="16.5" customHeight="1" thickBot="1" x14ac:dyDescent="0.25">
      <c r="A18" s="187">
        <f>List!A49</f>
        <v>87340</v>
      </c>
      <c r="B18" s="187" t="str">
        <f>List!B49</f>
        <v>87340HBHD</v>
      </c>
      <c r="C18" s="187" t="str">
        <f>List!D49</f>
        <v>SA/NAS-MAT</v>
      </c>
      <c r="D18" s="187" t="str">
        <f>List!G49</f>
        <v>Hepatitis B - Surface Antigen Test</v>
      </c>
      <c r="E18" s="352" t="str">
        <f>List!E49</f>
        <v>Event</v>
      </c>
      <c r="F18" s="23">
        <f>List!F49</f>
        <v>1</v>
      </c>
      <c r="G18" s="613">
        <f t="shared" si="0"/>
        <v>8.68</v>
      </c>
      <c r="H18" s="457"/>
      <c r="I18" s="72"/>
      <c r="J18" s="28">
        <f>List!C49</f>
        <v>8.68</v>
      </c>
      <c r="K18" s="68"/>
      <c r="L18" s="18"/>
      <c r="M18" s="617"/>
      <c r="N18" s="74"/>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251" s="14" customFormat="1" ht="16.5" customHeight="1" thickBot="1" x14ac:dyDescent="0.25">
      <c r="A19" s="187">
        <f>List!A50</f>
        <v>86803</v>
      </c>
      <c r="B19" s="187" t="str">
        <f>List!B50</f>
        <v>86803HBHD</v>
      </c>
      <c r="C19" s="187" t="str">
        <f>List!D50</f>
        <v>SA/NAS-MAT</v>
      </c>
      <c r="D19" s="187" t="str">
        <f>List!G50</f>
        <v>Hepatitis C - Antibody Test</v>
      </c>
      <c r="E19" s="352" t="str">
        <f>List!E50</f>
        <v>Event</v>
      </c>
      <c r="F19" s="463">
        <f>List!F50</f>
        <v>1</v>
      </c>
      <c r="G19" s="613">
        <f t="shared" si="0"/>
        <v>11.99</v>
      </c>
      <c r="H19" s="457"/>
      <c r="I19" s="618"/>
      <c r="J19" s="28">
        <f>List!C50</f>
        <v>11.99</v>
      </c>
      <c r="K19" s="68"/>
      <c r="L19" s="39"/>
      <c r="M19" s="617"/>
      <c r="N19" s="74"/>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row r="20" spans="1:251" s="14" customFormat="1" ht="16.5" customHeight="1" thickBot="1" x14ac:dyDescent="0.25">
      <c r="A20" s="187">
        <f>List!A51</f>
        <v>87389</v>
      </c>
      <c r="B20" s="187" t="str">
        <f>List!B51</f>
        <v>87389HBHD</v>
      </c>
      <c r="C20" s="187" t="str">
        <f>List!D51</f>
        <v>SA/NAS-MAT</v>
      </c>
      <c r="D20" s="187" t="str">
        <f>List!G51</f>
        <v>HIV (initial) - Ag/Ab EIA Combination Test</v>
      </c>
      <c r="E20" s="352" t="str">
        <f>List!E51</f>
        <v>Event</v>
      </c>
      <c r="F20" s="23">
        <f>List!F51</f>
        <v>1</v>
      </c>
      <c r="G20" s="613">
        <f>F20*J20</f>
        <v>20.23</v>
      </c>
      <c r="H20" s="457"/>
      <c r="I20" s="618"/>
      <c r="J20" s="28">
        <f>List!C51</f>
        <v>20.23</v>
      </c>
      <c r="K20" s="68"/>
      <c r="L20" s="39"/>
      <c r="M20" s="617"/>
      <c r="N20" s="74"/>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row>
    <row r="21" spans="1:251" s="14" customFormat="1" ht="16.5" customHeight="1" thickBot="1" x14ac:dyDescent="0.25">
      <c r="A21" s="187">
        <f>List!A52</f>
        <v>86701</v>
      </c>
      <c r="B21" s="187" t="str">
        <f>List!B52</f>
        <v>86701HBHD</v>
      </c>
      <c r="C21" s="187" t="str">
        <f>List!D52</f>
        <v>SA/NAS-MAT</v>
      </c>
      <c r="D21" s="187" t="str">
        <f>List!G52</f>
        <v>HIV (confirmatory)) - Multispot Test</v>
      </c>
      <c r="E21" s="352" t="str">
        <f>List!E52</f>
        <v>Event</v>
      </c>
      <c r="F21" s="463">
        <f>List!F52</f>
        <v>1</v>
      </c>
      <c r="G21" s="613">
        <f t="shared" si="0"/>
        <v>7.47</v>
      </c>
      <c r="H21" s="457"/>
      <c r="I21" s="618"/>
      <c r="J21" s="28">
        <f>List!C52</f>
        <v>7.47</v>
      </c>
      <c r="K21" s="68"/>
      <c r="L21" s="39"/>
      <c r="M21" s="617"/>
      <c r="N21" s="74"/>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row>
    <row r="22" spans="1:251" s="14" customFormat="1" ht="16.5" customHeight="1" thickBot="1" x14ac:dyDescent="0.25">
      <c r="A22" s="187">
        <f>List!A53</f>
        <v>87591</v>
      </c>
      <c r="B22" s="187" t="str">
        <f>List!B53</f>
        <v>87591HBHD</v>
      </c>
      <c r="C22" s="187" t="str">
        <f>List!D53</f>
        <v>SA/NAS-MAT</v>
      </c>
      <c r="D22" s="187" t="str">
        <f>List!G53</f>
        <v>Gonorrhea - Urine-based Test</v>
      </c>
      <c r="E22" s="352" t="str">
        <f>List!E53</f>
        <v>Event</v>
      </c>
      <c r="F22" s="23">
        <f>List!F53</f>
        <v>1</v>
      </c>
      <c r="G22" s="613">
        <f t="shared" si="0"/>
        <v>29.48</v>
      </c>
      <c r="H22" s="457"/>
      <c r="I22" s="618"/>
      <c r="J22" s="28">
        <f>List!C53</f>
        <v>29.48</v>
      </c>
      <c r="K22" s="68"/>
      <c r="L22" s="75"/>
      <c r="M22" s="36"/>
      <c r="N22" s="74"/>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row>
    <row r="23" spans="1:251" s="14" customFormat="1" ht="16.5" customHeight="1" thickBot="1" x14ac:dyDescent="0.25">
      <c r="A23" s="187">
        <f>List!A54</f>
        <v>87491</v>
      </c>
      <c r="B23" s="187" t="str">
        <f>List!B54</f>
        <v>87491HBHD</v>
      </c>
      <c r="C23" s="187" t="str">
        <f>List!D54</f>
        <v>SA/NAS-MAT</v>
      </c>
      <c r="D23" s="187" t="str">
        <f>List!G54</f>
        <v>Chlamydia - Urine-based Test</v>
      </c>
      <c r="E23" s="352" t="str">
        <f>List!E54</f>
        <v>Event</v>
      </c>
      <c r="F23" s="463">
        <f>List!F54</f>
        <v>1</v>
      </c>
      <c r="G23" s="613">
        <f t="shared" si="0"/>
        <v>29.48</v>
      </c>
      <c r="H23" s="457"/>
      <c r="I23" s="618"/>
      <c r="J23" s="28">
        <f>List!C54</f>
        <v>29.48</v>
      </c>
      <c r="K23" s="68"/>
      <c r="L23" s="75"/>
      <c r="M23" s="36"/>
      <c r="N23" s="74"/>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row>
    <row r="24" spans="1:251" s="14" customFormat="1" ht="16.5" customHeight="1" thickBot="1" x14ac:dyDescent="0.25">
      <c r="A24" s="187">
        <f>List!A55</f>
        <v>83036</v>
      </c>
      <c r="B24" s="187" t="str">
        <f>List!B55</f>
        <v>83036HBHD</v>
      </c>
      <c r="C24" s="187" t="str">
        <f>List!D55</f>
        <v>SA/NAS-MAT</v>
      </c>
      <c r="D24" s="187" t="str">
        <f>List!G55</f>
        <v>Diabetes - Glycosylated (A1C) Test</v>
      </c>
      <c r="E24" s="352" t="str">
        <f>List!E55</f>
        <v>Event</v>
      </c>
      <c r="F24" s="23">
        <f>List!F55</f>
        <v>1</v>
      </c>
      <c r="G24" s="613">
        <f t="shared" si="0"/>
        <v>8.16</v>
      </c>
      <c r="H24" s="457"/>
      <c r="I24" s="618"/>
      <c r="J24" s="28">
        <f>List!C55</f>
        <v>8.16</v>
      </c>
      <c r="K24" s="68"/>
      <c r="L24" s="75"/>
      <c r="M24" s="36"/>
      <c r="N24" s="7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row>
    <row r="25" spans="1:251" s="14" customFormat="1" ht="16.5" customHeight="1" thickBot="1" x14ac:dyDescent="0.25">
      <c r="A25" s="187">
        <f>List!A56</f>
        <v>93005</v>
      </c>
      <c r="B25" s="187" t="str">
        <f>List!B56</f>
        <v>93005HBHD</v>
      </c>
      <c r="C25" s="187" t="str">
        <f>List!D56</f>
        <v>SA/NAS-MAT</v>
      </c>
      <c r="D25" s="187" t="str">
        <f>List!G56</f>
        <v>EKG - Tracing Only, without Interpretation and Report</v>
      </c>
      <c r="E25" s="352" t="str">
        <f>List!E56</f>
        <v>Event</v>
      </c>
      <c r="F25" s="463">
        <f>List!F56</f>
        <v>1</v>
      </c>
      <c r="G25" s="613">
        <f t="shared" si="0"/>
        <v>6.72</v>
      </c>
      <c r="H25" s="457"/>
      <c r="I25" s="618"/>
      <c r="J25" s="28">
        <f>List!C56</f>
        <v>6.72</v>
      </c>
      <c r="K25" s="68"/>
      <c r="L25" s="75"/>
      <c r="M25" s="36"/>
      <c r="N25" s="74"/>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row>
    <row r="26" spans="1:251" s="14" customFormat="1" ht="16.5" customHeight="1" thickBot="1" x14ac:dyDescent="0.25">
      <c r="A26" s="187">
        <f>List!A57</f>
        <v>93010</v>
      </c>
      <c r="B26" s="187" t="str">
        <f>List!B57</f>
        <v>93010HBHD</v>
      </c>
      <c r="C26" s="187" t="str">
        <f>List!D57</f>
        <v>SA/NAS-MAT</v>
      </c>
      <c r="D26" s="187" t="str">
        <f>List!G57</f>
        <v>EKG/ECG - Report and Interpretation</v>
      </c>
      <c r="E26" s="352" t="str">
        <f>List!E57</f>
        <v>Event</v>
      </c>
      <c r="F26" s="23">
        <f>List!F57</f>
        <v>1</v>
      </c>
      <c r="G26" s="613">
        <f t="shared" si="0"/>
        <v>6.72</v>
      </c>
      <c r="H26" s="457"/>
      <c r="I26" s="618"/>
      <c r="J26" s="28">
        <f>List!C57</f>
        <v>6.72</v>
      </c>
      <c r="K26" s="68"/>
      <c r="L26" s="75"/>
      <c r="M26" s="36"/>
      <c r="N26" s="74"/>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row>
    <row r="27" spans="1:251" s="14" customFormat="1" ht="16.5" customHeight="1" thickBot="1" x14ac:dyDescent="0.25">
      <c r="A27" s="187">
        <f>List!A58</f>
        <v>81025</v>
      </c>
      <c r="B27" s="187" t="str">
        <f>List!B58</f>
        <v>81025HBHD</v>
      </c>
      <c r="C27" s="187" t="str">
        <f>List!D58</f>
        <v>SA/NAS-MAT</v>
      </c>
      <c r="D27" s="187" t="str">
        <f>List!G58</f>
        <v>Urine Pregnancy Test, By Visual Color Comparison</v>
      </c>
      <c r="E27" s="352" t="str">
        <f>List!E58</f>
        <v>Event</v>
      </c>
      <c r="F27" s="463">
        <f>List!F58</f>
        <v>1</v>
      </c>
      <c r="G27" s="613">
        <f t="shared" si="0"/>
        <v>7.23</v>
      </c>
      <c r="H27" s="457"/>
      <c r="I27" s="618"/>
      <c r="J27" s="28">
        <f>List!C58</f>
        <v>7.23</v>
      </c>
      <c r="K27" s="68"/>
      <c r="L27" s="39"/>
      <c r="M27" s="617"/>
      <c r="N27" s="74"/>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row>
    <row r="28" spans="1:251" s="14" customFormat="1" ht="16.5" customHeight="1" thickBot="1" x14ac:dyDescent="0.25">
      <c r="A28" s="187" t="str">
        <f>List!A59</f>
        <v>3510F</v>
      </c>
      <c r="B28" s="187" t="str">
        <f>List!B59</f>
        <v>3510FHBHGHD</v>
      </c>
      <c r="C28" s="187" t="str">
        <f>List!D59</f>
        <v>SA/NAS-MAT</v>
      </c>
      <c r="D28" s="187" t="str">
        <f>List!G59</f>
        <v>TB Testing Intradermal</v>
      </c>
      <c r="E28" s="352" t="str">
        <f>List!E59</f>
        <v>Event</v>
      </c>
      <c r="F28" s="23">
        <f>List!F59</f>
        <v>1</v>
      </c>
      <c r="G28" s="613">
        <f t="shared" si="0"/>
        <v>7.4</v>
      </c>
      <c r="H28" s="457"/>
      <c r="I28" s="618"/>
      <c r="J28" s="28">
        <f>List!C59</f>
        <v>7.4</v>
      </c>
      <c r="K28" s="68"/>
      <c r="L28" s="39"/>
      <c r="M28" s="617"/>
      <c r="N28" s="74"/>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row>
    <row r="29" spans="1:251" s="14" customFormat="1" ht="16.5" customHeight="1" thickBot="1" x14ac:dyDescent="0.25">
      <c r="A29" s="209">
        <f>List!A60</f>
        <v>99213</v>
      </c>
      <c r="B29" s="209" t="str">
        <f>List!B60</f>
        <v>99213HBHD</v>
      </c>
      <c r="C29" s="209" t="str">
        <f>List!D60</f>
        <v>SA/NAS-MAT</v>
      </c>
      <c r="D29" s="209" t="str">
        <f>List!G60</f>
        <v>Outpatient Visit - Results and Referrals</v>
      </c>
      <c r="E29" s="371" t="str">
        <f>List!E60</f>
        <v>Visit</v>
      </c>
      <c r="F29" s="27">
        <f>List!F60</f>
        <v>1</v>
      </c>
      <c r="G29" s="619">
        <f t="shared" si="0"/>
        <v>34.81</v>
      </c>
      <c r="H29" s="457"/>
      <c r="I29" s="618"/>
      <c r="J29" s="28">
        <f>List!C60</f>
        <v>34.81</v>
      </c>
      <c r="K29" s="68"/>
      <c r="L29" s="39"/>
      <c r="M29" s="617"/>
      <c r="N29" s="74"/>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row>
    <row r="30" spans="1:251" s="14" customFormat="1" ht="16.5" customHeight="1" thickBot="1" x14ac:dyDescent="0.25">
      <c r="A30" s="372"/>
      <c r="B30" s="94"/>
      <c r="C30" s="49"/>
      <c r="D30" s="48" t="s">
        <v>41</v>
      </c>
      <c r="E30" s="49"/>
      <c r="F30" s="49"/>
      <c r="G30" s="620"/>
      <c r="H30" s="457">
        <f>H12*I30</f>
        <v>0</v>
      </c>
      <c r="I30" s="621">
        <v>0.02</v>
      </c>
      <c r="J30" s="622"/>
      <c r="K30" s="68"/>
      <c r="L30" s="247">
        <f>H30</f>
        <v>0</v>
      </c>
      <c r="M30" s="617"/>
      <c r="N30" s="74"/>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row>
    <row r="31" spans="1:251" s="14" customFormat="1" ht="16.5" customHeight="1" thickBot="1" x14ac:dyDescent="0.25">
      <c r="A31" s="187">
        <f>List!A62</f>
        <v>99205</v>
      </c>
      <c r="B31" s="187" t="str">
        <f>List!B62</f>
        <v>99205HBHG</v>
      </c>
      <c r="C31" s="187" t="str">
        <f>List!D62</f>
        <v>SA/NAS-MAT</v>
      </c>
      <c r="D31" s="187" t="str">
        <f>List!G62</f>
        <v>Hepatitis C - Treatment Coordination</v>
      </c>
      <c r="E31" s="352" t="str">
        <f>List!E62</f>
        <v>Event</v>
      </c>
      <c r="F31" s="23">
        <f>List!F62</f>
        <v>7</v>
      </c>
      <c r="G31" s="530">
        <f>J31*F31</f>
        <v>409.22</v>
      </c>
      <c r="H31" s="457"/>
      <c r="I31" s="618"/>
      <c r="J31" s="28">
        <f>List!C62</f>
        <v>58.46</v>
      </c>
      <c r="K31" s="68"/>
      <c r="L31" s="39"/>
      <c r="M31" s="617"/>
      <c r="N31" s="74"/>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row>
    <row r="32" spans="1:251" s="14" customFormat="1" ht="16.5" customHeight="1" thickBot="1" x14ac:dyDescent="0.25">
      <c r="A32" s="187">
        <f>List!A63</f>
        <v>86804</v>
      </c>
      <c r="B32" s="187" t="str">
        <f>List!B63</f>
        <v>86804HBHG</v>
      </c>
      <c r="C32" s="187" t="str">
        <f>List!D63</f>
        <v>SA/NAS-MAT</v>
      </c>
      <c r="D32" s="187" t="str">
        <f>List!G63</f>
        <v>Hepatitis C - Confirmatory Test</v>
      </c>
      <c r="E32" s="352" t="str">
        <f>List!E63</f>
        <v>Event</v>
      </c>
      <c r="F32" s="27">
        <f>List!F63</f>
        <v>1</v>
      </c>
      <c r="G32" s="530">
        <f t="shared" ref="G32:G36" si="1">J32*F32</f>
        <v>13.01</v>
      </c>
      <c r="H32" s="457"/>
      <c r="I32" s="618"/>
      <c r="J32" s="28">
        <f>List!C63</f>
        <v>13.01</v>
      </c>
      <c r="K32" s="68"/>
      <c r="L32" s="39"/>
      <c r="M32" s="617"/>
      <c r="N32" s="74"/>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row>
    <row r="33" spans="1:251" s="14" customFormat="1" ht="16.5" customHeight="1" thickBot="1" x14ac:dyDescent="0.25">
      <c r="A33" s="187">
        <f>List!A64</f>
        <v>87522</v>
      </c>
      <c r="B33" s="187" t="str">
        <f>List!B64</f>
        <v>87522HBHG</v>
      </c>
      <c r="C33" s="187" t="str">
        <f>List!D64</f>
        <v>SA/NAS-MAT</v>
      </c>
      <c r="D33" s="187" t="str">
        <f>List!G64</f>
        <v>Hepatitis C - Viral Load Quantification</v>
      </c>
      <c r="E33" s="352" t="str">
        <f>List!E64</f>
        <v>Event</v>
      </c>
      <c r="F33" s="27">
        <f>List!F64</f>
        <v>3</v>
      </c>
      <c r="G33" s="530">
        <f t="shared" si="1"/>
        <v>107.97</v>
      </c>
      <c r="H33" s="599"/>
      <c r="I33" s="618"/>
      <c r="J33" s="28">
        <f>List!C64</f>
        <v>35.99</v>
      </c>
      <c r="K33" s="68"/>
      <c r="L33" s="39"/>
      <c r="M33" s="617"/>
      <c r="N33" s="74"/>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row>
    <row r="34" spans="1:251" s="14" customFormat="1" ht="16.5" customHeight="1" thickBot="1" x14ac:dyDescent="0.25">
      <c r="A34" s="187">
        <f>List!A65</f>
        <v>90792</v>
      </c>
      <c r="B34" s="187" t="str">
        <f>List!B65</f>
        <v>90792HBHG</v>
      </c>
      <c r="C34" s="187" t="str">
        <f>List!D65</f>
        <v>SA/NAS-MAT</v>
      </c>
      <c r="D34" s="187" t="str">
        <f>List!G65</f>
        <v>Initial Interview for Diagnosis of Psychiatric Condition</v>
      </c>
      <c r="E34" s="352" t="str">
        <f>List!E65</f>
        <v>Event</v>
      </c>
      <c r="F34" s="27">
        <f>List!F65</f>
        <v>1</v>
      </c>
      <c r="G34" s="530">
        <f t="shared" si="1"/>
        <v>119.21</v>
      </c>
      <c r="H34" s="599"/>
      <c r="I34" s="618"/>
      <c r="J34" s="28">
        <f>List!C65</f>
        <v>119.21</v>
      </c>
      <c r="K34" s="68"/>
      <c r="L34" s="39"/>
      <c r="M34" s="617"/>
      <c r="N34" s="7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row>
    <row r="35" spans="1:251" s="14" customFormat="1" ht="16.5" customHeight="1" thickBot="1" x14ac:dyDescent="0.25">
      <c r="A35" s="187">
        <f>List!A66</f>
        <v>90832</v>
      </c>
      <c r="B35" s="187" t="str">
        <f>List!B66</f>
        <v>90832HBHG</v>
      </c>
      <c r="C35" s="187" t="str">
        <f>List!D66</f>
        <v>SA/NAS-MAT</v>
      </c>
      <c r="D35" s="187" t="str">
        <f>List!G66</f>
        <v>Thirty-Minute Physician Visit for Psychiatric Follow-Up</v>
      </c>
      <c r="E35" s="352" t="str">
        <f>List!E66</f>
        <v>Event</v>
      </c>
      <c r="F35" s="27">
        <f>List!F66</f>
        <v>1</v>
      </c>
      <c r="G35" s="530">
        <f t="shared" si="1"/>
        <v>46.73</v>
      </c>
      <c r="H35" s="599"/>
      <c r="I35" s="618"/>
      <c r="J35" s="28">
        <f>List!C66</f>
        <v>46.73</v>
      </c>
      <c r="K35" s="68"/>
      <c r="L35" s="39"/>
      <c r="M35" s="617"/>
      <c r="N35" s="74"/>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row>
    <row r="36" spans="1:251" s="14" customFormat="1" ht="16.5" customHeight="1" thickBot="1" x14ac:dyDescent="0.25">
      <c r="A36" s="187">
        <f>List!A67</f>
        <v>97597</v>
      </c>
      <c r="B36" s="187" t="str">
        <f>List!B67</f>
        <v>97597HBHG</v>
      </c>
      <c r="C36" s="187" t="str">
        <f>List!D67</f>
        <v>SA/NAS-MAT</v>
      </c>
      <c r="D36" s="187" t="str">
        <f>List!G67</f>
        <v>Wound Care Management</v>
      </c>
      <c r="E36" s="352" t="str">
        <f>List!E67</f>
        <v>Event</v>
      </c>
      <c r="F36" s="27">
        <f>List!F67</f>
        <v>1</v>
      </c>
      <c r="G36" s="623">
        <f t="shared" si="1"/>
        <v>63.15</v>
      </c>
      <c r="H36" s="564"/>
      <c r="I36" s="624"/>
      <c r="J36" s="246">
        <f>List!C67</f>
        <v>63.15</v>
      </c>
      <c r="K36" s="193"/>
      <c r="L36" s="40"/>
      <c r="M36" s="625"/>
      <c r="N36" s="62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row>
    <row r="37" spans="1:251" s="14" customFormat="1" ht="25.5" customHeight="1" thickBot="1" x14ac:dyDescent="0.3">
      <c r="A37" s="354"/>
      <c r="B37" s="355"/>
      <c r="C37" s="356"/>
      <c r="D37" s="355"/>
      <c r="E37" s="355"/>
      <c r="F37" s="462"/>
      <c r="G37" s="443"/>
      <c r="H37" s="449" t="s">
        <v>42</v>
      </c>
      <c r="I37" s="450"/>
      <c r="J37" s="451"/>
      <c r="K37" s="452"/>
      <c r="L37" s="453" t="e">
        <f>L12+L17+L30</f>
        <v>#VALUE!</v>
      </c>
      <c r="M37" s="454"/>
      <c r="N37" s="424">
        <v>0</v>
      </c>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row>
    <row r="38" spans="1:251" s="60" customFormat="1" ht="16.5" customHeight="1" thickBot="1" x14ac:dyDescent="0.3">
      <c r="A38" s="627"/>
      <c r="B38" s="628"/>
      <c r="C38" s="357"/>
      <c r="D38" s="358" t="s">
        <v>43</v>
      </c>
      <c r="E38" s="359"/>
      <c r="F38" s="461"/>
      <c r="G38" s="445">
        <f>ROUND((G40*I40)+(G39*I39)+((G41+G42)*I41),0)</f>
        <v>8547</v>
      </c>
      <c r="H38" s="629"/>
      <c r="I38" s="630">
        <v>0.96</v>
      </c>
      <c r="J38" s="631"/>
      <c r="K38" s="37" t="str">
        <f>IF(H38&gt;0,ROUND(L38/G38*F39/Days,0),"")</f>
        <v/>
      </c>
      <c r="L38" s="247" t="str">
        <f>IF(H38&gt;0,H38-H43-H57-L39,"")</f>
        <v/>
      </c>
      <c r="M38" s="455" t="str">
        <f>K38</f>
        <v/>
      </c>
      <c r="N38" s="632"/>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row>
    <row r="39" spans="1:251" ht="17.25" customHeight="1" thickBot="1" x14ac:dyDescent="0.25">
      <c r="A39" s="22" t="str">
        <f>List!A69</f>
        <v>H0020</v>
      </c>
      <c r="B39" s="22" t="str">
        <f>List!B69</f>
        <v>H0020HBHV</v>
      </c>
      <c r="C39" s="22" t="str">
        <f>List!D69</f>
        <v>SA/MAT</v>
      </c>
      <c r="D39" s="22" t="str">
        <f>List!G69</f>
        <v>Methadone</v>
      </c>
      <c r="E39" s="353" t="str">
        <f>List!E69</f>
        <v>Dose</v>
      </c>
      <c r="F39" s="375">
        <f>List!F69</f>
        <v>365</v>
      </c>
      <c r="G39" s="446">
        <f>F39*J39</f>
        <v>7234.3</v>
      </c>
      <c r="H39" s="2"/>
      <c r="I39" s="633">
        <v>0.8</v>
      </c>
      <c r="J39" s="246">
        <f>List!C69</f>
        <v>19.82</v>
      </c>
      <c r="K39" s="199" t="str">
        <f>IF(H38&gt;0,ROUND((H38-L43-L57)/G38*F39/Days,0),"")</f>
        <v/>
      </c>
      <c r="L39" s="411" t="e">
        <f>L64</f>
        <v>#VALUE!</v>
      </c>
      <c r="M39" s="4"/>
      <c r="N39" s="70"/>
    </row>
    <row r="40" spans="1:251" ht="16.5" customHeight="1" thickBot="1" x14ac:dyDescent="0.25">
      <c r="A40" s="22" t="str">
        <f>List!A70</f>
        <v>T1502</v>
      </c>
      <c r="B40" s="22" t="str">
        <f>List!B70</f>
        <v>T1502HBHV</v>
      </c>
      <c r="C40" s="22" t="str">
        <f>List!D70</f>
        <v>SA/MAT</v>
      </c>
      <c r="D40" s="22" t="str">
        <f>List!G70</f>
        <v>Buprenorphine</v>
      </c>
      <c r="E40" s="353" t="str">
        <f>List!E70</f>
        <v>Dose</v>
      </c>
      <c r="F40" s="77">
        <f>List!F70</f>
        <v>365</v>
      </c>
      <c r="G40" s="446">
        <f t="shared" ref="G40:G42" si="2">F40*J40</f>
        <v>13114.45</v>
      </c>
      <c r="H40" s="456"/>
      <c r="I40" s="633">
        <v>0.18</v>
      </c>
      <c r="J40" s="212">
        <f>List!C70</f>
        <v>35.93</v>
      </c>
      <c r="K40" s="68"/>
      <c r="L40" s="39"/>
      <c r="M40" s="34"/>
      <c r="N40" s="70"/>
    </row>
    <row r="41" spans="1:251" ht="16.5" customHeight="1" thickBot="1" x14ac:dyDescent="0.25">
      <c r="A41" s="22" t="str">
        <f>List!A71</f>
        <v>J2315</v>
      </c>
      <c r="B41" s="22" t="str">
        <f>List!B71</f>
        <v>J2315HBHFHG</v>
      </c>
      <c r="C41" s="22" t="str">
        <f>List!D71</f>
        <v>SA/MAT</v>
      </c>
      <c r="D41" s="22" t="str">
        <f>List!G71</f>
        <v>Injection, Naltrexone Extended-Release</v>
      </c>
      <c r="E41" s="353" t="str">
        <f>List!E71</f>
        <v>Dose</v>
      </c>
      <c r="F41" s="77">
        <f>List!F71</f>
        <v>13</v>
      </c>
      <c r="G41" s="446">
        <f t="shared" si="2"/>
        <v>17440.28</v>
      </c>
      <c r="H41" s="599"/>
      <c r="I41" s="615">
        <v>0.02</v>
      </c>
      <c r="J41" s="212">
        <f>List!C71</f>
        <v>1341.56</v>
      </c>
      <c r="K41" s="68" t="str">
        <f>IF(H41&gt;0,ROUND(L41/(G41+G42)*F41/#REF!,0),"")</f>
        <v/>
      </c>
      <c r="L41" s="39"/>
      <c r="M41" s="36" t="str">
        <f>K41</f>
        <v/>
      </c>
      <c r="N41" s="74"/>
    </row>
    <row r="42" spans="1:251" ht="16.5" customHeight="1" thickBot="1" x14ac:dyDescent="0.25">
      <c r="A42" s="223" t="str">
        <f>List!A72</f>
        <v>H0016</v>
      </c>
      <c r="B42" s="223" t="str">
        <f>List!B72</f>
        <v>H0016HBHFHG</v>
      </c>
      <c r="C42" s="223" t="str">
        <f>List!D72</f>
        <v>SA/MAT</v>
      </c>
      <c r="D42" s="223" t="str">
        <f>List!G72</f>
        <v>Medical Services - Naltrexone Extended- Release</v>
      </c>
      <c r="E42" s="360" t="str">
        <f>List!E72</f>
        <v>Event</v>
      </c>
      <c r="F42" s="77">
        <f>List!F72</f>
        <v>13</v>
      </c>
      <c r="G42" s="446">
        <f t="shared" si="2"/>
        <v>2500.6800000000003</v>
      </c>
      <c r="H42" s="456"/>
      <c r="I42" s="618"/>
      <c r="J42" s="212">
        <f>List!C72</f>
        <v>192.36</v>
      </c>
      <c r="K42" s="199"/>
      <c r="L42" s="39"/>
      <c r="M42" s="34"/>
      <c r="N42" s="70"/>
      <c r="O42" s="14"/>
    </row>
    <row r="43" spans="1:251" ht="20.25" customHeight="1" thickBot="1" x14ac:dyDescent="0.25">
      <c r="A43" s="634"/>
      <c r="B43" s="44"/>
      <c r="C43" s="361"/>
      <c r="D43" s="78" t="s">
        <v>44</v>
      </c>
      <c r="E43" s="45"/>
      <c r="F43" s="45"/>
      <c r="G43" s="447"/>
      <c r="H43" s="457">
        <f>H38*I43</f>
        <v>0</v>
      </c>
      <c r="I43" s="616">
        <v>0.02</v>
      </c>
      <c r="J43" s="631"/>
      <c r="K43" s="68"/>
      <c r="L43" s="64">
        <f>H43</f>
        <v>0</v>
      </c>
      <c r="M43" s="36"/>
      <c r="N43" s="70"/>
    </row>
    <row r="44" spans="1:251" ht="13.5" customHeight="1" thickBot="1" x14ac:dyDescent="0.25">
      <c r="A44" s="22">
        <f>List!A74</f>
        <v>99202</v>
      </c>
      <c r="B44" s="22" t="str">
        <f>List!B74</f>
        <v>99202HBHDHG</v>
      </c>
      <c r="C44" s="22" t="str">
        <f>List!D74</f>
        <v>SA/MAT</v>
      </c>
      <c r="D44" s="22" t="str">
        <f>List!G74</f>
        <v>Outpatient Visit - Health Screening Consent, Immunization and Information</v>
      </c>
      <c r="E44" s="353" t="str">
        <f>List!E74</f>
        <v>Event</v>
      </c>
      <c r="F44" s="375">
        <f>List!F74</f>
        <v>1</v>
      </c>
      <c r="G44" s="448">
        <f t="shared" ref="G44:G64" si="3">F44*J44</f>
        <v>42.14</v>
      </c>
      <c r="H44" s="599"/>
      <c r="I44" s="618"/>
      <c r="J44" s="28">
        <f>List!C74</f>
        <v>42.14</v>
      </c>
      <c r="K44" s="68"/>
      <c r="L44" s="75"/>
      <c r="M44" s="36"/>
      <c r="N44" s="70"/>
    </row>
    <row r="45" spans="1:251" ht="16.5" customHeight="1" thickBot="1" x14ac:dyDescent="0.25">
      <c r="A45" s="22">
        <f>List!A75</f>
        <v>87340</v>
      </c>
      <c r="B45" s="22" t="str">
        <f>List!B75</f>
        <v>87340HBHDHG</v>
      </c>
      <c r="C45" s="22" t="str">
        <f>List!D75</f>
        <v>SA/MAT</v>
      </c>
      <c r="D45" s="22" t="str">
        <f>List!G75</f>
        <v>Hepatitis B - Surface Antigen Test</v>
      </c>
      <c r="E45" s="353" t="str">
        <f>List!E75</f>
        <v>Event</v>
      </c>
      <c r="F45" s="77">
        <f>List!F75</f>
        <v>1</v>
      </c>
      <c r="G45" s="446">
        <f t="shared" si="3"/>
        <v>8.68</v>
      </c>
      <c r="H45" s="599"/>
      <c r="I45" s="618"/>
      <c r="J45" s="28">
        <f>List!C75</f>
        <v>8.68</v>
      </c>
      <c r="K45" s="68"/>
      <c r="L45" s="39"/>
      <c r="M45" s="617"/>
      <c r="N45" s="74"/>
    </row>
    <row r="46" spans="1:251" ht="16.5" customHeight="1" thickBot="1" x14ac:dyDescent="0.25">
      <c r="A46" s="22">
        <f>List!A76</f>
        <v>86803</v>
      </c>
      <c r="B46" s="22" t="str">
        <f>List!B76</f>
        <v>86803HBHDHG</v>
      </c>
      <c r="C46" s="22" t="str">
        <f>List!D76</f>
        <v>SA/MAT</v>
      </c>
      <c r="D46" s="22" t="str">
        <f>List!G76</f>
        <v>Hepatitis C - Antibody Test</v>
      </c>
      <c r="E46" s="353" t="str">
        <f>List!E76</f>
        <v>Event</v>
      </c>
      <c r="F46" s="77">
        <f>List!F76</f>
        <v>1</v>
      </c>
      <c r="G46" s="446">
        <f t="shared" si="3"/>
        <v>11.99</v>
      </c>
      <c r="H46" s="599"/>
      <c r="I46" s="72"/>
      <c r="J46" s="28">
        <f>List!C76</f>
        <v>11.99</v>
      </c>
      <c r="K46" s="68"/>
      <c r="L46" s="39"/>
      <c r="M46" s="617"/>
      <c r="N46" s="74"/>
    </row>
    <row r="47" spans="1:251" ht="16.5" customHeight="1" thickBot="1" x14ac:dyDescent="0.25">
      <c r="A47" s="22">
        <f>List!A77</f>
        <v>87389</v>
      </c>
      <c r="B47" s="22" t="str">
        <f>List!B77</f>
        <v>87389HBHDHG</v>
      </c>
      <c r="C47" s="22" t="str">
        <f>List!D77</f>
        <v>SA/MAT</v>
      </c>
      <c r="D47" s="22" t="str">
        <f>List!G77</f>
        <v>HIV (initial) - Ag/Ab EIA Combination Test</v>
      </c>
      <c r="E47" s="353" t="str">
        <f>List!E77</f>
        <v>Event</v>
      </c>
      <c r="F47" s="77">
        <f>List!F77</f>
        <v>1</v>
      </c>
      <c r="G47" s="446">
        <f t="shared" si="3"/>
        <v>20.23</v>
      </c>
      <c r="H47" s="599"/>
      <c r="I47" s="618"/>
      <c r="J47" s="28">
        <f>List!C77</f>
        <v>20.23</v>
      </c>
      <c r="K47" s="68"/>
      <c r="L47" s="75"/>
      <c r="M47" s="36"/>
      <c r="N47" s="74"/>
    </row>
    <row r="48" spans="1:251" ht="16.5" customHeight="1" thickBot="1" x14ac:dyDescent="0.25">
      <c r="A48" s="22">
        <f>List!A78</f>
        <v>86701</v>
      </c>
      <c r="B48" s="22" t="str">
        <f>List!B78</f>
        <v>86701HBHDHG</v>
      </c>
      <c r="C48" s="22" t="str">
        <f>List!D78</f>
        <v>SA/MAT</v>
      </c>
      <c r="D48" s="22" t="str">
        <f>List!G78</f>
        <v>HIV (confirmatory) - Multispot Test</v>
      </c>
      <c r="E48" s="353" t="str">
        <f>List!E78</f>
        <v>Event</v>
      </c>
      <c r="F48" s="77">
        <f>List!F78</f>
        <v>1</v>
      </c>
      <c r="G48" s="446">
        <f t="shared" si="3"/>
        <v>7.47</v>
      </c>
      <c r="H48" s="599"/>
      <c r="I48" s="618"/>
      <c r="J48" s="28">
        <f>List!C78</f>
        <v>7.47</v>
      </c>
      <c r="K48" s="68"/>
      <c r="L48" s="75"/>
      <c r="M48" s="36"/>
      <c r="N48" s="74"/>
    </row>
    <row r="49" spans="1:253" ht="16.5" customHeight="1" thickBot="1" x14ac:dyDescent="0.25">
      <c r="A49" s="22">
        <f>List!A79</f>
        <v>87591</v>
      </c>
      <c r="B49" s="22" t="str">
        <f>List!B79</f>
        <v>87591HBHDHG</v>
      </c>
      <c r="C49" s="22" t="str">
        <f>List!D79</f>
        <v>SA/MAT</v>
      </c>
      <c r="D49" s="22" t="str">
        <f>List!G79</f>
        <v>Gonorrhea - Urine-based Test</v>
      </c>
      <c r="E49" s="353" t="str">
        <f>List!E79</f>
        <v>Event</v>
      </c>
      <c r="F49" s="77">
        <f>List!F79</f>
        <v>1</v>
      </c>
      <c r="G49" s="446">
        <f t="shared" si="3"/>
        <v>29.48</v>
      </c>
      <c r="H49" s="599"/>
      <c r="I49" s="618"/>
      <c r="J49" s="28">
        <f>List!C79</f>
        <v>29.48</v>
      </c>
      <c r="K49" s="68"/>
      <c r="L49" s="39"/>
      <c r="M49" s="617"/>
      <c r="N49" s="74"/>
    </row>
    <row r="50" spans="1:253" ht="16.5" customHeight="1" thickBot="1" x14ac:dyDescent="0.25">
      <c r="A50" s="22">
        <f>List!A80</f>
        <v>87491</v>
      </c>
      <c r="B50" s="22" t="str">
        <f>List!B80</f>
        <v>87491HBHDHG</v>
      </c>
      <c r="C50" s="22" t="str">
        <f>List!D80</f>
        <v>SA/MAT</v>
      </c>
      <c r="D50" s="22" t="str">
        <f>List!G80</f>
        <v>Chlamydia - Urine-based Test</v>
      </c>
      <c r="E50" s="353" t="str">
        <f>List!E80</f>
        <v>Event</v>
      </c>
      <c r="F50" s="77">
        <f>List!F80</f>
        <v>1</v>
      </c>
      <c r="G50" s="446">
        <f t="shared" si="3"/>
        <v>29.48</v>
      </c>
      <c r="H50" s="599"/>
      <c r="I50" s="618"/>
      <c r="J50" s="28">
        <f>List!C80</f>
        <v>29.48</v>
      </c>
      <c r="K50" s="68"/>
      <c r="L50" s="75"/>
      <c r="M50" s="36"/>
      <c r="N50" s="74"/>
    </row>
    <row r="51" spans="1:253" ht="16.5" customHeight="1" thickBot="1" x14ac:dyDescent="0.25">
      <c r="A51" s="22">
        <f>List!A81</f>
        <v>83036</v>
      </c>
      <c r="B51" s="22" t="str">
        <f>List!B81</f>
        <v>83036HBHDHG</v>
      </c>
      <c r="C51" s="22" t="str">
        <f>List!D81</f>
        <v>SA/MAT</v>
      </c>
      <c r="D51" s="22" t="str">
        <f>List!G81</f>
        <v>Diabetes - Glycosylated (A1C) Test</v>
      </c>
      <c r="E51" s="353" t="str">
        <f>List!E81</f>
        <v>Event</v>
      </c>
      <c r="F51" s="77">
        <f>List!F81</f>
        <v>1</v>
      </c>
      <c r="G51" s="446">
        <f t="shared" si="3"/>
        <v>8.16</v>
      </c>
      <c r="H51" s="599"/>
      <c r="I51" s="618"/>
      <c r="J51" s="28">
        <f>List!C81</f>
        <v>8.16</v>
      </c>
      <c r="K51" s="68"/>
      <c r="L51" s="75"/>
      <c r="M51" s="36"/>
      <c r="N51" s="74"/>
    </row>
    <row r="52" spans="1:253" ht="16.5" customHeight="1" thickBot="1" x14ac:dyDescent="0.25">
      <c r="A52" s="22" t="str">
        <f>List!A82</f>
        <v>3510F</v>
      </c>
      <c r="B52" s="22" t="str">
        <f>List!B82</f>
        <v>3510FHBHDHG</v>
      </c>
      <c r="C52" s="22" t="str">
        <f>List!D82</f>
        <v>SA/MAT</v>
      </c>
      <c r="D52" s="22" t="str">
        <f>List!G82</f>
        <v>TB Testing Intradermal</v>
      </c>
      <c r="E52" s="353" t="str">
        <f>List!E82</f>
        <v>Event</v>
      </c>
      <c r="F52" s="77">
        <f>List!F82</f>
        <v>1</v>
      </c>
      <c r="G52" s="446">
        <f t="shared" si="3"/>
        <v>7.4</v>
      </c>
      <c r="H52" s="599"/>
      <c r="I52" s="618"/>
      <c r="J52" s="28">
        <f>List!C82</f>
        <v>7.4</v>
      </c>
      <c r="K52" s="68"/>
      <c r="L52" s="75"/>
      <c r="M52" s="36"/>
      <c r="N52" s="74"/>
    </row>
    <row r="53" spans="1:253" ht="16.5" customHeight="1" thickBot="1" x14ac:dyDescent="0.25">
      <c r="A53" s="22">
        <f>List!A83</f>
        <v>93010</v>
      </c>
      <c r="B53" s="22" t="str">
        <f>List!B83</f>
        <v>93010HB</v>
      </c>
      <c r="C53" s="22" t="str">
        <f>List!D83</f>
        <v>SA/MAT</v>
      </c>
      <c r="D53" s="22" t="str">
        <f>List!G83</f>
        <v>EKG/ECG - Report and Interpretation</v>
      </c>
      <c r="E53" s="353" t="str">
        <f>List!E83</f>
        <v>Event</v>
      </c>
      <c r="F53" s="77">
        <f>List!F83</f>
        <v>1</v>
      </c>
      <c r="G53" s="635">
        <f t="shared" si="3"/>
        <v>6.72</v>
      </c>
      <c r="H53" s="599"/>
      <c r="I53" s="618"/>
      <c r="J53" s="28">
        <f>List!C83</f>
        <v>6.72</v>
      </c>
      <c r="K53" s="68"/>
      <c r="L53" s="75"/>
      <c r="M53" s="36"/>
      <c r="N53" s="74"/>
    </row>
    <row r="54" spans="1:253" ht="16.5" customHeight="1" thickBot="1" x14ac:dyDescent="0.25">
      <c r="A54" s="22">
        <f>List!A84</f>
        <v>93005</v>
      </c>
      <c r="B54" s="22" t="str">
        <f>List!B84</f>
        <v>93005HB</v>
      </c>
      <c r="C54" s="22" t="str">
        <f>List!D84</f>
        <v>SA/MAT</v>
      </c>
      <c r="D54" s="22" t="str">
        <f>List!G84</f>
        <v>EKG - Tracing Only, without Interpretation and Report</v>
      </c>
      <c r="E54" s="353" t="str">
        <f>List!E84</f>
        <v>Event</v>
      </c>
      <c r="F54" s="77">
        <f>List!F84</f>
        <v>1</v>
      </c>
      <c r="G54" s="635">
        <f t="shared" si="3"/>
        <v>6.72</v>
      </c>
      <c r="H54" s="599"/>
      <c r="I54" s="618"/>
      <c r="J54" s="28">
        <f>List!C84</f>
        <v>6.72</v>
      </c>
      <c r="K54" s="68"/>
      <c r="L54" s="75"/>
      <c r="M54" s="36"/>
      <c r="N54" s="74"/>
      <c r="O54" s="13"/>
    </row>
    <row r="55" spans="1:253" ht="16.5" customHeight="1" thickBot="1" x14ac:dyDescent="0.25">
      <c r="A55" s="22">
        <f>List!A85</f>
        <v>81025</v>
      </c>
      <c r="B55" s="22" t="str">
        <f>List!B85</f>
        <v>81025HB</v>
      </c>
      <c r="C55" s="22" t="str">
        <f>List!D85</f>
        <v>SA/MAT</v>
      </c>
      <c r="D55" s="22" t="str">
        <f>List!G85</f>
        <v>Urine Pregnancy Test, By Visual Color Comparison</v>
      </c>
      <c r="E55" s="353" t="str">
        <f>List!E85</f>
        <v>Event</v>
      </c>
      <c r="F55" s="77">
        <f>List!F85</f>
        <v>1</v>
      </c>
      <c r="G55" s="635">
        <f t="shared" si="3"/>
        <v>7.23</v>
      </c>
      <c r="H55" s="599"/>
      <c r="I55" s="618"/>
      <c r="J55" s="28">
        <f>List!C85</f>
        <v>7.23</v>
      </c>
      <c r="K55" s="68"/>
      <c r="L55" s="75"/>
      <c r="M55" s="36"/>
      <c r="N55" s="74"/>
      <c r="O55" s="13"/>
    </row>
    <row r="56" spans="1:253" s="14" customFormat="1" ht="18" customHeight="1" thickBot="1" x14ac:dyDescent="0.25">
      <c r="A56" s="22">
        <f>List!A86</f>
        <v>99213</v>
      </c>
      <c r="B56" s="22" t="str">
        <f>List!B86</f>
        <v>99213HBHDHG</v>
      </c>
      <c r="C56" s="22" t="str">
        <f>List!D86</f>
        <v>SA/MAT</v>
      </c>
      <c r="D56" s="22" t="str">
        <f>List!G86</f>
        <v>Outpatient Visit - Results and Referrals</v>
      </c>
      <c r="E56" s="353" t="str">
        <f>List!E86</f>
        <v>Event</v>
      </c>
      <c r="F56" s="77">
        <f>List!F86</f>
        <v>1</v>
      </c>
      <c r="G56" s="446">
        <f>F56*J56</f>
        <v>34.81</v>
      </c>
      <c r="H56" s="599"/>
      <c r="I56" s="72"/>
      <c r="J56" s="28">
        <f>List!C86</f>
        <v>34.81</v>
      </c>
      <c r="K56" s="68"/>
      <c r="L56" s="18"/>
      <c r="M56" s="617"/>
      <c r="N56" s="74"/>
      <c r="O56" s="13"/>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row>
    <row r="57" spans="1:253" s="14" customFormat="1" ht="18" customHeight="1" thickBot="1" x14ac:dyDescent="0.25">
      <c r="A57" s="42"/>
      <c r="B57" s="44"/>
      <c r="C57" s="361"/>
      <c r="D57" s="78" t="s">
        <v>41</v>
      </c>
      <c r="E57" s="45"/>
      <c r="F57" s="45"/>
      <c r="G57" s="444"/>
      <c r="H57" s="457">
        <f>H38*I57</f>
        <v>0</v>
      </c>
      <c r="I57" s="616">
        <v>0.02</v>
      </c>
      <c r="J57" s="631"/>
      <c r="K57" s="68"/>
      <c r="L57" s="64">
        <f>H57</f>
        <v>0</v>
      </c>
      <c r="M57" s="617"/>
      <c r="N57" s="74"/>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row>
    <row r="58" spans="1:253" s="14" customFormat="1" ht="18" customHeight="1" thickBot="1" x14ac:dyDescent="0.25">
      <c r="A58" s="22">
        <f>List!A88</f>
        <v>99205</v>
      </c>
      <c r="B58" s="22" t="str">
        <f>List!B88</f>
        <v>99205HBHV</v>
      </c>
      <c r="C58" s="22" t="str">
        <f>List!D88</f>
        <v>SA/MAT</v>
      </c>
      <c r="D58" s="22" t="str">
        <f>List!G88</f>
        <v>Hepatitis C - Treatment Coordination</v>
      </c>
      <c r="E58" s="353" t="str">
        <f>List!E88</f>
        <v>Event</v>
      </c>
      <c r="F58" s="353">
        <f>List!F88</f>
        <v>7</v>
      </c>
      <c r="G58" s="481">
        <f t="shared" si="3"/>
        <v>409.22</v>
      </c>
      <c r="H58" s="599"/>
      <c r="I58" s="72"/>
      <c r="J58" s="28">
        <f>List!C88</f>
        <v>58.46</v>
      </c>
      <c r="K58" s="68"/>
      <c r="L58" s="18"/>
      <c r="M58" s="617"/>
      <c r="N58" s="74"/>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row>
    <row r="59" spans="1:253" ht="16.5" customHeight="1" thickBot="1" x14ac:dyDescent="0.25">
      <c r="A59" s="22">
        <f>List!A89</f>
        <v>86804</v>
      </c>
      <c r="B59" s="22" t="str">
        <f>List!B89</f>
        <v>86804HBHV</v>
      </c>
      <c r="C59" s="22" t="str">
        <f>List!D89</f>
        <v>SA/MAT</v>
      </c>
      <c r="D59" s="22" t="str">
        <f>List!G89</f>
        <v>Hepatitis C - Confirmatory Test</v>
      </c>
      <c r="E59" s="353" t="str">
        <f>List!E89</f>
        <v>Event</v>
      </c>
      <c r="F59" s="25">
        <v>1</v>
      </c>
      <c r="G59" s="446">
        <f t="shared" si="3"/>
        <v>13.01</v>
      </c>
      <c r="H59" s="599"/>
      <c r="I59" s="72"/>
      <c r="J59" s="28">
        <f>List!C89</f>
        <v>13.01</v>
      </c>
      <c r="K59" s="68"/>
      <c r="L59" s="18"/>
      <c r="M59" s="617"/>
      <c r="N59" s="74"/>
    </row>
    <row r="60" spans="1:253" ht="16.5" customHeight="1" thickBot="1" x14ac:dyDescent="0.25">
      <c r="A60" s="22">
        <f>List!A90</f>
        <v>87522</v>
      </c>
      <c r="B60" s="22" t="str">
        <f>List!B90</f>
        <v>87522HBHV</v>
      </c>
      <c r="C60" s="22" t="str">
        <f>List!D90</f>
        <v>SA/MAT</v>
      </c>
      <c r="D60" s="22" t="str">
        <f>List!G90</f>
        <v>Hepatitis C - Viral Load Quantification</v>
      </c>
      <c r="E60" s="353" t="str">
        <f>List!E90</f>
        <v>Event</v>
      </c>
      <c r="F60" s="25">
        <v>3</v>
      </c>
      <c r="G60" s="446">
        <f t="shared" si="3"/>
        <v>107.97</v>
      </c>
      <c r="H60" s="599"/>
      <c r="I60" s="72"/>
      <c r="J60" s="28">
        <f>List!C90</f>
        <v>35.99</v>
      </c>
      <c r="K60" s="68"/>
      <c r="L60" s="18"/>
      <c r="M60" s="617"/>
      <c r="N60" s="74"/>
    </row>
    <row r="61" spans="1:253" s="13" customFormat="1" ht="18.75" customHeight="1" thickBot="1" x14ac:dyDescent="0.25">
      <c r="A61" s="22">
        <f>List!A91</f>
        <v>90792</v>
      </c>
      <c r="B61" s="22" t="str">
        <f>List!B91</f>
        <v>90792HBHV</v>
      </c>
      <c r="C61" s="22" t="str">
        <f>List!D91</f>
        <v>SA/MAT</v>
      </c>
      <c r="D61" s="22" t="str">
        <f>List!G91</f>
        <v>Initial Interview for Diagnosis of Psychiatric Condition</v>
      </c>
      <c r="E61" s="353" t="str">
        <f>List!E91</f>
        <v>Event</v>
      </c>
      <c r="F61" s="25">
        <v>1</v>
      </c>
      <c r="G61" s="446">
        <f t="shared" si="3"/>
        <v>119.21</v>
      </c>
      <c r="H61" s="599"/>
      <c r="I61" s="72"/>
      <c r="J61" s="28">
        <f>List!C91</f>
        <v>119.21</v>
      </c>
      <c r="K61" s="68"/>
      <c r="L61" s="18"/>
      <c r="M61" s="617"/>
      <c r="N61" s="74"/>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row>
    <row r="62" spans="1:253" s="13" customFormat="1" ht="18.75" customHeight="1" thickBot="1" x14ac:dyDescent="0.25">
      <c r="A62" s="22">
        <f>List!A92</f>
        <v>90832</v>
      </c>
      <c r="B62" s="22" t="str">
        <f>List!B92</f>
        <v>90832HBHV</v>
      </c>
      <c r="C62" s="22" t="str">
        <f>List!D92</f>
        <v>SA/MAT</v>
      </c>
      <c r="D62" s="22" t="str">
        <f>List!G92</f>
        <v>Thirty-Minute Physician Visit for Psychiatric Follow-Up</v>
      </c>
      <c r="E62" s="353" t="str">
        <f>List!E92</f>
        <v>Event</v>
      </c>
      <c r="F62" s="25">
        <v>1</v>
      </c>
      <c r="G62" s="446">
        <f t="shared" si="3"/>
        <v>46.73</v>
      </c>
      <c r="H62" s="599"/>
      <c r="I62" s="72"/>
      <c r="J62" s="28">
        <f>List!C92</f>
        <v>46.73</v>
      </c>
      <c r="K62" s="68"/>
      <c r="L62" s="18"/>
      <c r="M62" s="617"/>
      <c r="N62" s="74"/>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row>
    <row r="63" spans="1:253" s="13" customFormat="1" ht="18.75" customHeight="1" thickBot="1" x14ac:dyDescent="0.25">
      <c r="A63" s="22">
        <f>List!A93</f>
        <v>97597</v>
      </c>
      <c r="B63" s="22" t="str">
        <f>List!B93</f>
        <v>97597HBHV</v>
      </c>
      <c r="C63" s="22" t="str">
        <f>List!D93</f>
        <v>SA/MAT</v>
      </c>
      <c r="D63" s="22" t="str">
        <f>List!G93</f>
        <v>Wound Care Management</v>
      </c>
      <c r="E63" s="353" t="str">
        <f>List!E93</f>
        <v>Event</v>
      </c>
      <c r="F63" s="25">
        <v>1</v>
      </c>
      <c r="G63" s="446">
        <f t="shared" si="3"/>
        <v>63.15</v>
      </c>
      <c r="H63" s="599"/>
      <c r="I63" s="72"/>
      <c r="J63" s="28">
        <f>List!C93</f>
        <v>63.15</v>
      </c>
      <c r="K63" s="68"/>
      <c r="L63" s="18"/>
      <c r="M63" s="617"/>
      <c r="N63" s="74"/>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row>
    <row r="64" spans="1:253" s="13" customFormat="1" ht="18.75" customHeight="1" thickBot="1" x14ac:dyDescent="0.25">
      <c r="A64" s="223" t="str">
        <f>List!A94</f>
        <v>H0002</v>
      </c>
      <c r="B64" s="223" t="str">
        <f>List!B94</f>
        <v>H0002HBHG</v>
      </c>
      <c r="C64" s="223" t="str">
        <f>List!D94</f>
        <v>SA/MAT</v>
      </c>
      <c r="D64" s="223" t="str">
        <f>List!G94</f>
        <v>GPRA Assessment</v>
      </c>
      <c r="E64" s="360" t="str">
        <f>List!E94</f>
        <v>Event</v>
      </c>
      <c r="F64" s="25">
        <v>3</v>
      </c>
      <c r="G64" s="446">
        <f t="shared" si="3"/>
        <v>123</v>
      </c>
      <c r="H64" s="458" t="e">
        <f>K39*G64</f>
        <v>#VALUE!</v>
      </c>
      <c r="I64" s="636"/>
      <c r="J64" s="246">
        <f>List!C94</f>
        <v>41</v>
      </c>
      <c r="K64" s="193"/>
      <c r="L64" s="247" t="e">
        <f>H64</f>
        <v>#VALUE!</v>
      </c>
      <c r="M64" s="625"/>
      <c r="N64" s="626"/>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row>
    <row r="65" spans="1:253" s="14" customFormat="1" ht="18.75" customHeight="1" thickBot="1" x14ac:dyDescent="0.3">
      <c r="A65" s="129"/>
      <c r="B65" s="130"/>
      <c r="C65" s="362"/>
      <c r="D65" s="127"/>
      <c r="E65" s="127"/>
      <c r="F65" s="127"/>
      <c r="G65" s="443" t="s">
        <v>45</v>
      </c>
      <c r="H65" s="122"/>
      <c r="I65" s="131">
        <f>I38+I43+I57</f>
        <v>1</v>
      </c>
      <c r="J65" s="202"/>
      <c r="K65" s="128"/>
      <c r="L65" s="234" t="e">
        <f>L38+L43+L57+L64</f>
        <v>#VALUE!</v>
      </c>
      <c r="M65" s="232"/>
      <c r="N65" s="233">
        <v>0</v>
      </c>
      <c r="O65"/>
    </row>
    <row r="66" spans="1:253" s="13" customFormat="1" ht="18.75" customHeight="1" thickBot="1" x14ac:dyDescent="0.3">
      <c r="A66" s="416"/>
      <c r="B66" s="417"/>
      <c r="C66" s="417"/>
      <c r="D66" s="418" t="s">
        <v>46</v>
      </c>
      <c r="E66" s="417"/>
      <c r="F66" s="417"/>
      <c r="G66" s="419"/>
      <c r="H66" s="420"/>
      <c r="I66" s="67"/>
      <c r="J66" s="203"/>
      <c r="K66" s="412">
        <f>ROUND(H67/G67/L8*F67,0)</f>
        <v>0</v>
      </c>
      <c r="L66" s="69"/>
      <c r="M66" s="36"/>
      <c r="N66" s="70"/>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row>
    <row r="67" spans="1:253" s="13" customFormat="1" ht="18.75" customHeight="1" thickBot="1" x14ac:dyDescent="0.25">
      <c r="A67" s="187" t="str">
        <f>List!A96</f>
        <v>T1502</v>
      </c>
      <c r="B67" s="187" t="str">
        <f>List!B96</f>
        <v>T1502HBHGHF</v>
      </c>
      <c r="C67" s="187" t="str">
        <f>List!D96</f>
        <v>SA/OBT</v>
      </c>
      <c r="D67" s="187" t="str">
        <f>List!G96</f>
        <v>Office Based Opioid Treatment - Adult</v>
      </c>
      <c r="E67" s="23" t="str">
        <f>List!E96</f>
        <v>Dose</v>
      </c>
      <c r="F67" s="464">
        <f>List!F96</f>
        <v>365</v>
      </c>
      <c r="G67" s="441">
        <f>F67*J67</f>
        <v>13114.45</v>
      </c>
      <c r="H67" s="214"/>
      <c r="I67" s="72"/>
      <c r="J67" s="204">
        <f>List!C96</f>
        <v>35.93</v>
      </c>
      <c r="K67" s="413">
        <f>ROUND(H67/G67/L8*F67,0)</f>
        <v>0</v>
      </c>
      <c r="L67" s="38">
        <f>H67-H68-(K67*G74)</f>
        <v>0</v>
      </c>
      <c r="M67" s="230">
        <f>K67</f>
        <v>0</v>
      </c>
      <c r="N67" s="74"/>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row>
    <row r="68" spans="1:253" s="14" customFormat="1" ht="18" customHeight="1" thickBot="1" x14ac:dyDescent="0.25">
      <c r="A68" s="187" t="str">
        <f>List!A97</f>
        <v>J2315</v>
      </c>
      <c r="B68" s="187" t="str">
        <f>List!B97</f>
        <v>J2315HBHF</v>
      </c>
      <c r="C68" s="187" t="str">
        <f>List!D97</f>
        <v>SA/OBT</v>
      </c>
      <c r="D68" s="187" t="str">
        <f>List!G97</f>
        <v>Injection - Naltrexone Extended-Release -Adult</v>
      </c>
      <c r="E68" s="27" t="str">
        <f>List!E97</f>
        <v>Dose</v>
      </c>
      <c r="F68" s="465">
        <f>List!F97</f>
        <v>13</v>
      </c>
      <c r="G68" s="442">
        <f>J68*F68</f>
        <v>17440.28</v>
      </c>
      <c r="H68" s="215"/>
      <c r="I68" s="72"/>
      <c r="J68" s="204">
        <f>List!C97</f>
        <v>1341.56</v>
      </c>
      <c r="K68" s="413">
        <f>ROUND(L68/(G68+G69),0)</f>
        <v>0</v>
      </c>
      <c r="L68" s="38">
        <f>H68-(K69*G74)</f>
        <v>0</v>
      </c>
      <c r="M68" s="230">
        <f>K68</f>
        <v>0</v>
      </c>
      <c r="N68" s="74"/>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row>
    <row r="69" spans="1:253" s="13" customFormat="1" ht="18.75" customHeight="1" thickBot="1" x14ac:dyDescent="0.3">
      <c r="A69" s="187" t="str">
        <f>List!A98</f>
        <v>H0016</v>
      </c>
      <c r="B69" s="187" t="str">
        <f>List!B98</f>
        <v>H0016HBHF</v>
      </c>
      <c r="C69" s="187" t="str">
        <f>List!D98</f>
        <v>SA/OBT</v>
      </c>
      <c r="D69" s="187" t="str">
        <f>List!G98</f>
        <v>Medical Services - Naltrexone Extended-Release -Adult</v>
      </c>
      <c r="E69" s="27" t="str">
        <f>List!E98</f>
        <v>Event</v>
      </c>
      <c r="F69" s="466">
        <f>List!F98</f>
        <v>13</v>
      </c>
      <c r="G69" s="440">
        <f t="shared" ref="G69" si="4">F69*J69</f>
        <v>2500.6800000000003</v>
      </c>
      <c r="H69" s="216"/>
      <c r="I69" s="72"/>
      <c r="J69" s="246">
        <f>List!C98</f>
        <v>192.36</v>
      </c>
      <c r="K69" s="412">
        <f>ROUND(H68/(G68+G69),0)</f>
        <v>0</v>
      </c>
      <c r="L69" s="75"/>
      <c r="M69" s="36"/>
      <c r="N69" s="74"/>
      <c r="O69" s="16"/>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row>
    <row r="70" spans="1:253" s="13" customFormat="1" ht="18.75" customHeight="1" thickBot="1" x14ac:dyDescent="0.3">
      <c r="A70" s="221"/>
      <c r="B70" s="76"/>
      <c r="C70" s="76"/>
      <c r="D70" s="46" t="s">
        <v>47</v>
      </c>
      <c r="E70" s="76"/>
      <c r="F70" s="76"/>
      <c r="G70" s="222"/>
      <c r="H70" s="105"/>
      <c r="I70" s="72"/>
      <c r="J70" s="203"/>
      <c r="K70" s="414">
        <f>ROUND(H71/G71/L8*F71,0)</f>
        <v>0</v>
      </c>
      <c r="L70" s="75"/>
      <c r="M70" s="36"/>
      <c r="N70" s="74"/>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row>
    <row r="71" spans="1:253" s="13" customFormat="1" ht="18.75" customHeight="1" thickBot="1" x14ac:dyDescent="0.25">
      <c r="A71" s="187" t="str">
        <f>List!A100</f>
        <v>T1502</v>
      </c>
      <c r="B71" s="187" t="str">
        <f>List!B100</f>
        <v>T1502HBHDHGHF</v>
      </c>
      <c r="C71" s="187" t="str">
        <f>List!D100</f>
        <v>SA/OBT</v>
      </c>
      <c r="D71" s="187" t="str">
        <f>List!G100</f>
        <v>Office Based Opioid Treatment (Specialized Female)</v>
      </c>
      <c r="E71" s="23" t="str">
        <f>List!E100</f>
        <v>Dose</v>
      </c>
      <c r="F71" s="464">
        <f>List!F100</f>
        <v>365</v>
      </c>
      <c r="G71" s="441">
        <f>F71*J71</f>
        <v>13114.45</v>
      </c>
      <c r="H71" s="214"/>
      <c r="I71" s="72"/>
      <c r="J71" s="204">
        <f>List!C100</f>
        <v>35.93</v>
      </c>
      <c r="K71" s="213">
        <f>ROUND(H71/G71/L8*F71,0)</f>
        <v>0</v>
      </c>
      <c r="L71" s="247">
        <f>H71-H72-(K70*G74)</f>
        <v>0</v>
      </c>
      <c r="M71" s="230">
        <f>K71</f>
        <v>0</v>
      </c>
      <c r="N71" s="74"/>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row>
    <row r="72" spans="1:253" s="14" customFormat="1" ht="18.75" customHeight="1" thickBot="1" x14ac:dyDescent="0.25">
      <c r="A72" s="187" t="str">
        <f>List!A101</f>
        <v>J2315</v>
      </c>
      <c r="B72" s="187" t="str">
        <f>List!B101</f>
        <v>J2315HBHV</v>
      </c>
      <c r="C72" s="187" t="str">
        <f>List!D101</f>
        <v>SA/OBT</v>
      </c>
      <c r="D72" s="187" t="str">
        <f>List!G101</f>
        <v>Injection - Naltrexone Extended-Release -Specialized Female</v>
      </c>
      <c r="E72" s="27" t="str">
        <f>List!E101</f>
        <v>Dose</v>
      </c>
      <c r="F72" s="465">
        <f>List!F101</f>
        <v>13</v>
      </c>
      <c r="G72" s="442">
        <f>J72*F72</f>
        <v>17440.28</v>
      </c>
      <c r="H72" s="215"/>
      <c r="I72" s="72"/>
      <c r="J72" s="204">
        <f>List!C101</f>
        <v>1341.56</v>
      </c>
      <c r="K72" s="413">
        <f>ROUND(L72/(G72+G73),0)</f>
        <v>0</v>
      </c>
      <c r="L72" s="38">
        <f>H72-(K73*G74)</f>
        <v>0</v>
      </c>
      <c r="M72" s="230">
        <f>K72</f>
        <v>0</v>
      </c>
      <c r="N72" s="74"/>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row>
    <row r="73" spans="1:253" s="14" customFormat="1" ht="18.75" customHeight="1" thickBot="1" x14ac:dyDescent="0.25">
      <c r="A73" s="187" t="str">
        <f>List!A102</f>
        <v>H0016</v>
      </c>
      <c r="B73" s="187" t="str">
        <f>List!B102</f>
        <v>H0016HBHV</v>
      </c>
      <c r="C73" s="187" t="str">
        <f>List!D102</f>
        <v>SA/OBT</v>
      </c>
      <c r="D73" s="187" t="str">
        <f>List!G102</f>
        <v>Medical Services - Naltrexone Extended-Release -Specialized Female</v>
      </c>
      <c r="E73" s="27" t="str">
        <f>List!E102</f>
        <v>Event</v>
      </c>
      <c r="F73" s="465">
        <f>List!F102</f>
        <v>13</v>
      </c>
      <c r="G73" s="440">
        <f t="shared" ref="G73" si="5">F73*J73</f>
        <v>2500.6800000000003</v>
      </c>
      <c r="H73" s="216"/>
      <c r="I73" s="72"/>
      <c r="J73" s="246">
        <f>List!C102</f>
        <v>192.36</v>
      </c>
      <c r="K73" s="412">
        <f>ROUND(H72/(G72+G73),0)</f>
        <v>0</v>
      </c>
      <c r="L73" s="75"/>
      <c r="M73" s="36"/>
      <c r="N73" s="74"/>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row>
    <row r="74" spans="1:253" s="14" customFormat="1" ht="18.75" customHeight="1" thickBot="1" x14ac:dyDescent="0.25">
      <c r="A74" s="187" t="str">
        <f>List!A103</f>
        <v>H0002</v>
      </c>
      <c r="B74" s="187" t="str">
        <f>List!B103</f>
        <v>H0002HBHGHF</v>
      </c>
      <c r="C74" s="187" t="str">
        <f>List!D103</f>
        <v>SA/OBT</v>
      </c>
      <c r="D74" s="187" t="str">
        <f>List!G103</f>
        <v>GPRA Assessment (OBT)</v>
      </c>
      <c r="E74" s="468" t="str">
        <f>List!E103</f>
        <v>Event</v>
      </c>
      <c r="F74" s="467">
        <f>List!F103</f>
        <v>3</v>
      </c>
      <c r="G74" s="440">
        <f t="shared" ref="G74" si="6">F74*J74</f>
        <v>123</v>
      </c>
      <c r="H74" s="216"/>
      <c r="I74" s="72"/>
      <c r="J74" s="204">
        <f>List!C103</f>
        <v>41</v>
      </c>
      <c r="K74" s="412">
        <f>K66+K69+K70+K73</f>
        <v>0</v>
      </c>
      <c r="L74" s="415">
        <f>K74*G74</f>
        <v>0</v>
      </c>
      <c r="M74" s="36"/>
      <c r="N74" s="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row>
    <row r="75" spans="1:253" s="14" customFormat="1" ht="18.75" customHeight="1" thickBot="1" x14ac:dyDescent="0.3">
      <c r="A75" s="129"/>
      <c r="B75" s="130"/>
      <c r="C75" s="127"/>
      <c r="D75" s="127"/>
      <c r="E75" s="127"/>
      <c r="F75" s="127"/>
      <c r="G75" s="127" t="s">
        <v>48</v>
      </c>
      <c r="H75" s="122"/>
      <c r="I75" s="122"/>
      <c r="J75" s="123"/>
      <c r="K75" s="128"/>
      <c r="L75" s="231">
        <f>L67+L68+L71+L72+L74</f>
        <v>0</v>
      </c>
      <c r="M75" s="232"/>
      <c r="N75" s="233">
        <v>0</v>
      </c>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row>
    <row r="76" spans="1:253" s="14" customFormat="1" ht="18.75" customHeight="1" x14ac:dyDescent="0.2">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row>
    <row r="77" spans="1:253" s="14" customFormat="1" ht="18.75" customHeight="1" x14ac:dyDescent="0.2">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row>
    <row r="78" spans="1:253" s="14" customFormat="1" ht="18.75" customHeight="1" x14ac:dyDescent="0.2">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row>
    <row r="79" spans="1:253" s="14" customFormat="1" ht="18.75" customHeight="1" x14ac:dyDescent="0.2">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row>
    <row r="80" spans="1:253" s="14" customFormat="1" ht="18.75" customHeight="1" x14ac:dyDescent="0.2">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row>
    <row r="81" spans="3:252" s="14" customFormat="1" ht="18.75" customHeight="1" x14ac:dyDescent="0.2">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row>
    <row r="82" spans="3:252" s="14" customFormat="1" ht="18.75" customHeight="1" x14ac:dyDescent="0.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row>
    <row r="83" spans="3:252" s="14" customFormat="1" ht="18.75" customHeight="1" x14ac:dyDescent="0.2">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row>
    <row r="84" spans="3:252" s="14" customFormat="1" ht="18.75" customHeight="1" x14ac:dyDescent="0.2">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row>
    <row r="85" spans="3:252" s="14" customFormat="1" ht="18.75" customHeight="1" x14ac:dyDescent="0.2">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row>
    <row r="86" spans="3:252" s="14" customFormat="1" ht="18.75" customHeight="1" x14ac:dyDescent="0.2">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row>
    <row r="87" spans="3:252" s="14" customFormat="1" ht="18.75" customHeight="1" x14ac:dyDescent="0.25">
      <c r="C87" s="17"/>
      <c r="D87" s="17"/>
      <c r="E87" s="17"/>
      <c r="F87" s="17"/>
      <c r="G87" s="17"/>
      <c r="H87" s="17"/>
      <c r="I87" s="17"/>
      <c r="J87" s="17"/>
      <c r="K87" s="17"/>
      <c r="L87" s="17"/>
      <c r="M87" s="17"/>
      <c r="N87" s="1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row>
    <row r="88" spans="3:252" s="14" customFormat="1" ht="18.75" customHeight="1" x14ac:dyDescent="0.2">
      <c r="C88"/>
      <c r="D88"/>
      <c r="E88"/>
      <c r="F88"/>
      <c r="G88"/>
      <c r="H88"/>
      <c r="I88"/>
      <c r="J88"/>
      <c r="K88"/>
      <c r="L88"/>
      <c r="M88"/>
      <c r="N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row>
    <row r="89" spans="3:252" s="17" customFormat="1" ht="18.75" customHeight="1" x14ac:dyDescent="0.25">
      <c r="C89"/>
      <c r="D89"/>
      <c r="E89"/>
      <c r="F89"/>
      <c r="G89"/>
      <c r="H89"/>
      <c r="I89"/>
      <c r="J89"/>
      <c r="K89"/>
      <c r="L89"/>
      <c r="M89"/>
      <c r="N89"/>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row>
    <row r="90" spans="3:252" ht="18.75" customHeight="1" x14ac:dyDescent="0.2"/>
    <row r="91" spans="3:252" ht="18.75" customHeight="1" x14ac:dyDescent="0.2"/>
    <row r="92" spans="3:252" ht="18.75" customHeight="1" x14ac:dyDescent="0.2"/>
    <row r="93" spans="3:252" ht="18.75" customHeight="1" x14ac:dyDescent="0.2"/>
    <row r="94" spans="3:252" ht="18.75" customHeight="1" x14ac:dyDescent="0.2">
      <c r="C94" s="14"/>
      <c r="D94" s="14"/>
      <c r="E94" s="14"/>
      <c r="F94" s="14"/>
      <c r="G94" s="14"/>
      <c r="H94" s="14"/>
      <c r="I94" s="14"/>
      <c r="J94" s="14"/>
      <c r="K94" s="14"/>
      <c r="L94" s="14"/>
      <c r="M94" s="14"/>
      <c r="N94" s="14"/>
    </row>
    <row r="95" spans="3:252" ht="18.75" customHeight="1" x14ac:dyDescent="0.2">
      <c r="C95" s="14"/>
      <c r="D95" s="14"/>
      <c r="E95" s="14"/>
      <c r="F95" s="14"/>
      <c r="G95" s="14"/>
      <c r="H95" s="14"/>
      <c r="I95" s="14"/>
      <c r="J95" s="14"/>
      <c r="K95" s="14"/>
      <c r="L95" s="14"/>
      <c r="M95" s="14"/>
      <c r="N95" s="14"/>
    </row>
    <row r="96" spans="3:252" s="14" customFormat="1" ht="18.75" customHeight="1" x14ac:dyDescent="0.2">
      <c r="C96"/>
      <c r="D96"/>
      <c r="E96"/>
      <c r="F96"/>
      <c r="G96"/>
      <c r="H96"/>
      <c r="I96"/>
      <c r="J96"/>
      <c r="K96"/>
      <c r="L96"/>
      <c r="M96"/>
      <c r="N96"/>
    </row>
    <row r="97" spans="3:14" s="14" customFormat="1" ht="18.75" customHeight="1" x14ac:dyDescent="0.2">
      <c r="C97"/>
      <c r="D97"/>
      <c r="E97"/>
      <c r="F97"/>
      <c r="G97"/>
      <c r="H97"/>
      <c r="I97"/>
      <c r="J97"/>
      <c r="K97"/>
      <c r="L97"/>
      <c r="M97"/>
      <c r="N97"/>
    </row>
    <row r="98" spans="3:14" ht="18.75" customHeight="1" x14ac:dyDescent="0.2"/>
    <row r="99" spans="3:14" x14ac:dyDescent="0.2"/>
    <row r="100" spans="3:14" x14ac:dyDescent="0.2"/>
    <row r="101" spans="3:14" x14ac:dyDescent="0.2"/>
    <row r="142" spans="3:3" hidden="1" x14ac:dyDescent="0.2">
      <c r="C142" t="s">
        <v>36</v>
      </c>
    </row>
    <row r="143" spans="3:3" hidden="1" x14ac:dyDescent="0.2">
      <c r="C143">
        <v>1</v>
      </c>
    </row>
    <row r="144" spans="3:3" hidden="1" x14ac:dyDescent="0.2">
      <c r="C144">
        <v>2</v>
      </c>
    </row>
    <row r="145" spans="3:3" hidden="1" x14ac:dyDescent="0.2">
      <c r="C145">
        <v>3</v>
      </c>
    </row>
    <row r="146" spans="3:3" hidden="1" x14ac:dyDescent="0.2">
      <c r="C146">
        <v>4</v>
      </c>
    </row>
    <row r="147" spans="3:3" hidden="1" x14ac:dyDescent="0.2">
      <c r="C147">
        <v>5</v>
      </c>
    </row>
    <row r="148" spans="3:3" hidden="1" x14ac:dyDescent="0.2">
      <c r="C148">
        <v>6</v>
      </c>
    </row>
    <row r="149" spans="3:3" hidden="1" x14ac:dyDescent="0.2">
      <c r="C149">
        <v>7</v>
      </c>
    </row>
    <row r="150" spans="3:3" hidden="1" x14ac:dyDescent="0.2">
      <c r="C150">
        <v>8</v>
      </c>
    </row>
    <row r="151" spans="3:3" hidden="1" x14ac:dyDescent="0.2">
      <c r="C151">
        <v>9</v>
      </c>
    </row>
    <row r="152" spans="3:3" hidden="1" x14ac:dyDescent="0.2">
      <c r="C152">
        <v>10</v>
      </c>
    </row>
    <row r="153" spans="3:3" hidden="1" x14ac:dyDescent="0.2">
      <c r="C153">
        <v>11</v>
      </c>
    </row>
    <row r="156" spans="3:3" x14ac:dyDescent="0.2"/>
    <row r="157" spans="3:3" x14ac:dyDescent="0.2"/>
    <row r="158" spans="3:3" x14ac:dyDescent="0.2"/>
    <row r="159" spans="3:3" x14ac:dyDescent="0.2"/>
    <row r="160" spans="3:3" x14ac:dyDescent="0.2"/>
    <row r="161" x14ac:dyDescent="0.2"/>
    <row r="162" x14ac:dyDescent="0.2"/>
    <row r="163" x14ac:dyDescent="0.2"/>
    <row r="164" x14ac:dyDescent="0.2"/>
    <row r="165" x14ac:dyDescent="0.2"/>
  </sheetData>
  <sheetProtection algorithmName="SHA-512" hashValue="fcMst6Le123aCkw59hamMYzrGCuAjPndaeEJi0HHW+VCA1C9VqwbdI/yCnWEDuR65M9KM3yoziqVKUpv8xGY+A==" saltValue="6D+zgP9bwOLpEUJmpszNZg==" spinCount="100000" sheet="1" selectLockedCells="1"/>
  <mergeCells count="1">
    <mergeCell ref="C3:D3"/>
  </mergeCells>
  <phoneticPr fontId="6" type="noConversion"/>
  <dataValidations xWindow="1566" yWindow="231" count="12">
    <dataValidation type="list" allowBlank="1" showInputMessage="1" showErrorMessage="1" sqref="L6 L4" xr:uid="{58CC3994-64EE-48CD-8C78-2706878180D8}">
      <formula1>$D$249:$D$257</formula1>
    </dataValidation>
    <dataValidation type="list" allowBlank="1" showInputMessage="1" showErrorMessage="1" sqref="F5:F6" xr:uid="{0F3472B4-5751-4D75-9EA1-64D1F122B452}">
      <formula1>#REF!</formula1>
    </dataValidation>
    <dataValidation allowBlank="1" showInputMessage="1" showErrorMessage="1" prompt="Contractor:" sqref="C3:D3" xr:uid="{9245A11E-14E3-4B1A-9087-9ABE0494C8FE}"/>
    <dataValidation allowBlank="1" showInputMessage="1" showErrorMessage="1" prompt="Contract start date:" sqref="G3" xr:uid="{7D97509D-FBEF-4B28-9E5C-FA8E62621DBC}"/>
    <dataValidation allowBlank="1" showInputMessage="1" showErrorMessage="1" prompt="Contract end date:" sqref="G4" xr:uid="{EE2560A0-8759-4AE3-AAAB-CA9C02F1D0B3}"/>
    <dataValidation allowBlank="1" showInputMessage="1" showErrorMessage="1" prompt="Required Match:" sqref="J5" xr:uid="{EB65BC6A-F530-46F7-B9CF-C7591B1F77DE}"/>
    <dataValidation allowBlank="1" showInputMessage="1" showErrorMessage="1" prompt="Subs Abuse-NAS-OTS Award Amount:" sqref="H12" xr:uid="{3360D913-1C95-4D6F-B026-166BA10ECBBC}"/>
    <dataValidation allowBlank="1" showInputMessage="1" showErrorMessage="1" prompt="Opioid Treatment Services Award Amount:" sqref="H38" xr:uid="{BA33946A-0993-4E08-8805-F8DFE9AE2AC7}"/>
    <dataValidation allowBlank="1" showInputMessage="1" showErrorMessage="1" prompt="Adult Buprenophine - Day Rate Award Amount:" sqref="H67" xr:uid="{F5BBC70A-B995-43E7-B0E3-E04CF3DECC1F}"/>
    <dataValidation allowBlank="1" showInputMessage="1" showErrorMessage="1" prompt="Specialized Female Buprenophine - Day Rate Award Amount:" sqref="H71" xr:uid="{725655C9-E59B-4C1A-9722-0ED59A4E9B3B}"/>
    <dataValidation allowBlank="1" showInputMessage="1" showErrorMessage="1" prompt="Specialized Female Injection, Naltrexone Extended-Release Award Amount:" sqref="H72" xr:uid="{A17B12A4-46CE-466D-AA45-D82DBF56B18A}"/>
    <dataValidation allowBlank="1" showInputMessage="1" showErrorMessage="1" prompt="Adult Injection, Naltrexone Extended-Release Award Amount:" sqref="H68" xr:uid="{9943982E-E577-4615-A611-5BD2370EF463}"/>
  </dataValidations>
  <pageMargins left="0.75" right="0.75" top="1" bottom="1" header="0.5" footer="0.5"/>
  <pageSetup scale="56" fitToHeight="0" orientation="landscape" r:id="rId1"/>
  <headerFooter alignWithMargins="0"/>
  <ignoredErrors>
    <ignoredError sqref="H17 H30 H43 H57" unlockedFormula="1"/>
    <ignoredError sqref="L39 H64" evalError="1"/>
  </ignoredErrors>
  <legacyDrawing r:id="rId2"/>
  <extLst>
    <ext xmlns:x14="http://schemas.microsoft.com/office/spreadsheetml/2009/9/main" uri="{CCE6A557-97BC-4b89-ADB6-D9C93CAAB3DF}">
      <x14:dataValidations xmlns:xm="http://schemas.microsoft.com/office/excel/2006/main" xWindow="1566" yWindow="231" count="1">
        <x14:dataValidation type="list" allowBlank="1" showInputMessage="1" showErrorMessage="1" prompt="Region:" xr:uid="{B8CE6292-FD9D-47C0-A653-30AF42796557}">
          <x14:formula1>
            <xm:f>Version!$A$180:$A$192</xm:f>
          </x14:formula1>
          <xm:sqref>J3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25"/>
  <sheetViews>
    <sheetView zoomScaleNormal="100" workbookViewId="0">
      <selection activeCell="H22" sqref="H22"/>
    </sheetView>
  </sheetViews>
  <sheetFormatPr defaultColWidth="9.140625" defaultRowHeight="12.75" x14ac:dyDescent="0.2"/>
  <cols>
    <col min="1" max="1" width="16.42578125" bestFit="1" customWidth="1"/>
    <col min="2" max="2" width="16.5703125" bestFit="1" customWidth="1"/>
    <col min="3" max="3" width="12.85546875" customWidth="1"/>
    <col min="4" max="4" width="70" customWidth="1"/>
    <col min="5" max="7" width="13.140625" customWidth="1"/>
    <col min="8" max="8" width="16.140625" customWidth="1"/>
    <col min="9" max="9" width="12" customWidth="1"/>
    <col min="12" max="12" width="15.42578125" customWidth="1"/>
    <col min="14" max="14" width="11.5703125" customWidth="1"/>
  </cols>
  <sheetData>
    <row r="1" spans="1:50" ht="15.75" x14ac:dyDescent="0.25">
      <c r="A1" s="53" t="s">
        <v>0</v>
      </c>
      <c r="B1" s="53"/>
      <c r="K1" s="5"/>
      <c r="M1" s="79" t="s">
        <v>49</v>
      </c>
      <c r="N1" s="482">
        <f>Version!D1</f>
        <v>45282</v>
      </c>
    </row>
    <row r="2" spans="1:50" ht="15.75" x14ac:dyDescent="0.25">
      <c r="A2" s="53"/>
      <c r="B2" s="53"/>
      <c r="K2" s="5"/>
      <c r="N2" s="6"/>
    </row>
    <row r="3" spans="1:50" ht="16.5" thickBot="1" x14ac:dyDescent="0.3">
      <c r="A3" s="9"/>
      <c r="B3" s="54" t="s">
        <v>2</v>
      </c>
      <c r="C3" s="775"/>
      <c r="D3" s="775"/>
      <c r="F3" s="54" t="s">
        <v>3</v>
      </c>
      <c r="G3" s="31">
        <v>45170</v>
      </c>
      <c r="H3" s="19"/>
      <c r="I3" s="54" t="s">
        <v>4</v>
      </c>
      <c r="J3" s="32"/>
      <c r="K3" s="5"/>
    </row>
    <row r="4" spans="1:50" ht="16.5" thickBot="1" x14ac:dyDescent="0.3">
      <c r="C4" s="8"/>
      <c r="F4" s="54" t="s">
        <v>5</v>
      </c>
      <c r="G4" s="31">
        <v>45535</v>
      </c>
      <c r="I4" s="13"/>
      <c r="J4" s="19"/>
      <c r="K4" s="55"/>
      <c r="L4" s="56"/>
      <c r="M4" s="5"/>
      <c r="N4" s="528"/>
    </row>
    <row r="5" spans="1:50" ht="16.5" thickBot="1" x14ac:dyDescent="0.3">
      <c r="B5" s="175" t="str">
        <f>'TRA TRF TRY COPSD'!B5</f>
        <v>Results on this worksheet are for estimations.</v>
      </c>
      <c r="C5" s="167"/>
      <c r="D5" s="168"/>
      <c r="E5" s="6"/>
      <c r="F5" s="9"/>
      <c r="G5" s="57"/>
      <c r="H5" s="58"/>
      <c r="I5" s="54" t="s">
        <v>7</v>
      </c>
      <c r="J5" s="33">
        <v>0.05</v>
      </c>
      <c r="M5" s="5"/>
      <c r="N5" s="528"/>
    </row>
    <row r="6" spans="1:50" ht="13.5" thickBot="1" x14ac:dyDescent="0.25">
      <c r="B6" s="177" t="str">
        <f>'TRA TRF TRY COPSD'!B6</f>
        <v xml:space="preserve">Business decisions should be made utilizing professional/expert advice. </v>
      </c>
      <c r="C6" s="170"/>
      <c r="D6" s="171"/>
      <c r="E6" s="6"/>
      <c r="F6" s="9"/>
      <c r="G6" s="6"/>
      <c r="H6" s="9"/>
      <c r="J6" s="7"/>
      <c r="K6" s="10"/>
      <c r="L6" s="11"/>
      <c r="M6" s="5"/>
      <c r="N6" s="528"/>
    </row>
    <row r="7" spans="1:50" ht="18.75" customHeight="1" thickBot="1" x14ac:dyDescent="0.3">
      <c r="B7" s="179" t="str">
        <f>'TRA TRF TRY COPSD'!B7</f>
        <v>HHSC is not responsible for business decisions made utilizing these worksheets.</v>
      </c>
      <c r="C7" s="173"/>
      <c r="D7" s="182"/>
      <c r="E7" s="7"/>
      <c r="G7" s="7"/>
      <c r="J7" s="7"/>
      <c r="K7" s="142" t="s">
        <v>10</v>
      </c>
      <c r="L7" s="400">
        <f>(G4-G3)</f>
        <v>365</v>
      </c>
      <c r="M7" s="61">
        <f>ROUND(L7/30,0)</f>
        <v>12</v>
      </c>
    </row>
    <row r="8" spans="1:50" ht="30.75" thickBot="1" x14ac:dyDescent="0.3">
      <c r="E8" s="7"/>
      <c r="G8" s="7"/>
      <c r="H8" s="12" t="s">
        <v>11</v>
      </c>
      <c r="I8" s="47"/>
      <c r="J8" s="405" t="s">
        <v>12</v>
      </c>
      <c r="K8" s="396"/>
      <c r="M8" s="5"/>
      <c r="N8" s="10"/>
    </row>
    <row r="9" spans="1:50" ht="39" customHeight="1" thickBot="1" x14ac:dyDescent="0.25">
      <c r="A9" s="111" t="s">
        <v>13</v>
      </c>
      <c r="B9" s="112" t="s">
        <v>14</v>
      </c>
      <c r="C9" s="116" t="s">
        <v>15</v>
      </c>
      <c r="D9" s="115" t="s">
        <v>50</v>
      </c>
      <c r="E9" s="116" t="s">
        <v>17</v>
      </c>
      <c r="F9" s="116" t="s">
        <v>18</v>
      </c>
      <c r="G9" s="117" t="s">
        <v>19</v>
      </c>
      <c r="H9" s="3" t="s">
        <v>20</v>
      </c>
      <c r="I9" s="134" t="s">
        <v>51</v>
      </c>
      <c r="J9" s="96" t="s">
        <v>22</v>
      </c>
      <c r="K9" s="97" t="s">
        <v>23</v>
      </c>
      <c r="L9" s="98" t="s">
        <v>24</v>
      </c>
      <c r="M9" s="96" t="s">
        <v>25</v>
      </c>
      <c r="N9" s="133" t="s">
        <v>26</v>
      </c>
      <c r="AX9" s="7">
        <v>5</v>
      </c>
    </row>
    <row r="10" spans="1:50" ht="14.25" customHeight="1" thickBot="1" x14ac:dyDescent="0.25">
      <c r="A10" s="253"/>
      <c r="B10" s="254"/>
      <c r="C10" s="255"/>
      <c r="D10" s="255" t="s">
        <v>52</v>
      </c>
      <c r="E10" s="255"/>
      <c r="F10" s="255"/>
      <c r="G10" s="256"/>
      <c r="H10" s="86"/>
      <c r="I10" s="86"/>
      <c r="J10" s="86"/>
      <c r="K10" s="86"/>
      <c r="L10" s="86"/>
      <c r="M10" s="86"/>
      <c r="N10" s="87"/>
      <c r="AX10" s="7"/>
    </row>
    <row r="11" spans="1:50" s="60" customFormat="1" ht="14.25" customHeight="1" thickBot="1" x14ac:dyDescent="0.3">
      <c r="A11" s="637"/>
      <c r="B11" s="76"/>
      <c r="C11" s="638"/>
      <c r="D11" s="78" t="s">
        <v>53</v>
      </c>
      <c r="E11" s="45"/>
      <c r="F11" s="45"/>
      <c r="G11" s="257"/>
      <c r="H11" s="252"/>
      <c r="I11" s="67"/>
      <c r="J11" s="203"/>
      <c r="K11" s="68"/>
      <c r="L11" s="247" t="str">
        <f>IF(SUM(H12:H13)&gt;0,SUM(H12:H13),"0")</f>
        <v>0</v>
      </c>
      <c r="M11" s="617"/>
      <c r="N11" s="70"/>
      <c r="O11" s="59"/>
    </row>
    <row r="12" spans="1:50" s="14" customFormat="1" ht="14.25" customHeight="1" thickBot="1" x14ac:dyDescent="0.25">
      <c r="A12" s="373" t="str">
        <f>List!A109</f>
        <v>H2036</v>
      </c>
      <c r="B12" s="26" t="str">
        <f>List!B109</f>
        <v>H2036HBHDTGHV</v>
      </c>
      <c r="C12" s="376" t="str">
        <f>List!D109</f>
        <v>SA/NAS-PPW</v>
      </c>
      <c r="D12" s="26" t="str">
        <f>List!G109</f>
        <v>Pregnant Post Partum Intensive Residential</v>
      </c>
      <c r="E12" s="384" t="str">
        <f>List!E109</f>
        <v>Day</v>
      </c>
      <c r="F12" s="384">
        <f>List!F109</f>
        <v>30</v>
      </c>
      <c r="G12" s="639">
        <f>J12*F12</f>
        <v>5823.6</v>
      </c>
      <c r="H12" s="640"/>
      <c r="I12" s="641"/>
      <c r="J12" s="642">
        <f>List!C109</f>
        <v>194.12</v>
      </c>
      <c r="K12" s="643">
        <f>ROUND(H12/G12,0)</f>
        <v>0</v>
      </c>
      <c r="L12" s="39"/>
      <c r="M12" s="237">
        <f>ROUND(((K12/L7)*F12),0)</f>
        <v>0</v>
      </c>
      <c r="N12" s="644"/>
    </row>
    <row r="13" spans="1:50" s="14" customFormat="1" ht="14.25" customHeight="1" thickBot="1" x14ac:dyDescent="0.25">
      <c r="A13" s="373" t="str">
        <f>List!A110</f>
        <v>H2035</v>
      </c>
      <c r="B13" s="374" t="str">
        <f>List!B110</f>
        <v>H2035HBHGHDHT</v>
      </c>
      <c r="C13" s="376" t="str">
        <f>List!D110</f>
        <v>SA/NAS-PPW</v>
      </c>
      <c r="D13" s="374" t="str">
        <f>List!G110</f>
        <v>Pregnant Post Partum Outpatient - Individual</v>
      </c>
      <c r="E13" s="384" t="str">
        <f>List!E110</f>
        <v>Hour</v>
      </c>
      <c r="F13" s="384">
        <f>List!F110</f>
        <v>9</v>
      </c>
      <c r="G13" s="639">
        <f t="shared" ref="G13:G14" si="0">J13*F13</f>
        <v>1512.09</v>
      </c>
      <c r="H13" s="645"/>
      <c r="I13" s="641"/>
      <c r="J13" s="646">
        <f>List!C110</f>
        <v>168.01</v>
      </c>
      <c r="K13" s="37">
        <f>ROUND(H13/(G13+G14+G15),0)</f>
        <v>0</v>
      </c>
      <c r="L13" s="39"/>
      <c r="M13" s="237">
        <f>ROUND(((K13/L7)*F13),0)</f>
        <v>0</v>
      </c>
      <c r="N13" s="644"/>
    </row>
    <row r="14" spans="1:50" s="14" customFormat="1" ht="14.25" customHeight="1" thickBot="1" x14ac:dyDescent="0.25">
      <c r="A14" s="373" t="str">
        <f>List!A111</f>
        <v>H0005</v>
      </c>
      <c r="B14" s="374" t="str">
        <f>List!B111</f>
        <v>H0005HBHGHDHT</v>
      </c>
      <c r="C14" s="376" t="str">
        <f>List!D111</f>
        <v>SA/NAS-PPW</v>
      </c>
      <c r="D14" s="374" t="str">
        <f>List!G111</f>
        <v>Pregnant Post Partum Outpatient - Group Counseling</v>
      </c>
      <c r="E14" s="384" t="str">
        <f>List!E111</f>
        <v>Hour</v>
      </c>
      <c r="F14" s="384">
        <f>List!F111</f>
        <v>10</v>
      </c>
      <c r="G14" s="639">
        <f t="shared" si="0"/>
        <v>408.40000000000003</v>
      </c>
      <c r="H14" s="67"/>
      <c r="I14" s="532"/>
      <c r="J14" s="642">
        <f>List!C111</f>
        <v>40.840000000000003</v>
      </c>
      <c r="K14" s="68"/>
      <c r="L14" s="39"/>
      <c r="M14" s="225"/>
      <c r="N14" s="74"/>
    </row>
    <row r="15" spans="1:50" s="14" customFormat="1" ht="14.25" customHeight="1" thickBot="1" x14ac:dyDescent="0.25">
      <c r="A15" s="373" t="str">
        <f>List!A112</f>
        <v>T1012</v>
      </c>
      <c r="B15" s="374" t="str">
        <f>List!B112</f>
        <v>T1012HBHDHQHT</v>
      </c>
      <c r="C15" s="376" t="str">
        <f>List!D112</f>
        <v>SA/NAS-PPW</v>
      </c>
      <c r="D15" s="374" t="str">
        <f>List!G112</f>
        <v>Pregnant Post Partum Outpatient - Group Education</v>
      </c>
      <c r="E15" s="384" t="str">
        <f>List!E112</f>
        <v>Hour</v>
      </c>
      <c r="F15" s="384">
        <f>List!F112</f>
        <v>32</v>
      </c>
      <c r="G15" s="639">
        <f>J15*F15</f>
        <v>569.28</v>
      </c>
      <c r="H15" s="216"/>
      <c r="I15" s="602"/>
      <c r="J15" s="642">
        <f>List!C112</f>
        <v>17.79</v>
      </c>
      <c r="K15" s="547"/>
      <c r="L15" s="548"/>
      <c r="M15" s="239"/>
      <c r="N15" s="74"/>
    </row>
    <row r="16" spans="1:50" s="14" customFormat="1" ht="14.25" customHeight="1" thickBot="1" x14ac:dyDescent="0.25">
      <c r="A16" s="637"/>
      <c r="B16" s="76"/>
      <c r="C16" s="638"/>
      <c r="D16" s="78" t="s">
        <v>54</v>
      </c>
      <c r="E16" s="76"/>
      <c r="F16" s="76"/>
      <c r="G16" s="222"/>
      <c r="H16" s="252"/>
      <c r="I16" s="67"/>
      <c r="J16" s="203"/>
      <c r="K16" s="68"/>
      <c r="L16" s="247" t="str">
        <f>IF(SUM(H17:H17)&gt;0,SUM(H17:H17),"0")</f>
        <v>0</v>
      </c>
      <c r="M16" s="238"/>
      <c r="N16" s="74"/>
    </row>
    <row r="17" spans="1:19" s="14" customFormat="1" ht="14.25" customHeight="1" thickBot="1" x14ac:dyDescent="0.25">
      <c r="A17" s="401" t="str">
        <f>List!A114</f>
        <v>H2036</v>
      </c>
      <c r="B17" s="404" t="str">
        <f>List!B114</f>
        <v>H2036HDTGHT</v>
      </c>
      <c r="C17" s="402" t="str">
        <f>List!D114</f>
        <v>SA/NAS-PPW</v>
      </c>
      <c r="D17" s="404" t="str">
        <f>List!G114</f>
        <v>Pregnant Post Partum Women and Children Intensive Residential</v>
      </c>
      <c r="E17" s="403" t="str">
        <f>List!E114</f>
        <v>Day</v>
      </c>
      <c r="F17" s="403">
        <f>List!F114</f>
        <v>45</v>
      </c>
      <c r="G17" s="647">
        <f>J17*F17</f>
        <v>10509.3</v>
      </c>
      <c r="H17" s="214"/>
      <c r="I17" s="641"/>
      <c r="J17" s="642">
        <f>List!C114</f>
        <v>233.54</v>
      </c>
      <c r="K17" s="648">
        <f>ROUND(H17/G17,0)</f>
        <v>0</v>
      </c>
      <c r="L17" s="39"/>
      <c r="M17" s="237">
        <f>ROUND(((K17/L7)*F17),0)</f>
        <v>0</v>
      </c>
      <c r="N17" s="644"/>
    </row>
    <row r="18" spans="1:19" s="14" customFormat="1" ht="14.25" customHeight="1" thickBot="1" x14ac:dyDescent="0.25">
      <c r="A18" s="401" t="str">
        <f>List!A115</f>
        <v>H2022</v>
      </c>
      <c r="B18" s="351" t="str">
        <f>List!B115</f>
        <v>H2022HBHDTGHT</v>
      </c>
      <c r="C18" s="402" t="str">
        <f>List!D115</f>
        <v>SA/NAS-PPW</v>
      </c>
      <c r="D18" s="351" t="str">
        <f>List!G115</f>
        <v>Pregnant Post Partum W/C Residential Wraparound Services-LESS THAN 21</v>
      </c>
      <c r="E18" s="403" t="str">
        <f>List!E115</f>
        <v>Day</v>
      </c>
      <c r="F18" s="403">
        <f>List!F115</f>
        <v>35</v>
      </c>
      <c r="G18" s="647">
        <f t="shared" ref="G18:G19" si="1">J18*F18</f>
        <v>1904.35</v>
      </c>
      <c r="H18" s="216"/>
      <c r="I18" s="532"/>
      <c r="J18" s="642">
        <f>List!C115</f>
        <v>54.41</v>
      </c>
      <c r="K18" s="547"/>
      <c r="L18" s="548"/>
      <c r="M18" s="225"/>
      <c r="N18" s="74"/>
    </row>
    <row r="19" spans="1:19" s="14" customFormat="1" ht="14.25" customHeight="1" thickBot="1" x14ac:dyDescent="0.25">
      <c r="A19" s="401" t="str">
        <f>List!A116</f>
        <v>H2022</v>
      </c>
      <c r="B19" s="351" t="str">
        <f>List!B116</f>
        <v>H2022HBHDHT</v>
      </c>
      <c r="C19" s="402" t="str">
        <f>List!D116</f>
        <v>SA/NAS-PPW</v>
      </c>
      <c r="D19" s="351" t="str">
        <f>List!G116</f>
        <v>Pregnant Post Partum W/C Residential Wraparound Services- 21 and OVER</v>
      </c>
      <c r="E19" s="403" t="str">
        <f>List!E116</f>
        <v>Day</v>
      </c>
      <c r="F19" s="403">
        <f>List!F116</f>
        <v>35</v>
      </c>
      <c r="G19" s="649">
        <f t="shared" si="1"/>
        <v>3772.3</v>
      </c>
      <c r="H19" s="216"/>
      <c r="I19" s="532"/>
      <c r="J19" s="642">
        <f>List!C116</f>
        <v>107.78</v>
      </c>
      <c r="K19" s="547"/>
      <c r="L19" s="548"/>
      <c r="M19" s="225"/>
      <c r="N19" s="74"/>
    </row>
    <row r="20" spans="1:19" s="14" customFormat="1" ht="14.25" customHeight="1" thickBot="1" x14ac:dyDescent="0.25">
      <c r="A20" s="416"/>
      <c r="B20" s="417"/>
      <c r="C20" s="650"/>
      <c r="D20" s="95" t="s">
        <v>55</v>
      </c>
      <c r="E20" s="417"/>
      <c r="F20" s="417"/>
      <c r="G20" s="419"/>
      <c r="H20" s="252"/>
      <c r="I20" s="67"/>
      <c r="J20" s="651"/>
      <c r="K20" s="68"/>
      <c r="L20" s="247" t="str">
        <f>IF(SUM(H21:H22)&gt;0,SUM(H21:H22),"0")</f>
        <v>0</v>
      </c>
      <c r="M20" s="652"/>
      <c r="N20" s="74"/>
    </row>
    <row r="21" spans="1:19" s="14" customFormat="1" ht="14.25" customHeight="1" thickBot="1" x14ac:dyDescent="0.25">
      <c r="A21" s="373" t="str">
        <f>List!A106</f>
        <v>H0012</v>
      </c>
      <c r="B21" s="26" t="str">
        <f>List!B106</f>
        <v>H0012HBHDHT</v>
      </c>
      <c r="C21" s="376" t="str">
        <f>List!D106</f>
        <v>SA/NAS-PPW</v>
      </c>
      <c r="D21" s="26" t="str">
        <f>List!G106</f>
        <v>Pregnant Post Partum Ambulatory Detoxification</v>
      </c>
      <c r="E21" s="384" t="str">
        <f>List!E106</f>
        <v>Day</v>
      </c>
      <c r="F21" s="384">
        <f>List!F106</f>
        <v>6</v>
      </c>
      <c r="G21" s="653">
        <f>J21*F21</f>
        <v>533.70000000000005</v>
      </c>
      <c r="H21" s="640"/>
      <c r="I21" s="641"/>
      <c r="J21" s="642">
        <f>List!C106</f>
        <v>88.95</v>
      </c>
      <c r="K21" s="654">
        <f>ROUND(H21/G21,0)</f>
        <v>0</v>
      </c>
      <c r="L21" s="39"/>
      <c r="M21" s="237">
        <f>ROUND(((K21/L7)*F21),0)</f>
        <v>0</v>
      </c>
      <c r="N21" s="644"/>
    </row>
    <row r="22" spans="1:19" s="14" customFormat="1" ht="14.25" customHeight="1" thickBot="1" x14ac:dyDescent="0.25">
      <c r="A22" s="373" t="str">
        <f>List!A107</f>
        <v>H0010</v>
      </c>
      <c r="B22" s="374" t="str">
        <f>List!B107</f>
        <v>H0010HBHDHT</v>
      </c>
      <c r="C22" s="376" t="str">
        <f>List!D107</f>
        <v>SA/NAS-PPW</v>
      </c>
      <c r="D22" s="374" t="str">
        <f>List!G107</f>
        <v>Pregnant Post Partum Residential Detoxification</v>
      </c>
      <c r="E22" s="384" t="str">
        <f>List!E107</f>
        <v>Day</v>
      </c>
      <c r="F22" s="384">
        <f>List!F107</f>
        <v>5</v>
      </c>
      <c r="G22" s="481">
        <f>J22*F22</f>
        <v>1193.75</v>
      </c>
      <c r="H22" s="645"/>
      <c r="I22" s="641"/>
      <c r="J22" s="642">
        <f>List!C107</f>
        <v>238.75</v>
      </c>
      <c r="K22" s="655">
        <f>ROUND(H22/G22,0)</f>
        <v>0</v>
      </c>
      <c r="L22" s="39"/>
      <c r="M22" s="237">
        <f>ROUND(((K22/L7)*F22),0)</f>
        <v>0</v>
      </c>
      <c r="N22" s="644"/>
    </row>
    <row r="23" spans="1:19" s="14" customFormat="1" ht="14.25" customHeight="1" thickBot="1" x14ac:dyDescent="0.3">
      <c r="A23" s="111"/>
      <c r="B23" s="119"/>
      <c r="C23" s="119"/>
      <c r="D23" s="119"/>
      <c r="E23" s="119"/>
      <c r="F23" s="119"/>
      <c r="G23" s="119"/>
      <c r="H23" s="119" t="s">
        <v>56</v>
      </c>
      <c r="I23" s="656"/>
      <c r="J23" s="657"/>
      <c r="K23" s="658"/>
      <c r="L23" s="235">
        <f>SUM(L11:L20)</f>
        <v>0</v>
      </c>
      <c r="M23" s="121"/>
      <c r="N23" s="236">
        <f>ROUND(L23*J5,0)</f>
        <v>0</v>
      </c>
      <c r="O23" s="59"/>
    </row>
    <row r="24" spans="1:19" s="14" customFormat="1" ht="14.25" customHeight="1" x14ac:dyDescent="0.25">
      <c r="A24"/>
      <c r="B24"/>
      <c r="C24"/>
      <c r="D24"/>
      <c r="E24"/>
      <c r="F24"/>
      <c r="G24"/>
      <c r="H24"/>
      <c r="I24"/>
      <c r="J24"/>
      <c r="K24"/>
      <c r="L24"/>
      <c r="M24"/>
      <c r="N24"/>
      <c r="O24" s="59"/>
    </row>
    <row r="25" spans="1:19" s="60" customFormat="1" ht="15.75" x14ac:dyDescent="0.25">
      <c r="A25"/>
      <c r="B25"/>
      <c r="C25"/>
      <c r="D25"/>
      <c r="E25"/>
      <c r="F25"/>
      <c r="G25"/>
      <c r="H25"/>
      <c r="I25"/>
      <c r="J25"/>
      <c r="K25"/>
      <c r="L25"/>
      <c r="M25"/>
      <c r="N25"/>
      <c r="O25" s="59"/>
      <c r="P25" s="14"/>
      <c r="Q25" s="14"/>
      <c r="R25" s="14"/>
      <c r="S25" s="14"/>
    </row>
  </sheetData>
  <sheetProtection algorithmName="SHA-512" hashValue="tNVkNwXSEYfqaYMcsgHGOkjoD3wT/pwkINX796LZy3drorvFj4+DltUiuHdplZ0Pnu8gFQfEOzWLQDwvh+DpFA==" saltValue="vE4+v7ZrpfNkWlOlAB+vTQ==" spinCount="100000" sheet="1" selectLockedCells="1"/>
  <mergeCells count="1">
    <mergeCell ref="C3:D3"/>
  </mergeCells>
  <dataValidations xWindow="80" yWindow="283" count="11">
    <dataValidation type="list" allowBlank="1" showInputMessage="1" showErrorMessage="1" sqref="L6 L4" xr:uid="{42876A2B-081C-487F-B84E-D63E44B0AD31}">
      <formula1>$D$190:$D$198</formula1>
    </dataValidation>
    <dataValidation type="list" allowBlank="1" showInputMessage="1" showErrorMessage="1" sqref="F5:F6" xr:uid="{1FA7B355-ED23-416C-963F-70BA5595DBEE}">
      <formula1>#REF!</formula1>
    </dataValidation>
    <dataValidation allowBlank="1" showInputMessage="1" showErrorMessage="1" prompt="Contractor:" sqref="C3:D3" xr:uid="{247C4B46-0F43-4BBB-B9CB-ED247FB1409A}"/>
    <dataValidation allowBlank="1" showInputMessage="1" showErrorMessage="1" prompt="Contract start date:" sqref="G3" xr:uid="{083313D6-A2CF-40CE-976F-33D541860129}"/>
    <dataValidation allowBlank="1" showInputMessage="1" showErrorMessage="1" prompt="Contract end date:" sqref="G4" xr:uid="{71809FA2-D00E-4F2D-B11D-3123EC1B8381}"/>
    <dataValidation allowBlank="1" showInputMessage="1" showErrorMessage="1" prompt="Required Match:" sqref="J5" xr:uid="{D08FDA55-5B78-4744-805D-0DA721A259A8}"/>
    <dataValidation allowBlank="1" showInputMessage="1" showErrorMessage="1" prompt="Pregnant Post Partum Intensive Residential Award Amount:" sqref="H12" xr:uid="{3B66C0B4-575F-48CE-ABD9-67455926C9C1}"/>
    <dataValidation allowBlank="1" showInputMessage="1" showErrorMessage="1" prompt="Pregnant Post Partum Outpatient - Individual Award Amount:" sqref="H13" xr:uid="{2FA2C823-4686-4C72-BE4F-60DB475B5A5F}"/>
    <dataValidation allowBlank="1" showInputMessage="1" showErrorMessage="1" prompt="Pregnant Post Partum Women &amp; Children Intensive Residential Award Amount:" sqref="H17" xr:uid="{88832E7A-E30C-411C-8EFE-B1ADE418E4C2}"/>
    <dataValidation allowBlank="1" showInputMessage="1" showErrorMessage="1" prompt="Pregnant Post Partum Ambulatory Detoxification Award Amount:" sqref="H21" xr:uid="{442FF6DA-1BC1-4EBD-A7E1-7CB509805ADE}"/>
    <dataValidation allowBlank="1" showInputMessage="1" showErrorMessage="1" prompt="Pregnant Post Partum Residential Detoxification Award Amount:" sqref="H22" xr:uid="{D5D62939-597E-412E-86A4-737D0E656529}"/>
  </dataValidations>
  <pageMargins left="0.7" right="0.7" top="0.75" bottom="0.75" header="0.3" footer="0.3"/>
  <pageSetup scale="54" fitToHeight="0" orientation="landscape" r:id="rId1"/>
  <colBreaks count="1" manualBreakCount="1">
    <brk id="14" max="1048575" man="1"/>
  </colBreaks>
  <legacyDrawing r:id="rId2"/>
  <extLst>
    <ext xmlns:x14="http://schemas.microsoft.com/office/spreadsheetml/2009/9/main" uri="{CCE6A557-97BC-4b89-ADB6-D9C93CAAB3DF}">
      <x14:dataValidations xmlns:xm="http://schemas.microsoft.com/office/excel/2006/main" xWindow="80" yWindow="283" count="1">
        <x14:dataValidation type="list" allowBlank="1" showInputMessage="1" showErrorMessage="1" prompt="Region:" xr:uid="{A4C9B2F0-6994-45E9-B177-B147B49F2791}">
          <x14:formula1>
            <xm:f>Version!$A$180:$A$192</xm:f>
          </x14:formula1>
          <xm:sqref>J3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T133"/>
  <sheetViews>
    <sheetView zoomScaleNormal="100" workbookViewId="0">
      <selection activeCell="C3" sqref="C3:D3"/>
    </sheetView>
  </sheetViews>
  <sheetFormatPr defaultColWidth="0" defaultRowHeight="12.75" zeroHeight="1" x14ac:dyDescent="0.2"/>
  <cols>
    <col min="1" max="1" width="17.5703125" customWidth="1"/>
    <col min="2" max="2" width="15.85546875" customWidth="1"/>
    <col min="3" max="3" width="15.140625" customWidth="1"/>
    <col min="4" max="4" width="74.42578125" customWidth="1"/>
    <col min="5" max="5" width="10" customWidth="1"/>
    <col min="6" max="6" width="13.28515625" customWidth="1"/>
    <col min="7" max="7" width="12.7109375" customWidth="1"/>
    <col min="8" max="8" width="22.140625" customWidth="1"/>
    <col min="9" max="9" width="8.7109375" customWidth="1"/>
    <col min="10" max="10" width="13.42578125" customWidth="1"/>
    <col min="11" max="11" width="12.5703125" customWidth="1"/>
    <col min="12" max="12" width="18.85546875" customWidth="1"/>
    <col min="13" max="13" width="10.5703125" customWidth="1"/>
    <col min="14" max="14" width="16" customWidth="1"/>
    <col min="15" max="15" width="9.140625" customWidth="1"/>
    <col min="16" max="25" width="9.140625" hidden="1" customWidth="1"/>
    <col min="26" max="254" width="0" hidden="1" customWidth="1"/>
    <col min="255" max="16384" width="9.140625" hidden="1"/>
  </cols>
  <sheetData>
    <row r="1" spans="1:253" ht="15.75" x14ac:dyDescent="0.25">
      <c r="A1" s="53" t="s">
        <v>0</v>
      </c>
      <c r="B1" s="53"/>
      <c r="K1" s="5"/>
      <c r="M1" s="79" t="s">
        <v>1</v>
      </c>
      <c r="N1" s="482">
        <f>Version!D1</f>
        <v>45282</v>
      </c>
    </row>
    <row r="2" spans="1:253" ht="15.75" x14ac:dyDescent="0.25">
      <c r="A2" s="53"/>
      <c r="B2" s="53"/>
      <c r="K2" s="5"/>
      <c r="N2" s="6"/>
    </row>
    <row r="3" spans="1:253" ht="16.5" thickBot="1" x14ac:dyDescent="0.3">
      <c r="A3" s="9"/>
      <c r="B3" s="54" t="s">
        <v>2</v>
      </c>
      <c r="C3" s="775"/>
      <c r="D3" s="775"/>
      <c r="F3" s="54" t="s">
        <v>3</v>
      </c>
      <c r="G3" s="31">
        <v>45170</v>
      </c>
      <c r="H3" s="19"/>
      <c r="I3" s="54" t="s">
        <v>4</v>
      </c>
      <c r="J3" s="32"/>
      <c r="K3" s="5"/>
    </row>
    <row r="4" spans="1:253" ht="16.5" thickBot="1" x14ac:dyDescent="0.3">
      <c r="C4" s="8"/>
      <c r="F4" s="54" t="s">
        <v>5</v>
      </c>
      <c r="G4" s="31">
        <v>45535</v>
      </c>
      <c r="I4" s="13"/>
      <c r="J4" s="19"/>
      <c r="K4" s="55"/>
      <c r="L4" s="56"/>
      <c r="M4" s="5"/>
      <c r="N4" s="528"/>
    </row>
    <row r="5" spans="1:253" ht="16.5" thickBot="1" x14ac:dyDescent="0.3">
      <c r="B5" s="175" t="str">
        <f>'TRA TRF TRY COPSD'!B5</f>
        <v>Results on this worksheet are for estimations.</v>
      </c>
      <c r="C5" s="176"/>
      <c r="D5" s="168"/>
      <c r="E5" s="6"/>
      <c r="F5" s="9"/>
      <c r="G5" s="57"/>
      <c r="H5" s="58"/>
      <c r="I5" s="54" t="s">
        <v>7</v>
      </c>
      <c r="J5" s="33">
        <v>0.05</v>
      </c>
      <c r="M5" s="5"/>
      <c r="N5" s="528"/>
    </row>
    <row r="6" spans="1:253" ht="13.5" thickBot="1" x14ac:dyDescent="0.25">
      <c r="B6" s="177" t="str">
        <f>'TRA TRF TRY COPSD'!B6</f>
        <v xml:space="preserve">Business decisions should be made utilizing professional/expert advice. </v>
      </c>
      <c r="C6" s="178"/>
      <c r="D6" s="171"/>
      <c r="E6" s="6"/>
      <c r="F6" s="9"/>
      <c r="G6" s="6"/>
      <c r="H6" s="9"/>
      <c r="J6" s="7"/>
      <c r="K6" s="10"/>
      <c r="L6" s="11"/>
      <c r="M6" s="5"/>
      <c r="N6" s="528"/>
    </row>
    <row r="7" spans="1:253" ht="18.75" customHeight="1" thickBot="1" x14ac:dyDescent="0.3">
      <c r="B7" s="179" t="str">
        <f>'TRA TRF TRY COPSD'!B7</f>
        <v>HHSC is not responsible for business decisions made utilizing these worksheets.</v>
      </c>
      <c r="C7" s="181"/>
      <c r="D7" s="182"/>
      <c r="E7" s="7"/>
      <c r="G7" s="7"/>
      <c r="J7" s="7"/>
      <c r="K7" s="142" t="s">
        <v>10</v>
      </c>
      <c r="L7" s="400">
        <f>(G4-G3)</f>
        <v>365</v>
      </c>
      <c r="M7" s="61">
        <f>ROUND(L7/30,0)</f>
        <v>12</v>
      </c>
    </row>
    <row r="8" spans="1:253" ht="21" customHeight="1" thickBot="1" x14ac:dyDescent="0.3">
      <c r="E8" s="7"/>
      <c r="G8" s="7"/>
      <c r="H8" s="12" t="s">
        <v>11</v>
      </c>
      <c r="I8" s="47"/>
      <c r="J8" s="399" t="s">
        <v>12</v>
      </c>
      <c r="K8" s="396"/>
      <c r="L8" s="140"/>
      <c r="M8" s="5"/>
      <c r="N8" s="10"/>
    </row>
    <row r="9" spans="1:253" ht="72.75" customHeight="1" thickBot="1" x14ac:dyDescent="0.3">
      <c r="A9" s="155" t="s">
        <v>13</v>
      </c>
      <c r="B9" s="156" t="s">
        <v>14</v>
      </c>
      <c r="C9" s="157" t="s">
        <v>15</v>
      </c>
      <c r="D9" s="158" t="s">
        <v>57</v>
      </c>
      <c r="E9" s="157" t="s">
        <v>58</v>
      </c>
      <c r="F9" s="157" t="s">
        <v>59</v>
      </c>
      <c r="G9" s="156" t="s">
        <v>19</v>
      </c>
      <c r="H9" s="159" t="s">
        <v>60</v>
      </c>
      <c r="I9" s="160" t="s">
        <v>51</v>
      </c>
      <c r="J9" s="161" t="s">
        <v>22</v>
      </c>
      <c r="K9" s="162" t="s">
        <v>23</v>
      </c>
      <c r="L9" s="163" t="s">
        <v>24</v>
      </c>
      <c r="M9" s="164" t="s">
        <v>25</v>
      </c>
      <c r="N9" s="165" t="s">
        <v>61</v>
      </c>
    </row>
    <row r="10" spans="1:253" ht="23.25" customHeight="1" thickBot="1" x14ac:dyDescent="0.3">
      <c r="A10" s="150"/>
      <c r="B10" s="125"/>
      <c r="C10" s="125"/>
      <c r="D10" s="126" t="s">
        <v>62</v>
      </c>
      <c r="E10" s="125"/>
      <c r="F10" s="125"/>
      <c r="G10" s="125"/>
      <c r="H10" s="99"/>
      <c r="I10" s="85"/>
      <c r="J10" s="99"/>
      <c r="K10" s="100"/>
      <c r="L10" s="100"/>
      <c r="M10" s="85"/>
      <c r="N10" s="103"/>
    </row>
    <row r="11" spans="1:253" s="13" customFormat="1" ht="15.95" customHeight="1" thickBot="1" x14ac:dyDescent="0.3">
      <c r="A11" s="151"/>
      <c r="B11" s="76"/>
      <c r="C11" s="101"/>
      <c r="D11" s="101" t="s">
        <v>63</v>
      </c>
      <c r="E11" s="45"/>
      <c r="F11" s="45"/>
      <c r="G11" s="43"/>
      <c r="H11" s="420"/>
      <c r="I11" s="67"/>
      <c r="J11" s="659"/>
      <c r="K11" s="513">
        <f>SUM(K12:K18)</f>
        <v>0</v>
      </c>
      <c r="L11" s="514">
        <f>SUM(L12:L16)</f>
        <v>0</v>
      </c>
      <c r="M11" s="509">
        <f>SUM(M12:M18)</f>
        <v>0</v>
      </c>
      <c r="N11" s="70"/>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s="13" customFormat="1" ht="15.95" customHeight="1" thickBot="1" x14ac:dyDescent="0.25">
      <c r="A12" s="660" t="str">
        <f>List!A144</f>
        <v>H0010</v>
      </c>
      <c r="B12" s="374" t="str">
        <f>List!B144</f>
        <v>H0010HBU9</v>
      </c>
      <c r="C12" s="660" t="str">
        <f>List!D144</f>
        <v>SA/TRA-LBHA</v>
      </c>
      <c r="D12" s="660" t="str">
        <f>List!G144</f>
        <v>Adult Residential Detoxification (TRA-LBHA)</v>
      </c>
      <c r="E12" s="27" t="str">
        <f>List!E144</f>
        <v>Day</v>
      </c>
      <c r="F12" s="27">
        <f>List!F144</f>
        <v>5</v>
      </c>
      <c r="G12" s="661">
        <f>F12*J12</f>
        <v>1185.05</v>
      </c>
      <c r="H12" s="662"/>
      <c r="I12" s="641"/>
      <c r="J12" s="205">
        <f>List!C144</f>
        <v>237.01</v>
      </c>
      <c r="K12" s="501">
        <f>ROUND(L12/G12,0)</f>
        <v>0</v>
      </c>
      <c r="L12" s="1">
        <f>H12</f>
        <v>0</v>
      </c>
      <c r="M12" s="505">
        <f>ROUND(K12/Days*F12,0)</f>
        <v>0</v>
      </c>
      <c r="N12" s="70"/>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s="13" customFormat="1" ht="15.95" customHeight="1" thickBot="1" x14ac:dyDescent="0.25">
      <c r="A13" s="660" t="str">
        <f>List!A145</f>
        <v>H0012</v>
      </c>
      <c r="B13" s="374" t="str">
        <f>List!B145</f>
        <v>H0012HBU9</v>
      </c>
      <c r="C13" s="660" t="str">
        <f>List!D145</f>
        <v>SA/TRA-LBHA</v>
      </c>
      <c r="D13" s="660" t="str">
        <f>List!G145</f>
        <v>Adult Ambulatory Detoxification (TRA-LBHA)</v>
      </c>
      <c r="E13" s="27" t="str">
        <f>List!E145</f>
        <v>Day</v>
      </c>
      <c r="F13" s="27">
        <f>List!F145</f>
        <v>6</v>
      </c>
      <c r="G13" s="661">
        <f>F13*J13</f>
        <v>533.70000000000005</v>
      </c>
      <c r="H13" s="536"/>
      <c r="I13" s="641"/>
      <c r="J13" s="205">
        <f>List!C145</f>
        <v>88.95</v>
      </c>
      <c r="K13" s="502">
        <f>ROUND(L13/G13,0)</f>
        <v>0</v>
      </c>
      <c r="L13" s="1">
        <f>H13</f>
        <v>0</v>
      </c>
      <c r="M13" s="505">
        <f>ROUND(K13/Days*F13,0)</f>
        <v>0</v>
      </c>
      <c r="N13" s="70"/>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s="14" customFormat="1" ht="15.95" customHeight="1" thickBot="1" x14ac:dyDescent="0.25">
      <c r="A14" s="660" t="str">
        <f>List!A146</f>
        <v>H2036</v>
      </c>
      <c r="B14" s="374" t="str">
        <f>List!B146</f>
        <v>H2036HBTGU9</v>
      </c>
      <c r="C14" s="660" t="str">
        <f>List!D146</f>
        <v>SA/TRA-LBHA</v>
      </c>
      <c r="D14" s="660" t="str">
        <f>List!G146</f>
        <v>Adult Residential Intensive (TRA-LBHA)</v>
      </c>
      <c r="E14" s="27" t="str">
        <f>List!E146</f>
        <v>Day</v>
      </c>
      <c r="F14" s="27">
        <f>List!F146</f>
        <v>28</v>
      </c>
      <c r="G14" s="661">
        <f>F14*J14</f>
        <v>3380.16</v>
      </c>
      <c r="H14" s="536"/>
      <c r="I14" s="641"/>
      <c r="J14" s="205">
        <f>List!C146</f>
        <v>120.72</v>
      </c>
      <c r="K14" s="503">
        <f>ROUND(L14/G14,0)</f>
        <v>0</v>
      </c>
      <c r="L14" s="1">
        <f>H14</f>
        <v>0</v>
      </c>
      <c r="M14" s="505">
        <f>ROUND(K14/Days*F14,0)</f>
        <v>0</v>
      </c>
      <c r="N14" s="74"/>
      <c r="O14" s="13"/>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s="14" customFormat="1" ht="15.95" customHeight="1" thickBot="1" x14ac:dyDescent="0.25">
      <c r="A15" s="660" t="str">
        <f>List!A147</f>
        <v>H2036</v>
      </c>
      <c r="B15" s="374" t="str">
        <f>List!B147</f>
        <v>H2036HBTFU9</v>
      </c>
      <c r="C15" s="660" t="str">
        <f>List!D147</f>
        <v>SA/TRA-LBHA</v>
      </c>
      <c r="D15" s="660" t="str">
        <f>List!G147</f>
        <v>Adult Residential Supportive (TRA-LBHA)</v>
      </c>
      <c r="E15" s="27" t="str">
        <f>List!E147</f>
        <v>Day</v>
      </c>
      <c r="F15" s="27">
        <f>List!F147</f>
        <v>35</v>
      </c>
      <c r="G15" s="661">
        <f>F15*J15</f>
        <v>1824.1999999999998</v>
      </c>
      <c r="H15" s="586"/>
      <c r="I15" s="532"/>
      <c r="J15" s="205">
        <f>List!C147</f>
        <v>52.12</v>
      </c>
      <c r="K15" s="502">
        <v>0</v>
      </c>
      <c r="L15" s="1"/>
      <c r="M15" s="506"/>
      <c r="N15" s="74"/>
      <c r="O15" s="13"/>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s="14" customFormat="1" ht="15.95" customHeight="1" thickBot="1" x14ac:dyDescent="0.25">
      <c r="A16" s="660" t="str">
        <f>List!A148</f>
        <v>H2035</v>
      </c>
      <c r="B16" s="374" t="str">
        <f>List!B148</f>
        <v>H2035HBU9</v>
      </c>
      <c r="C16" s="660" t="str">
        <f>List!D148</f>
        <v>SA/TRA-LBHA</v>
      </c>
      <c r="D16" s="660" t="str">
        <f>List!G148</f>
        <v>Adult Outpatient Individual (TRA-LBHA)</v>
      </c>
      <c r="E16" s="27" t="str">
        <f>List!E148</f>
        <v>Hour</v>
      </c>
      <c r="F16" s="27">
        <f>List!F148</f>
        <v>9</v>
      </c>
      <c r="G16" s="663">
        <f>(F16*J16)</f>
        <v>1212.8399999999999</v>
      </c>
      <c r="H16" s="531"/>
      <c r="I16" s="641"/>
      <c r="J16" s="664">
        <f>List!C148</f>
        <v>134.76</v>
      </c>
      <c r="K16" s="504">
        <f>ROUND(L16/(G16+G17+G18),0)</f>
        <v>0</v>
      </c>
      <c r="L16" s="1">
        <f>H16</f>
        <v>0</v>
      </c>
      <c r="M16" s="505">
        <f>ROUND(K16/Days*(F16+F17+F18),0)</f>
        <v>0</v>
      </c>
      <c r="N16" s="74"/>
      <c r="O16" s="13"/>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s="14" customFormat="1" ht="15.95" customHeight="1" x14ac:dyDescent="0.2">
      <c r="A17" s="660" t="str">
        <f>List!A149</f>
        <v>H0005</v>
      </c>
      <c r="B17" s="374" t="str">
        <f>List!B149</f>
        <v>H0005HBU9</v>
      </c>
      <c r="C17" s="660" t="str">
        <f>List!D149</f>
        <v>SA/TRA-LBHA</v>
      </c>
      <c r="D17" s="660" t="str">
        <f>List!G149</f>
        <v>Adult Outpatient Group Counseling (TRA-LBHA)</v>
      </c>
      <c r="E17" s="27" t="str">
        <f>List!E149</f>
        <v>Hour</v>
      </c>
      <c r="F17" s="27">
        <f>List!F149</f>
        <v>10</v>
      </c>
      <c r="G17" s="661">
        <f>(F17*J17)</f>
        <v>301</v>
      </c>
      <c r="H17" s="665"/>
      <c r="I17" s="532"/>
      <c r="J17" s="205">
        <f>List!C149</f>
        <v>30.1</v>
      </c>
      <c r="K17" s="35"/>
      <c r="L17" s="39"/>
      <c r="M17" s="225"/>
      <c r="N17" s="74"/>
      <c r="O17" s="13"/>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s="14" customFormat="1" ht="15.95" customHeight="1" thickBot="1" x14ac:dyDescent="0.25">
      <c r="A18" s="666" t="str">
        <f>List!A150</f>
        <v>T1012</v>
      </c>
      <c r="B18" s="714" t="str">
        <f>List!B150</f>
        <v>T1012HBHQU9</v>
      </c>
      <c r="C18" s="666" t="str">
        <f>List!D150</f>
        <v>SA/TRA-LBHA</v>
      </c>
      <c r="D18" s="666" t="str">
        <f>List!G150</f>
        <v>Adult Outpatient Group Education (TRA-LBHA)</v>
      </c>
      <c r="E18" s="463" t="str">
        <f>List!E150</f>
        <v>Hour</v>
      </c>
      <c r="F18" s="463">
        <f>List!F150</f>
        <v>32</v>
      </c>
      <c r="G18" s="667">
        <f>(F18*J18)</f>
        <v>569.28</v>
      </c>
      <c r="H18" s="668"/>
      <c r="I18" s="602"/>
      <c r="J18" s="669">
        <f>List!C150</f>
        <v>17.79</v>
      </c>
      <c r="K18" s="35"/>
      <c r="L18" s="39"/>
      <c r="M18" s="225"/>
      <c r="N18" s="626"/>
      <c r="O18" s="13"/>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s="17" customFormat="1" ht="15.95" customHeight="1" thickBot="1" x14ac:dyDescent="0.3">
      <c r="A19" s="190"/>
      <c r="B19" s="194"/>
      <c r="C19" s="127"/>
      <c r="D19" s="127"/>
      <c r="E19" s="127"/>
      <c r="F19" s="127"/>
      <c r="G19" s="127"/>
      <c r="H19" s="127" t="s">
        <v>28</v>
      </c>
      <c r="I19" s="122"/>
      <c r="J19" s="202"/>
      <c r="K19" s="510"/>
      <c r="L19" s="240">
        <f>L11</f>
        <v>0</v>
      </c>
      <c r="M19" s="512"/>
      <c r="N19" s="511">
        <f>ROUND(L19*J5,0)</f>
        <v>0</v>
      </c>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row>
    <row r="20" spans="1:253" s="13" customFormat="1" ht="15.95" customHeight="1" thickBot="1" x14ac:dyDescent="0.3">
      <c r="A20" s="191"/>
      <c r="B20" s="670"/>
      <c r="C20" s="186"/>
      <c r="D20" s="102" t="s">
        <v>64</v>
      </c>
      <c r="E20" s="92"/>
      <c r="F20" s="92"/>
      <c r="G20" s="93"/>
      <c r="H20" s="420"/>
      <c r="I20" s="67"/>
      <c r="J20" s="671"/>
      <c r="K20" s="515">
        <f>SUM(K21:K32)</f>
        <v>0</v>
      </c>
      <c r="L20" s="516">
        <f>SUM(L21:L25)</f>
        <v>0</v>
      </c>
      <c r="M20" s="517">
        <f>SUM(M21:M32)</f>
        <v>0</v>
      </c>
      <c r="N20" s="7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s="13" customFormat="1" ht="15.95" customHeight="1" thickBot="1" x14ac:dyDescent="0.25">
      <c r="A21" s="373" t="str">
        <f>List!A152</f>
        <v>H0010</v>
      </c>
      <c r="B21" s="26" t="str">
        <f>List!B152</f>
        <v>H0010HBHDU9</v>
      </c>
      <c r="C21" s="26" t="str">
        <f>List!D152</f>
        <v>SA/TRF-LBHA</v>
      </c>
      <c r="D21" s="376" t="str">
        <f>List!G152</f>
        <v>Adult Spec Fem Residential Detox (TRF-LBHA)</v>
      </c>
      <c r="E21" s="375" t="str">
        <f>List!E152</f>
        <v>Day</v>
      </c>
      <c r="F21" s="77">
        <f>List!F152</f>
        <v>5</v>
      </c>
      <c r="G21" s="661">
        <f>F21*J21</f>
        <v>1193.75</v>
      </c>
      <c r="H21" s="536"/>
      <c r="I21" s="599"/>
      <c r="J21" s="28">
        <f>List!C152</f>
        <v>238.75</v>
      </c>
      <c r="K21" s="501">
        <f>ROUND(L21/G21,0)</f>
        <v>0</v>
      </c>
      <c r="L21" s="1">
        <f>H21</f>
        <v>0</v>
      </c>
      <c r="M21" s="237">
        <f>ROUND(K21/Days*F21,0)</f>
        <v>0</v>
      </c>
      <c r="N21" s="70"/>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s="13" customFormat="1" ht="15.95" customHeight="1" thickBot="1" x14ac:dyDescent="0.25">
      <c r="A22" s="373" t="str">
        <f>List!A153</f>
        <v>H0012</v>
      </c>
      <c r="B22" s="374" t="str">
        <f>List!B153</f>
        <v>H0012HBHDU9</v>
      </c>
      <c r="C22" s="374" t="str">
        <f>List!D153</f>
        <v>SA/TRF-LBHA</v>
      </c>
      <c r="D22" s="376" t="str">
        <f>List!G153</f>
        <v>Adult Spec Fem Ambulatory Detox (TRF-LBHA)</v>
      </c>
      <c r="E22" s="77" t="str">
        <f>List!E153</f>
        <v>Day</v>
      </c>
      <c r="F22" s="77">
        <f>List!F153</f>
        <v>6</v>
      </c>
      <c r="G22" s="661">
        <f>F22*J22</f>
        <v>533.70000000000005</v>
      </c>
      <c r="H22" s="536"/>
      <c r="I22" s="599"/>
      <c r="J22" s="672">
        <f>List!C153</f>
        <v>88.95</v>
      </c>
      <c r="K22" s="502">
        <f>ROUND(L22/G22,0)</f>
        <v>0</v>
      </c>
      <c r="L22" s="1">
        <f>H22</f>
        <v>0</v>
      </c>
      <c r="M22" s="237">
        <f>ROUND(K22/Days*F22,0)</f>
        <v>0</v>
      </c>
      <c r="N22" s="70"/>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s="14" customFormat="1" ht="15.95" customHeight="1" thickBot="1" x14ac:dyDescent="0.25">
      <c r="A23" s="373" t="str">
        <f>List!A154</f>
        <v>H2036</v>
      </c>
      <c r="B23" s="374" t="str">
        <f>List!B154</f>
        <v>H2036HBHDTGU9</v>
      </c>
      <c r="C23" s="374" t="str">
        <f>List!D154</f>
        <v>SA/TRF-LBHA</v>
      </c>
      <c r="D23" s="376" t="str">
        <f>List!G154</f>
        <v>Adult Spec Fem Residential Intensive (TRF-LBHA)</v>
      </c>
      <c r="E23" s="77" t="str">
        <f>List!E154</f>
        <v>Day</v>
      </c>
      <c r="F23" s="77">
        <f>List!F154</f>
        <v>30</v>
      </c>
      <c r="G23" s="661">
        <f>F23*J23</f>
        <v>5823.6</v>
      </c>
      <c r="H23" s="536"/>
      <c r="I23" s="599"/>
      <c r="J23" s="672">
        <f>List!C154</f>
        <v>194.12</v>
      </c>
      <c r="K23" s="503">
        <f>ROUND(L23/G23,0)</f>
        <v>0</v>
      </c>
      <c r="L23" s="1">
        <f>H23</f>
        <v>0</v>
      </c>
      <c r="M23" s="237">
        <f>ROUND(K23/Days*F23,0)</f>
        <v>0</v>
      </c>
      <c r="N23" s="74"/>
      <c r="O23" s="1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s="14" customFormat="1" ht="15.95" customHeight="1" thickBot="1" x14ac:dyDescent="0.25">
      <c r="A24" s="373" t="str">
        <f>List!A155</f>
        <v>H2036</v>
      </c>
      <c r="B24" s="374" t="str">
        <f>List!B155</f>
        <v>H2036HBHDTFU9</v>
      </c>
      <c r="C24" s="374" t="str">
        <f>List!D155</f>
        <v>SA/TRF-LBHA</v>
      </c>
      <c r="D24" s="376" t="str">
        <f>List!G155</f>
        <v>Adult Spec Fem Residential Supportive (TRF-LBHA)</v>
      </c>
      <c r="E24" s="77" t="str">
        <f>List!E155</f>
        <v>Day</v>
      </c>
      <c r="F24" s="77">
        <f>List!F155</f>
        <v>30</v>
      </c>
      <c r="G24" s="663">
        <f>F24*J24</f>
        <v>3695.4</v>
      </c>
      <c r="H24" s="586"/>
      <c r="I24" s="67"/>
      <c r="J24" s="29">
        <f>List!C155</f>
        <v>123.18</v>
      </c>
      <c r="K24" s="502">
        <v>0</v>
      </c>
      <c r="L24" s="1"/>
      <c r="M24" s="225"/>
      <c r="N24" s="74"/>
      <c r="O24" s="13"/>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s="14" customFormat="1" ht="15.95" customHeight="1" thickBot="1" x14ac:dyDescent="0.25">
      <c r="A25" s="373" t="str">
        <f>List!A156</f>
        <v>H2035</v>
      </c>
      <c r="B25" s="374" t="str">
        <f>List!B156</f>
        <v>H2035HBHDU9</v>
      </c>
      <c r="C25" s="374" t="str">
        <f>List!D156</f>
        <v>SA/TRF-LBHA</v>
      </c>
      <c r="D25" s="376" t="str">
        <f>List!G156</f>
        <v>Adult Spec Female Outpatient Individual (TRF-LBHA)</v>
      </c>
      <c r="E25" s="77" t="str">
        <f>List!E156</f>
        <v>Hour</v>
      </c>
      <c r="F25" s="77">
        <f>List!F156</f>
        <v>9</v>
      </c>
      <c r="G25" s="673">
        <f>(F25*J25)</f>
        <v>1512.09</v>
      </c>
      <c r="H25" s="531"/>
      <c r="I25" s="599"/>
      <c r="J25" s="29">
        <f>List!C156</f>
        <v>168.01</v>
      </c>
      <c r="K25" s="504">
        <f>ROUND(L25/(G25+G26+G27),0)</f>
        <v>0</v>
      </c>
      <c r="L25" s="1">
        <f>H25</f>
        <v>0</v>
      </c>
      <c r="M25" s="237">
        <f>ROUND(K25/Days*(F25+F26+F27),0)</f>
        <v>0</v>
      </c>
      <c r="N25" s="74"/>
      <c r="O25" s="13"/>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s="14" customFormat="1" ht="15.95" customHeight="1" x14ac:dyDescent="0.2">
      <c r="A26" s="373" t="str">
        <f>List!A157</f>
        <v>H0005</v>
      </c>
      <c r="B26" s="374" t="str">
        <f>List!B157</f>
        <v>H0005HBHDU9</v>
      </c>
      <c r="C26" s="374" t="str">
        <f>List!D157</f>
        <v>SA/TRF-LBHA</v>
      </c>
      <c r="D26" s="376" t="str">
        <f>List!G157</f>
        <v>Adult Spec Female Outpatient Group Counseling (TRF-LBHA)</v>
      </c>
      <c r="E26" s="77" t="str">
        <f>List!E157</f>
        <v>Hour</v>
      </c>
      <c r="F26" s="77">
        <f>List!F157</f>
        <v>10</v>
      </c>
      <c r="G26" s="674">
        <f>(F26*J26)</f>
        <v>408.40000000000003</v>
      </c>
      <c r="H26" s="599"/>
      <c r="I26" s="67"/>
      <c r="J26" s="29">
        <f>List!C157</f>
        <v>40.840000000000003</v>
      </c>
      <c r="K26" s="507"/>
      <c r="L26" s="39"/>
      <c r="M26" s="225"/>
      <c r="N26" s="74"/>
      <c r="O26" s="13"/>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s="14" customFormat="1" ht="15.95" customHeight="1" thickBot="1" x14ac:dyDescent="0.25">
      <c r="A27" s="373" t="str">
        <f>List!A158</f>
        <v>T1012</v>
      </c>
      <c r="B27" s="374" t="str">
        <f>List!B158</f>
        <v>T1012HBHDHQU9</v>
      </c>
      <c r="C27" s="374" t="str">
        <f>List!D158</f>
        <v>SA/TRF-LBHA</v>
      </c>
      <c r="D27" s="376" t="str">
        <f>List!G158</f>
        <v>Adult Spec Female Outpatient Group Education (TRF-LBHA)</v>
      </c>
      <c r="E27" s="77" t="str">
        <f>List!E158</f>
        <v>Hour</v>
      </c>
      <c r="F27" s="77">
        <f>List!F158</f>
        <v>32</v>
      </c>
      <c r="G27" s="675">
        <f>(F27*J27)</f>
        <v>569.28</v>
      </c>
      <c r="H27" s="67"/>
      <c r="I27" s="216"/>
      <c r="J27" s="554">
        <f>List!C158</f>
        <v>17.79</v>
      </c>
      <c r="K27" s="508"/>
      <c r="L27" s="40"/>
      <c r="M27" s="225"/>
      <c r="N27" s="74"/>
      <c r="O27" s="13"/>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s="14" customFormat="1" ht="15.95" customHeight="1" thickBot="1" x14ac:dyDescent="0.3">
      <c r="A28" s="637"/>
      <c r="B28" s="44"/>
      <c r="C28" s="108"/>
      <c r="D28" s="107" t="s">
        <v>65</v>
      </c>
      <c r="E28" s="45"/>
      <c r="F28" s="45"/>
      <c r="G28" s="43"/>
      <c r="H28" s="420"/>
      <c r="I28" s="67"/>
      <c r="J28" s="631"/>
      <c r="K28" s="500">
        <f>SUM(K29:K32)</f>
        <v>0</v>
      </c>
      <c r="L28" s="246">
        <f>SUM(H29:H32)</f>
        <v>0</v>
      </c>
      <c r="M28" s="238"/>
      <c r="N28" s="74"/>
      <c r="O28" s="13"/>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s="14" customFormat="1" ht="15.95" customHeight="1" thickBot="1" x14ac:dyDescent="0.25">
      <c r="A29" s="373" t="str">
        <f>List!A160</f>
        <v>H2036</v>
      </c>
      <c r="B29" s="26" t="str">
        <f>List!B160</f>
        <v>H2036HDTGU9</v>
      </c>
      <c r="C29" s="26" t="str">
        <f>List!D160</f>
        <v>SA/TRF-LBHA</v>
      </c>
      <c r="D29" s="376" t="str">
        <f>List!G160</f>
        <v>Adult Spec Fem W/C Residential Intensive (TRF-LBHA)</v>
      </c>
      <c r="E29" s="375" t="str">
        <f>List!E160</f>
        <v>Day</v>
      </c>
      <c r="F29" s="77">
        <f>List!F160</f>
        <v>45</v>
      </c>
      <c r="G29" s="676">
        <f>F29*J29</f>
        <v>10521.9</v>
      </c>
      <c r="H29" s="536"/>
      <c r="I29" s="641"/>
      <c r="J29" s="205">
        <f>List!C160</f>
        <v>233.82</v>
      </c>
      <c r="K29" s="500">
        <f>ROUND(L29/G29,0)</f>
        <v>0</v>
      </c>
      <c r="L29" s="1">
        <f>H29</f>
        <v>0</v>
      </c>
      <c r="M29" s="237">
        <f>ROUND(K29/Days*F29,0)</f>
        <v>0</v>
      </c>
      <c r="N29" s="74"/>
      <c r="O29" s="13"/>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s="14" customFormat="1" ht="15.95" customHeight="1" x14ac:dyDescent="0.2">
      <c r="A30" s="373" t="str">
        <f>List!A161</f>
        <v>H2022</v>
      </c>
      <c r="B30" s="374" t="str">
        <f>List!B161</f>
        <v>H2022HAHDTGU6</v>
      </c>
      <c r="C30" s="374" t="str">
        <f>List!D161</f>
        <v>SA/TRF-LBHA</v>
      </c>
      <c r="D30" s="376" t="str">
        <f>List!G161</f>
        <v>Adult Spec Fem W/C Residential Wraparound Services-LESS THAN 21 (TRF-LBHA)</v>
      </c>
      <c r="E30" s="77" t="str">
        <f>List!E161</f>
        <v>Day</v>
      </c>
      <c r="F30" s="77">
        <f>List!F161</f>
        <v>35</v>
      </c>
      <c r="G30" s="674">
        <f>F30*J30</f>
        <v>1904.35</v>
      </c>
      <c r="H30" s="599"/>
      <c r="I30" s="532"/>
      <c r="J30" s="664">
        <f>List!C161</f>
        <v>54.41</v>
      </c>
      <c r="K30" s="507"/>
      <c r="L30" s="39"/>
      <c r="M30" s="225"/>
      <c r="N30" s="74"/>
      <c r="O30" s="13"/>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s="14" customFormat="1" ht="15.95" customHeight="1" thickBot="1" x14ac:dyDescent="0.25">
      <c r="A31" s="373" t="str">
        <f>List!A162</f>
        <v>H2022</v>
      </c>
      <c r="B31" s="374" t="str">
        <f>List!B162</f>
        <v>H2022HBHDTGU6</v>
      </c>
      <c r="C31" s="374" t="str">
        <f>List!D162</f>
        <v>SA/TRF-LBHA</v>
      </c>
      <c r="D31" s="376" t="str">
        <f>List!G162</f>
        <v>Adult Spec Fem W/C Residential Wraparound Services- 21 and OVER (TRF-LBHA)</v>
      </c>
      <c r="E31" s="77" t="str">
        <f>List!E162</f>
        <v>Day</v>
      </c>
      <c r="F31" s="77">
        <f>List!F162</f>
        <v>35</v>
      </c>
      <c r="G31" s="677">
        <f>F31*J31</f>
        <v>3772.3</v>
      </c>
      <c r="H31" s="599"/>
      <c r="I31" s="532"/>
      <c r="J31" s="664">
        <f>List!C162</f>
        <v>107.78</v>
      </c>
      <c r="K31" s="507"/>
      <c r="L31" s="39"/>
      <c r="M31" s="225"/>
      <c r="N31" s="74"/>
      <c r="O31" s="13"/>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253" s="14" customFormat="1" ht="15.95" customHeight="1" thickBot="1" x14ac:dyDescent="0.25">
      <c r="A32" s="373" t="str">
        <f>List!A163</f>
        <v>H2036</v>
      </c>
      <c r="B32" s="378" t="str">
        <f>List!B163</f>
        <v>H2036HDTFU9</v>
      </c>
      <c r="C32" s="378" t="str">
        <f>List!D163</f>
        <v>SA/TRF-LBHA</v>
      </c>
      <c r="D32" s="376" t="str">
        <f>List!G163</f>
        <v>Adult Spec Fem W/C Residential Supportive (TRF-LBHA)</v>
      </c>
      <c r="E32" s="377" t="str">
        <f>List!E163</f>
        <v>Day</v>
      </c>
      <c r="F32" s="77">
        <f>List!F163</f>
        <v>35</v>
      </c>
      <c r="G32" s="678">
        <f>F32*J32</f>
        <v>6542.9</v>
      </c>
      <c r="H32" s="546"/>
      <c r="I32" s="679"/>
      <c r="J32" s="664">
        <f>List!C163</f>
        <v>186.94</v>
      </c>
      <c r="K32" s="500">
        <v>0</v>
      </c>
      <c r="L32" s="40"/>
      <c r="M32" s="226"/>
      <c r="N32" s="74"/>
      <c r="O32" s="13"/>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row>
    <row r="33" spans="1:253" s="17" customFormat="1" ht="15.95" customHeight="1" thickBot="1" x14ac:dyDescent="0.3">
      <c r="A33" s="188"/>
      <c r="B33" s="127"/>
      <c r="C33" s="127"/>
      <c r="D33" s="127"/>
      <c r="E33" s="127"/>
      <c r="F33" s="127"/>
      <c r="G33" s="127"/>
      <c r="H33" s="127" t="s">
        <v>30</v>
      </c>
      <c r="I33" s="122"/>
      <c r="J33" s="202"/>
      <c r="K33" s="124"/>
      <c r="L33" s="240">
        <f>L20+L28</f>
        <v>0</v>
      </c>
      <c r="M33" s="241"/>
      <c r="N33" s="242">
        <f>ROUND(L33*J5,0)</f>
        <v>0</v>
      </c>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row>
    <row r="34" spans="1:253" s="13" customFormat="1" ht="15.75" customHeight="1" thickBot="1" x14ac:dyDescent="0.3">
      <c r="A34" s="189"/>
      <c r="B34" s="135"/>
      <c r="C34" s="135"/>
      <c r="D34" s="136" t="s">
        <v>31</v>
      </c>
      <c r="E34" s="136"/>
      <c r="F34" s="136"/>
      <c r="G34" s="137"/>
      <c r="H34" s="91"/>
      <c r="I34" s="91"/>
      <c r="J34" s="206"/>
      <c r="K34" s="91"/>
      <c r="L34" s="91"/>
      <c r="M34" s="227"/>
      <c r="N34" s="152"/>
      <c r="AX34" s="19"/>
    </row>
    <row r="35" spans="1:253" s="14" customFormat="1" ht="13.5" customHeight="1" thickBot="1" x14ac:dyDescent="0.25">
      <c r="A35" s="379" t="str">
        <f>List!A165</f>
        <v>H0006</v>
      </c>
      <c r="B35" s="381" t="str">
        <f>List!B165</f>
        <v>H0006HA</v>
      </c>
      <c r="C35" s="383" t="str">
        <f>List!D165</f>
        <v>SA/COPSD</v>
      </c>
      <c r="D35" s="381" t="str">
        <f>List!G165</f>
        <v>Co-occurring Psychiatric &amp; Substance Abuse Disorders - Youth (COPSD)</v>
      </c>
      <c r="E35" s="380" t="str">
        <f>List!E165</f>
        <v>Hour</v>
      </c>
      <c r="F35" s="380">
        <f>List!F165</f>
        <v>17</v>
      </c>
      <c r="G35" s="680">
        <f>F35*J35</f>
        <v>1138.6600000000001</v>
      </c>
      <c r="H35" s="681"/>
      <c r="I35" s="67"/>
      <c r="J35" s="576">
        <f>List!C165</f>
        <v>66.98</v>
      </c>
      <c r="K35" s="577">
        <f>ROUND(L35/G35,0)</f>
        <v>0</v>
      </c>
      <c r="L35" s="38">
        <f>H35</f>
        <v>0</v>
      </c>
      <c r="M35" s="237">
        <f>ROUND(((K35/Days)*F35),0)</f>
        <v>0</v>
      </c>
      <c r="N35" s="578"/>
    </row>
    <row r="36" spans="1:253" s="14" customFormat="1" ht="13.5" customHeight="1" thickBot="1" x14ac:dyDescent="0.25">
      <c r="A36" s="379" t="str">
        <f>List!A166</f>
        <v>H0006</v>
      </c>
      <c r="B36" s="382" t="str">
        <f>List!B166</f>
        <v>H0006HB</v>
      </c>
      <c r="C36" s="383" t="str">
        <f>List!D166</f>
        <v>SA/COPSD</v>
      </c>
      <c r="D36" s="382" t="str">
        <f>List!G166</f>
        <v>Co-occurring Psychiatric &amp; Substance Abuse Disorders - Adult (COPSD)</v>
      </c>
      <c r="E36" s="380" t="str">
        <f>List!E166</f>
        <v>Hour</v>
      </c>
      <c r="F36" s="380">
        <f>List!F166</f>
        <v>17</v>
      </c>
      <c r="G36" s="651"/>
      <c r="H36" s="67"/>
      <c r="I36" s="67"/>
      <c r="J36" s="682">
        <f>List!C166</f>
        <v>66.98</v>
      </c>
      <c r="K36" s="68"/>
      <c r="L36" s="39"/>
      <c r="M36" s="225"/>
      <c r="N36" s="70"/>
    </row>
    <row r="37" spans="1:253" s="17" customFormat="1" ht="15.95" customHeight="1" thickBot="1" x14ac:dyDescent="0.3">
      <c r="A37" s="190"/>
      <c r="B37" s="194"/>
      <c r="C37" s="127"/>
      <c r="D37" s="127"/>
      <c r="E37" s="127"/>
      <c r="F37" s="127"/>
      <c r="G37" s="127"/>
      <c r="H37" s="127" t="s">
        <v>537</v>
      </c>
      <c r="I37" s="122"/>
      <c r="J37" s="202"/>
      <c r="K37" s="128"/>
      <c r="L37" s="240">
        <f>L35</f>
        <v>0</v>
      </c>
      <c r="M37" s="241"/>
      <c r="N37" s="242">
        <f>ROUND(L37*J5,0)</f>
        <v>0</v>
      </c>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row>
    <row r="38" spans="1:253" s="13" customFormat="1" ht="15.95" customHeight="1" thickBot="1" x14ac:dyDescent="0.3">
      <c r="A38" s="191"/>
      <c r="B38" s="197"/>
      <c r="C38" s="198"/>
      <c r="D38" s="95" t="s">
        <v>66</v>
      </c>
      <c r="E38" s="92"/>
      <c r="F38" s="92"/>
      <c r="G38" s="93"/>
      <c r="H38" s="420"/>
      <c r="I38" s="67"/>
      <c r="J38" s="671"/>
      <c r="K38" s="515">
        <f>SUM(K39:K47)</f>
        <v>0</v>
      </c>
      <c r="L38" s="514">
        <f>SUM(L39:L47)</f>
        <v>0</v>
      </c>
      <c r="M38" s="509">
        <f>SUM(M39:M47)</f>
        <v>0</v>
      </c>
      <c r="N38" s="70"/>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row>
    <row r="39" spans="1:253" s="14" customFormat="1" ht="15.95" customHeight="1" thickBot="1" x14ac:dyDescent="0.25">
      <c r="A39" s="373" t="str">
        <f>List!A168</f>
        <v>H2036</v>
      </c>
      <c r="B39" s="26" t="str">
        <f>List!B168</f>
        <v>H2036HATGU9</v>
      </c>
      <c r="C39" s="385" t="str">
        <f>List!D168</f>
        <v>SA/TRY-LBHA</v>
      </c>
      <c r="D39" s="385" t="str">
        <f>List!G168</f>
        <v>Youth Residential Intensive(TRY-LBHA)</v>
      </c>
      <c r="E39" s="384" t="str">
        <f>List!E168</f>
        <v>Day</v>
      </c>
      <c r="F39" s="384">
        <f>List!F168</f>
        <v>60</v>
      </c>
      <c r="G39" s="683">
        <f>F39*J39</f>
        <v>11822.4</v>
      </c>
      <c r="H39" s="581"/>
      <c r="I39" s="67"/>
      <c r="J39" s="204">
        <f>List!C168</f>
        <v>197.04</v>
      </c>
      <c r="K39" s="37">
        <f>ROUND(L39/G39,0)</f>
        <v>0</v>
      </c>
      <c r="L39" s="1">
        <f>H39</f>
        <v>0</v>
      </c>
      <c r="M39" s="237">
        <f>ROUND(K39/Days*F39,0)</f>
        <v>0</v>
      </c>
      <c r="N39" s="74"/>
      <c r="O39" s="13"/>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row>
    <row r="40" spans="1:253" s="14" customFormat="1" ht="15.95" customHeight="1" thickBot="1" x14ac:dyDescent="0.25">
      <c r="A40" s="715" t="str">
        <f>List!A169</f>
        <v>H2022</v>
      </c>
      <c r="B40" s="713" t="str">
        <f>List!B169</f>
        <v>H2022HAHFU9</v>
      </c>
      <c r="C40" s="716" t="str">
        <f>List!D169</f>
        <v>SA/TRY-LBHA</v>
      </c>
      <c r="D40" s="716" t="str">
        <f>List!G169</f>
        <v>Youth Intensive Residential Wraparound Services-Room &amp; Board (TRY-LBHA)</v>
      </c>
      <c r="E40" s="384" t="str">
        <f>List!E169</f>
        <v>Hour</v>
      </c>
      <c r="F40" s="384">
        <f>List!F169</f>
        <v>60</v>
      </c>
      <c r="G40" s="773">
        <f>F40*J40</f>
        <v>1569.6</v>
      </c>
      <c r="H40" s="586"/>
      <c r="I40" s="67"/>
      <c r="J40" s="684">
        <f>List!C169</f>
        <v>26.16</v>
      </c>
      <c r="K40" s="35"/>
      <c r="L40" s="1"/>
      <c r="M40" s="239"/>
      <c r="N40" s="74"/>
      <c r="O40" s="13"/>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row>
    <row r="41" spans="1:253" s="14" customFormat="1" ht="15.95" customHeight="1" thickBot="1" x14ac:dyDescent="0.25">
      <c r="A41" s="373" t="str">
        <f>List!A170</f>
        <v>H2036</v>
      </c>
      <c r="B41" s="374" t="str">
        <f>List!B170</f>
        <v>H2036HATFU9</v>
      </c>
      <c r="C41" s="386" t="str">
        <f>List!D170</f>
        <v>SA/TRY-LBHA</v>
      </c>
      <c r="D41" s="386" t="str">
        <f>List!G170</f>
        <v>Youth Residential Supportive (TRY-LBHA)</v>
      </c>
      <c r="E41" s="384" t="str">
        <f>List!E170</f>
        <v>Day</v>
      </c>
      <c r="F41" s="384">
        <f>List!F170</f>
        <v>30</v>
      </c>
      <c r="G41" s="773">
        <f>F41*J41</f>
        <v>4748.1000000000004</v>
      </c>
      <c r="H41" s="685"/>
      <c r="I41" s="67"/>
      <c r="J41" s="554">
        <f>List!C170</f>
        <v>158.27000000000001</v>
      </c>
      <c r="K41" s="37">
        <v>0</v>
      </c>
      <c r="L41" s="1"/>
      <c r="M41" s="225"/>
      <c r="N41" s="74"/>
      <c r="O41" s="13"/>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row>
    <row r="42" spans="1:253" ht="15.95" customHeight="1" thickBot="1" x14ac:dyDescent="0.25">
      <c r="A42" s="637"/>
      <c r="B42" s="44"/>
      <c r="C42" s="686"/>
      <c r="D42" s="107" t="s">
        <v>67</v>
      </c>
      <c r="E42" s="76"/>
      <c r="F42" s="687"/>
      <c r="G42" s="688"/>
      <c r="H42" s="536"/>
      <c r="I42" s="689"/>
      <c r="J42" s="587"/>
      <c r="K42" s="208"/>
      <c r="L42" s="249"/>
      <c r="M42" s="228"/>
      <c r="N42" s="74"/>
      <c r="O42" s="13"/>
    </row>
    <row r="43" spans="1:253" s="14" customFormat="1" ht="15.95" customHeight="1" thickBot="1" x14ac:dyDescent="0.25">
      <c r="A43" s="373" t="str">
        <f>List!A172</f>
        <v>H2035</v>
      </c>
      <c r="B43" s="26" t="str">
        <f>List!B172</f>
        <v>H2035HAU9</v>
      </c>
      <c r="C43" s="376" t="str">
        <f>List!D172</f>
        <v>SA/TRY-LBHA</v>
      </c>
      <c r="D43" s="26" t="str">
        <f>List!G172</f>
        <v>Youth Outpatient Individual(TRY-LBHA)</v>
      </c>
      <c r="E43" s="384" t="str">
        <f>List!E172</f>
        <v>Hour</v>
      </c>
      <c r="F43" s="384">
        <f>List!F172</f>
        <v>2</v>
      </c>
      <c r="G43" s="588">
        <f t="shared" ref="G43:G52" si="0">F43*J43</f>
        <v>269.52</v>
      </c>
      <c r="H43" s="668"/>
      <c r="I43" s="690">
        <v>0.16739999999999999</v>
      </c>
      <c r="J43" s="28">
        <f>List!C172</f>
        <v>134.76</v>
      </c>
      <c r="K43" s="37" t="str">
        <f>IF(YouthOutpatient&gt;0,ROUND(YouthOutpatient/(G43+G48+G49+G44+G45+G46+G47),0)," ")</f>
        <v xml:space="preserve"> </v>
      </c>
      <c r="L43" s="1">
        <f>ROUND(IF(YouthOutpatient&gt;0,((YouthOutpatient-Psychiatrist)*I43), "0"),0)</f>
        <v>0</v>
      </c>
      <c r="M43" s="237" t="str">
        <f>IF(YouthOutpatient&gt;0,ROUND(K43/Days*(F43+F44+F45+F46+F47+F48+F49),0),"0")</f>
        <v>0</v>
      </c>
      <c r="N43" s="74"/>
      <c r="O43" s="1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row>
    <row r="44" spans="1:253" s="14" customFormat="1" ht="15.95" customHeight="1" x14ac:dyDescent="0.2">
      <c r="A44" s="373" t="str">
        <f>List!A173</f>
        <v>H2016</v>
      </c>
      <c r="B44" s="374" t="str">
        <f>List!B173</f>
        <v>H2016HAU9</v>
      </c>
      <c r="C44" s="376" t="str">
        <f>List!D173</f>
        <v>SA/TRY-LBHA</v>
      </c>
      <c r="D44" s="374" t="str">
        <f>List!G173</f>
        <v>Youth Adolescent Support(TRY-LBHA)</v>
      </c>
      <c r="E44" s="384" t="str">
        <f>List!E173</f>
        <v>Hour</v>
      </c>
      <c r="F44" s="384">
        <f>List!F173</f>
        <v>2</v>
      </c>
      <c r="G44" s="592">
        <f t="shared" si="0"/>
        <v>125.58</v>
      </c>
      <c r="H44" s="668"/>
      <c r="I44" s="690">
        <v>7.3200000000000001E-2</v>
      </c>
      <c r="J44" s="29">
        <f>List!C173</f>
        <v>62.79</v>
      </c>
      <c r="K44" s="68"/>
      <c r="L44" s="1">
        <f>ROUND(IF(YouthOutpatient&gt;0,((YouthOutpatient-Psychiatrist)*I44), "0"),0)</f>
        <v>0</v>
      </c>
      <c r="M44" s="248"/>
      <c r="N44" s="74"/>
      <c r="O44" s="13"/>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row>
    <row r="45" spans="1:253" s="14" customFormat="1" ht="15.95" customHeight="1" x14ac:dyDescent="0.2">
      <c r="A45" s="373" t="str">
        <f>List!A174</f>
        <v>T1006</v>
      </c>
      <c r="B45" s="374" t="str">
        <f>List!B174</f>
        <v>T1006HATFU9</v>
      </c>
      <c r="C45" s="376" t="str">
        <f>List!D174</f>
        <v>SA/TRY-LBHA</v>
      </c>
      <c r="D45" s="374" t="str">
        <f>List!G174</f>
        <v>Youth Family Counseling(TRY-LBHA)</v>
      </c>
      <c r="E45" s="384" t="str">
        <f>List!E174</f>
        <v>Hour</v>
      </c>
      <c r="F45" s="384">
        <f>List!F174</f>
        <v>16</v>
      </c>
      <c r="G45" s="592">
        <f t="shared" si="0"/>
        <v>1255.8399999999999</v>
      </c>
      <c r="H45" s="668"/>
      <c r="I45" s="690">
        <v>0.59819999999999995</v>
      </c>
      <c r="J45" s="29">
        <f>List!C174</f>
        <v>78.489999999999995</v>
      </c>
      <c r="K45" s="68"/>
      <c r="L45" s="1">
        <f>ROUND(IF(YouthOutpatient&gt;0,((YouthOutpatient-Psychiatrist)*I45), "0"),0)</f>
        <v>0</v>
      </c>
      <c r="M45" s="248"/>
      <c r="N45" s="74"/>
      <c r="O45" s="13"/>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row>
    <row r="46" spans="1:253" s="14" customFormat="1" ht="15.95" customHeight="1" x14ac:dyDescent="0.2">
      <c r="A46" s="373" t="str">
        <f>List!A175</f>
        <v>T1006</v>
      </c>
      <c r="B46" s="374" t="str">
        <f>List!B175</f>
        <v>T1006HAHFU9</v>
      </c>
      <c r="C46" s="376" t="str">
        <f>List!D175</f>
        <v>SA/TRY-LBHA</v>
      </c>
      <c r="D46" s="374" t="str">
        <f>List!G175</f>
        <v>Youth Family Support(TRY-LBHA)</v>
      </c>
      <c r="E46" s="384" t="str">
        <f>List!E175</f>
        <v>Hour</v>
      </c>
      <c r="F46" s="384">
        <f>List!F175</f>
        <v>4</v>
      </c>
      <c r="G46" s="592">
        <f t="shared" si="0"/>
        <v>313.95999999999998</v>
      </c>
      <c r="H46" s="668"/>
      <c r="I46" s="690">
        <v>0.16120000000000001</v>
      </c>
      <c r="J46" s="29">
        <f>List!C175</f>
        <v>78.489999999999995</v>
      </c>
      <c r="K46" s="68"/>
      <c r="L46" s="1">
        <f>ROUND(IF(YouthOutpatient&gt;0,((YouthOutpatient-Psychiatrist)*I46), "0"),0)</f>
        <v>0</v>
      </c>
      <c r="M46" s="248"/>
      <c r="N46" s="74"/>
      <c r="O46" s="13"/>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row>
    <row r="47" spans="1:253" s="14" customFormat="1" ht="15.95" customHeight="1" x14ac:dyDescent="0.2">
      <c r="A47" s="373">
        <f>List!A176</f>
        <v>90791</v>
      </c>
      <c r="B47" s="374" t="str">
        <f>List!B176</f>
        <v>90791HAU9</v>
      </c>
      <c r="C47" s="376" t="str">
        <f>List!D176</f>
        <v>SA/TRY-LBHA</v>
      </c>
      <c r="D47" s="374" t="str">
        <f>List!G176</f>
        <v>Psychiatric Diagnostic Evaluation(TRY-LBHA)</v>
      </c>
      <c r="E47" s="384" t="str">
        <f>List!E176</f>
        <v>Hour</v>
      </c>
      <c r="F47" s="384">
        <f>List!F176</f>
        <v>1</v>
      </c>
      <c r="G47" s="592">
        <f t="shared" si="0"/>
        <v>130.81</v>
      </c>
      <c r="H47" s="668"/>
      <c r="I47" s="691">
        <v>1000</v>
      </c>
      <c r="J47" s="29">
        <f>List!C176</f>
        <v>130.81</v>
      </c>
      <c r="K47" s="68"/>
      <c r="L47" s="250" t="str">
        <f>IF(YouthOutpatient&gt;0,YouthOutpatient-SUM(L43:L46),"0")</f>
        <v>0</v>
      </c>
      <c r="M47" s="248"/>
      <c r="N47" s="74"/>
      <c r="O47" s="13"/>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row>
    <row r="48" spans="1:253" s="14" customFormat="1" ht="15.95" customHeight="1" x14ac:dyDescent="0.2">
      <c r="A48" s="373" t="str">
        <f>List!A177</f>
        <v>H0005</v>
      </c>
      <c r="B48" s="374" t="str">
        <f>List!B177</f>
        <v>H0005HAU9</v>
      </c>
      <c r="C48" s="376" t="str">
        <f>List!D177</f>
        <v>SA/TRY-LBHA</v>
      </c>
      <c r="D48" s="374" t="str">
        <f>List!G177</f>
        <v>Youth Outpatient Group Counseling(TRY-LBHA)</v>
      </c>
      <c r="E48" s="384" t="str">
        <f>List!E177</f>
        <v>Hour</v>
      </c>
      <c r="F48" s="384">
        <f>List!F177</f>
        <v>3</v>
      </c>
      <c r="G48" s="692">
        <f t="shared" si="0"/>
        <v>122.52000000000001</v>
      </c>
      <c r="H48" s="599"/>
      <c r="I48" s="532"/>
      <c r="J48" s="207">
        <f>List!C177</f>
        <v>40.840000000000003</v>
      </c>
      <c r="K48" s="68"/>
      <c r="L48" s="39"/>
      <c r="M48" s="225"/>
      <c r="N48" s="74"/>
      <c r="O48" s="13"/>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row>
    <row r="49" spans="1:253" s="14" customFormat="1" ht="15.95" customHeight="1" x14ac:dyDescent="0.2">
      <c r="A49" s="373" t="str">
        <f>List!A178</f>
        <v>T1012</v>
      </c>
      <c r="B49" s="374" t="str">
        <f>List!B178</f>
        <v>T1012HAHQU9</v>
      </c>
      <c r="C49" s="376" t="str">
        <f>List!D178</f>
        <v>SA/TRY-LBHA</v>
      </c>
      <c r="D49" s="374" t="str">
        <f>List!G178</f>
        <v>Youth Outpatient Group Education(TRY-LBHA)</v>
      </c>
      <c r="E49" s="384" t="str">
        <f>List!E178</f>
        <v>Hour</v>
      </c>
      <c r="F49" s="384">
        <f>List!F178</f>
        <v>9</v>
      </c>
      <c r="G49" s="601">
        <f t="shared" si="0"/>
        <v>160.10999999999999</v>
      </c>
      <c r="H49" s="2"/>
      <c r="I49" s="532"/>
      <c r="J49" s="29">
        <f>List!C178</f>
        <v>17.79</v>
      </c>
      <c r="K49" s="68"/>
      <c r="L49" s="39"/>
      <c r="M49" s="225"/>
      <c r="N49" s="74"/>
      <c r="O49" s="13"/>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row>
    <row r="50" spans="1:253" s="14" customFormat="1" ht="15.95" customHeight="1" x14ac:dyDescent="0.2">
      <c r="A50" s="373" t="str">
        <f>List!A179</f>
        <v>H2016</v>
      </c>
      <c r="B50" s="374" t="str">
        <f>List!B179</f>
        <v>H2016HAHVU9</v>
      </c>
      <c r="C50" s="376" t="str">
        <f>List!D179</f>
        <v>SA/TRY-LBHA</v>
      </c>
      <c r="D50" s="374" t="str">
        <f>List!G179</f>
        <v>Youth Adolescent Support-Medicaid Youth Wraparound(TRY-LBHA)</v>
      </c>
      <c r="E50" s="384" t="str">
        <f>List!E179</f>
        <v>Hour</v>
      </c>
      <c r="F50" s="384">
        <f>List!F179</f>
        <v>5</v>
      </c>
      <c r="G50" s="585">
        <f t="shared" si="0"/>
        <v>313.95</v>
      </c>
      <c r="H50" s="599"/>
      <c r="I50" s="532"/>
      <c r="J50" s="207">
        <f>List!C179</f>
        <v>62.79</v>
      </c>
      <c r="K50" s="68"/>
      <c r="L50" s="39"/>
      <c r="M50" s="225"/>
      <c r="N50" s="74"/>
      <c r="O50" s="13"/>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row>
    <row r="51" spans="1:253" s="14" customFormat="1" ht="15.95" customHeight="1" x14ac:dyDescent="0.2">
      <c r="A51" s="373" t="str">
        <f>List!A180</f>
        <v>T1006</v>
      </c>
      <c r="B51" s="374" t="str">
        <f>List!B180</f>
        <v>T1006HATFHVU9</v>
      </c>
      <c r="C51" s="376" t="str">
        <f>List!D180</f>
        <v>SA/TRY-LBHA</v>
      </c>
      <c r="D51" s="374" t="str">
        <f>List!G180</f>
        <v>Youth Family Counseling-Medicaid Youth Wraparound-Parent Education Sessions(TRY-LBHA)</v>
      </c>
      <c r="E51" s="384" t="str">
        <f>List!E180</f>
        <v>Hour</v>
      </c>
      <c r="F51" s="384">
        <f>List!F180</f>
        <v>6</v>
      </c>
      <c r="G51" s="601">
        <f t="shared" si="0"/>
        <v>470.93999999999994</v>
      </c>
      <c r="H51" s="599"/>
      <c r="I51" s="532"/>
      <c r="J51" s="29">
        <f>List!C180</f>
        <v>78.489999999999995</v>
      </c>
      <c r="K51" s="68"/>
      <c r="L51" s="39"/>
      <c r="M51" s="225"/>
      <c r="N51" s="74"/>
      <c r="O51" s="13"/>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row>
    <row r="52" spans="1:253" s="14" customFormat="1" ht="15.95" customHeight="1" thickBot="1" x14ac:dyDescent="0.25">
      <c r="A52" s="373" t="str">
        <f>List!A181</f>
        <v>T1006</v>
      </c>
      <c r="B52" s="378" t="str">
        <f>List!B181</f>
        <v>T1006HAHFU6</v>
      </c>
      <c r="C52" s="376" t="str">
        <f>List!D181</f>
        <v>SA/TRY-LBHA</v>
      </c>
      <c r="D52" s="378" t="str">
        <f>List!G181</f>
        <v>Youth Family Support-Medicaid Youth Wraparound(TRY-LBHA)</v>
      </c>
      <c r="E52" s="384" t="str">
        <f>List!E181</f>
        <v>Hour</v>
      </c>
      <c r="F52" s="384">
        <f>List!F181</f>
        <v>4</v>
      </c>
      <c r="G52" s="605">
        <f t="shared" si="0"/>
        <v>313.95999999999998</v>
      </c>
      <c r="H52" s="546"/>
      <c r="I52" s="679"/>
      <c r="J52" s="554">
        <f>List!C181</f>
        <v>78.489999999999995</v>
      </c>
      <c r="K52" s="193"/>
      <c r="L52" s="40"/>
      <c r="M52" s="225"/>
      <c r="N52" s="70"/>
      <c r="O52" s="13"/>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row>
    <row r="53" spans="1:253" s="17" customFormat="1" ht="18" customHeight="1" thickBot="1" x14ac:dyDescent="0.3">
      <c r="A53" s="190"/>
      <c r="B53" s="194"/>
      <c r="C53" s="127"/>
      <c r="D53" s="127"/>
      <c r="E53" s="127"/>
      <c r="F53" s="127"/>
      <c r="G53" s="127"/>
      <c r="H53" s="127" t="s">
        <v>34</v>
      </c>
      <c r="I53" s="122"/>
      <c r="J53" s="202"/>
      <c r="K53" s="128"/>
      <c r="L53" s="240">
        <f>L38</f>
        <v>0</v>
      </c>
      <c r="M53" s="243"/>
      <c r="N53" s="242">
        <f>ROUND(L53*J5,0)</f>
        <v>0</v>
      </c>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row>
    <row r="54" spans="1:253" s="13" customFormat="1" ht="18" customHeight="1" thickBot="1" x14ac:dyDescent="0.3">
      <c r="A54" s="693"/>
      <c r="B54" s="417"/>
      <c r="C54" s="196"/>
      <c r="D54" s="196" t="s">
        <v>68</v>
      </c>
      <c r="E54" s="417"/>
      <c r="F54" s="694"/>
      <c r="G54" s="695">
        <f>ROUND((G55*I55)+(G56*I56)+((G57+G58)*I57),0)</f>
        <v>8547</v>
      </c>
      <c r="H54" s="681"/>
      <c r="I54" s="696">
        <v>0.96</v>
      </c>
      <c r="J54" s="697"/>
      <c r="K54" s="513">
        <f>ROUND(L55/G54*F55/Days,0)</f>
        <v>0</v>
      </c>
      <c r="L54" s="518">
        <f>L55+L59</f>
        <v>0</v>
      </c>
      <c r="M54" s="519">
        <f>K54</f>
        <v>0</v>
      </c>
      <c r="N54" s="698"/>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row>
    <row r="55" spans="1:253" s="13" customFormat="1" ht="18" customHeight="1" thickBot="1" x14ac:dyDescent="0.25">
      <c r="A55" s="153" t="str">
        <f>List!A69</f>
        <v>H0020</v>
      </c>
      <c r="B55" s="65" t="str">
        <f>List!B69</f>
        <v>H0020HBHV</v>
      </c>
      <c r="C55" s="390" t="str">
        <f>List!D69</f>
        <v>SA/MAT</v>
      </c>
      <c r="D55" s="65" t="str">
        <f>List!G69</f>
        <v>Methadone</v>
      </c>
      <c r="E55" s="388" t="str">
        <f>List!E69</f>
        <v>Dose</v>
      </c>
      <c r="F55" s="106">
        <f>List!F69</f>
        <v>365</v>
      </c>
      <c r="G55" s="635">
        <f>F55*J55</f>
        <v>7234.3</v>
      </c>
      <c r="H55" s="599"/>
      <c r="I55" s="699">
        <v>0.8</v>
      </c>
      <c r="J55" s="28">
        <f>List!C69</f>
        <v>19.82</v>
      </c>
      <c r="K55" s="199" t="str">
        <f>IF(H54&gt;0,ROUND((H54-L57-L73)/G54*F55/Days,0),"")</f>
        <v/>
      </c>
      <c r="L55" s="63">
        <f>ROUND((H54*I54)-H57,0)</f>
        <v>0</v>
      </c>
      <c r="M55" s="225"/>
      <c r="N55" s="74"/>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row>
    <row r="56" spans="1:253" s="13" customFormat="1" ht="18" customHeight="1" thickBot="1" x14ac:dyDescent="0.25">
      <c r="A56" s="153" t="str">
        <f>List!A70</f>
        <v>T1502</v>
      </c>
      <c r="B56" s="66" t="str">
        <f>List!B70</f>
        <v>T1502HBHV</v>
      </c>
      <c r="C56" s="390" t="str">
        <f>List!D70</f>
        <v>SA/MAT</v>
      </c>
      <c r="D56" s="66" t="str">
        <f>List!G70</f>
        <v>Buprenorphine</v>
      </c>
      <c r="E56" s="388" t="str">
        <f>List!E70</f>
        <v>Dose</v>
      </c>
      <c r="F56" s="71">
        <f>List!F70</f>
        <v>365</v>
      </c>
      <c r="G56" s="635">
        <f t="shared" ref="G56:G71" si="1">F56*J56</f>
        <v>13114.45</v>
      </c>
      <c r="H56" s="67"/>
      <c r="I56" s="700">
        <v>0.18</v>
      </c>
      <c r="J56" s="28">
        <f>List!C70</f>
        <v>35.93</v>
      </c>
      <c r="K56" s="68"/>
      <c r="L56" s="75"/>
      <c r="M56" s="225"/>
      <c r="N56" s="74"/>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row>
    <row r="57" spans="1:253" s="14" customFormat="1" ht="18" customHeight="1" thickBot="1" x14ac:dyDescent="0.3">
      <c r="A57" s="153" t="str">
        <f>List!A71</f>
        <v>J2315</v>
      </c>
      <c r="B57" s="66" t="str">
        <f>List!B71</f>
        <v>J2315HBHFHG</v>
      </c>
      <c r="C57" s="390" t="str">
        <f>List!D71</f>
        <v>SA/MAT</v>
      </c>
      <c r="D57" s="66" t="str">
        <f>List!G71</f>
        <v>Injection, Naltrexone Extended-Release</v>
      </c>
      <c r="E57" s="388" t="str">
        <f>List!E71</f>
        <v>Dose</v>
      </c>
      <c r="F57" s="471">
        <f>List!F71</f>
        <v>13</v>
      </c>
      <c r="G57" s="635">
        <f t="shared" si="1"/>
        <v>17440.28</v>
      </c>
      <c r="H57" s="67"/>
      <c r="I57" s="701">
        <v>0.02</v>
      </c>
      <c r="J57" s="28">
        <f>List!C71</f>
        <v>1341.56</v>
      </c>
      <c r="K57" s="68"/>
      <c r="L57" s="39"/>
      <c r="M57" s="225"/>
      <c r="N57" s="74"/>
      <c r="O57" s="59"/>
    </row>
    <row r="58" spans="1:253" s="14" customFormat="1" ht="18" customHeight="1" thickBot="1" x14ac:dyDescent="0.3">
      <c r="A58" s="154" t="str">
        <f>List!A72</f>
        <v>H0016</v>
      </c>
      <c r="B58" s="393" t="str">
        <f>List!B72</f>
        <v>H0016HBHFHG</v>
      </c>
      <c r="C58" s="192" t="str">
        <f>List!D72</f>
        <v>SA/MAT</v>
      </c>
      <c r="D58" s="393" t="str">
        <f>List!G72</f>
        <v>Medical Services - Naltrexone Extended- Release</v>
      </c>
      <c r="E58" s="389" t="str">
        <f>List!E72</f>
        <v>Event</v>
      </c>
      <c r="F58" s="71">
        <f>List!F72</f>
        <v>13</v>
      </c>
      <c r="G58" s="702">
        <f t="shared" si="1"/>
        <v>2500.6800000000003</v>
      </c>
      <c r="H58" s="18"/>
      <c r="I58" s="67"/>
      <c r="J58" s="28">
        <f>List!C72</f>
        <v>192.36</v>
      </c>
      <c r="K58" s="208"/>
      <c r="L58" s="208"/>
      <c r="M58" s="703"/>
      <c r="N58" s="74"/>
      <c r="O58" s="59"/>
    </row>
    <row r="59" spans="1:253" s="13" customFormat="1" ht="18" customHeight="1" thickBot="1" x14ac:dyDescent="0.25">
      <c r="A59" s="42"/>
      <c r="B59" s="44"/>
      <c r="C59" s="44"/>
      <c r="D59" s="78" t="str">
        <f>List!F73</f>
        <v>New Admission Health Screening Services</v>
      </c>
      <c r="E59" s="44"/>
      <c r="F59" s="76"/>
      <c r="G59" s="704"/>
      <c r="H59" s="67"/>
      <c r="I59" s="701">
        <v>0.02</v>
      </c>
      <c r="J59" s="28">
        <f>List!C73</f>
        <v>0</v>
      </c>
      <c r="K59" s="68"/>
      <c r="L59" s="63">
        <f>ROUND(H54*I59,0)</f>
        <v>0</v>
      </c>
      <c r="M59" s="225"/>
      <c r="N59" s="74"/>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row>
    <row r="60" spans="1:253" s="14" customFormat="1" ht="18" customHeight="1" thickBot="1" x14ac:dyDescent="0.25">
      <c r="A60" s="153">
        <f>List!A74</f>
        <v>99202</v>
      </c>
      <c r="B60" s="65" t="str">
        <f>List!B74</f>
        <v>99202HBHDHG</v>
      </c>
      <c r="C60" s="390" t="str">
        <f>List!D74</f>
        <v>SA/MAT</v>
      </c>
      <c r="D60" s="65" t="str">
        <f>List!G74</f>
        <v>Outpatient Visit - Health Screening Consent, Immunization and Information</v>
      </c>
      <c r="E60" s="388" t="str">
        <f>List!E74</f>
        <v>Event</v>
      </c>
      <c r="F60" s="71">
        <f>List!F74</f>
        <v>1</v>
      </c>
      <c r="G60" s="705">
        <f t="shared" si="1"/>
        <v>42.14</v>
      </c>
      <c r="H60" s="599"/>
      <c r="I60" s="618"/>
      <c r="J60" s="28">
        <f>List!C74</f>
        <v>42.14</v>
      </c>
      <c r="K60" s="68"/>
      <c r="L60" s="75"/>
      <c r="M60" s="225"/>
      <c r="N60" s="74"/>
      <c r="O60" s="13"/>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row>
    <row r="61" spans="1:253" s="14" customFormat="1" ht="18" customHeight="1" thickBot="1" x14ac:dyDescent="0.25">
      <c r="A61" s="153">
        <f>List!A75</f>
        <v>87340</v>
      </c>
      <c r="B61" s="66" t="str">
        <f>List!B75</f>
        <v>87340HBHDHG</v>
      </c>
      <c r="C61" s="390" t="str">
        <f>List!D75</f>
        <v>SA/MAT</v>
      </c>
      <c r="D61" s="66" t="str">
        <f>List!G75</f>
        <v>Hepatitis B - Surface Antigen Test</v>
      </c>
      <c r="E61" s="388" t="str">
        <f>List!E75</f>
        <v>Event</v>
      </c>
      <c r="F61" s="41">
        <f>List!F75</f>
        <v>1</v>
      </c>
      <c r="G61" s="635">
        <f t="shared" si="1"/>
        <v>8.68</v>
      </c>
      <c r="H61" s="599"/>
      <c r="I61" s="618"/>
      <c r="J61" s="28">
        <f>List!C75</f>
        <v>8.68</v>
      </c>
      <c r="K61" s="68"/>
      <c r="L61" s="75"/>
      <c r="M61" s="225"/>
      <c r="N61" s="74"/>
      <c r="O61" s="13"/>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row>
    <row r="62" spans="1:253" s="14" customFormat="1" ht="18" customHeight="1" thickBot="1" x14ac:dyDescent="0.25">
      <c r="A62" s="153">
        <f>List!A76</f>
        <v>86803</v>
      </c>
      <c r="B62" s="66" t="str">
        <f>List!B76</f>
        <v>86803HBHDHG</v>
      </c>
      <c r="C62" s="390" t="str">
        <f>List!D76</f>
        <v>SA/MAT</v>
      </c>
      <c r="D62" s="66" t="str">
        <f>List!G76</f>
        <v>Hepatitis C - Antibody Test</v>
      </c>
      <c r="E62" s="388" t="str">
        <f>List!E76</f>
        <v>Event</v>
      </c>
      <c r="F62" s="41">
        <f>List!F76</f>
        <v>1</v>
      </c>
      <c r="G62" s="635">
        <f t="shared" si="1"/>
        <v>11.99</v>
      </c>
      <c r="H62" s="599"/>
      <c r="I62" s="618"/>
      <c r="J62" s="28">
        <f>List!C76</f>
        <v>11.99</v>
      </c>
      <c r="K62" s="68"/>
      <c r="L62" s="75"/>
      <c r="M62" s="225"/>
      <c r="N62" s="74"/>
      <c r="O62" s="13"/>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row>
    <row r="63" spans="1:253" s="14" customFormat="1" ht="18" customHeight="1" thickBot="1" x14ac:dyDescent="0.25">
      <c r="A63" s="153">
        <f>List!A77</f>
        <v>87389</v>
      </c>
      <c r="B63" s="66" t="str">
        <f>List!B77</f>
        <v>87389HBHDHG</v>
      </c>
      <c r="C63" s="390" t="str">
        <f>List!D77</f>
        <v>SA/MAT</v>
      </c>
      <c r="D63" s="66" t="str">
        <f>List!G77</f>
        <v>HIV (initial) - Ag/Ab EIA Combination Test</v>
      </c>
      <c r="E63" s="388" t="str">
        <f>List!E77</f>
        <v>Event</v>
      </c>
      <c r="F63" s="41">
        <f>List!F77</f>
        <v>1</v>
      </c>
      <c r="G63" s="635">
        <f t="shared" si="1"/>
        <v>20.23</v>
      </c>
      <c r="H63" s="599"/>
      <c r="I63" s="618"/>
      <c r="J63" s="28">
        <f>List!C77</f>
        <v>20.23</v>
      </c>
      <c r="K63" s="68"/>
      <c r="L63" s="75"/>
      <c r="M63" s="225"/>
      <c r="N63" s="74"/>
      <c r="O63" s="1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row>
    <row r="64" spans="1:253" s="14" customFormat="1" ht="18" customHeight="1" thickBot="1" x14ac:dyDescent="0.25">
      <c r="A64" s="153">
        <f>List!A78</f>
        <v>86701</v>
      </c>
      <c r="B64" s="66" t="str">
        <f>List!B78</f>
        <v>86701HBHDHG</v>
      </c>
      <c r="C64" s="390" t="str">
        <f>List!D78</f>
        <v>SA/MAT</v>
      </c>
      <c r="D64" s="66" t="str">
        <f>List!G78</f>
        <v>HIV (confirmatory) - Multispot Test</v>
      </c>
      <c r="E64" s="388" t="str">
        <f>List!E78</f>
        <v>Event</v>
      </c>
      <c r="F64" s="41">
        <f>List!F78</f>
        <v>1</v>
      </c>
      <c r="G64" s="635">
        <f t="shared" si="1"/>
        <v>7.47</v>
      </c>
      <c r="H64" s="599"/>
      <c r="I64" s="618"/>
      <c r="J64" s="28">
        <f>List!C78</f>
        <v>7.47</v>
      </c>
      <c r="K64" s="68"/>
      <c r="L64" s="75"/>
      <c r="M64" s="225"/>
      <c r="N64" s="74"/>
      <c r="O64" s="13"/>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row>
    <row r="65" spans="1:253" s="14" customFormat="1" ht="18" customHeight="1" thickBot="1" x14ac:dyDescent="0.25">
      <c r="A65" s="153">
        <f>List!A79</f>
        <v>87591</v>
      </c>
      <c r="B65" s="66" t="str">
        <f>List!B79</f>
        <v>87591HBHDHG</v>
      </c>
      <c r="C65" s="390" t="str">
        <f>List!D79</f>
        <v>SA/MAT</v>
      </c>
      <c r="D65" s="66" t="str">
        <f>List!G79</f>
        <v>Gonorrhea - Urine-based Test</v>
      </c>
      <c r="E65" s="388" t="str">
        <f>List!E79</f>
        <v>Event</v>
      </c>
      <c r="F65" s="41">
        <f>List!F79</f>
        <v>1</v>
      </c>
      <c r="G65" s="635">
        <f t="shared" si="1"/>
        <v>29.48</v>
      </c>
      <c r="H65" s="599"/>
      <c r="I65" s="18"/>
      <c r="J65" s="28">
        <f>List!C79</f>
        <v>29.48</v>
      </c>
      <c r="K65" s="68"/>
      <c r="L65" s="75"/>
      <c r="M65" s="225"/>
      <c r="N65" s="74"/>
      <c r="O65" s="13"/>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row>
    <row r="66" spans="1:253" s="14" customFormat="1" ht="18" customHeight="1" thickBot="1" x14ac:dyDescent="0.25">
      <c r="A66" s="153">
        <f>List!A80</f>
        <v>87491</v>
      </c>
      <c r="B66" s="66" t="str">
        <f>List!B80</f>
        <v>87491HBHDHG</v>
      </c>
      <c r="C66" s="390" t="str">
        <f>List!D80</f>
        <v>SA/MAT</v>
      </c>
      <c r="D66" s="66" t="str">
        <f>List!G80</f>
        <v>Chlamydia - Urine-based Test</v>
      </c>
      <c r="E66" s="388" t="str">
        <f>List!E80</f>
        <v>Event</v>
      </c>
      <c r="F66" s="41">
        <f>List!F80</f>
        <v>1</v>
      </c>
      <c r="G66" s="635">
        <f t="shared" si="1"/>
        <v>29.48</v>
      </c>
      <c r="H66" s="599"/>
      <c r="I66" s="618"/>
      <c r="J66" s="28">
        <f>List!C80</f>
        <v>29.48</v>
      </c>
      <c r="K66" s="68"/>
      <c r="L66" s="75"/>
      <c r="M66" s="225"/>
      <c r="N66" s="74"/>
      <c r="O66" s="13"/>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row>
    <row r="67" spans="1:253" s="14" customFormat="1" ht="18" customHeight="1" thickBot="1" x14ac:dyDescent="0.25">
      <c r="A67" s="153">
        <f>List!A81</f>
        <v>83036</v>
      </c>
      <c r="B67" s="66" t="str">
        <f>List!B81</f>
        <v>83036HBHDHG</v>
      </c>
      <c r="C67" s="390" t="str">
        <f>List!D81</f>
        <v>SA/MAT</v>
      </c>
      <c r="D67" s="66" t="str">
        <f>List!G81</f>
        <v>Diabetes - Glycosylated (A1C) Test</v>
      </c>
      <c r="E67" s="388" t="str">
        <f>List!E81</f>
        <v>Event</v>
      </c>
      <c r="F67" s="41">
        <f>List!F81</f>
        <v>1</v>
      </c>
      <c r="G67" s="635">
        <f t="shared" si="1"/>
        <v>8.16</v>
      </c>
      <c r="H67" s="599"/>
      <c r="I67" s="618"/>
      <c r="J67" s="28">
        <f>List!C81</f>
        <v>8.16</v>
      </c>
      <c r="K67" s="68"/>
      <c r="L67" s="75"/>
      <c r="M67" s="225"/>
      <c r="N67" s="74"/>
      <c r="O67" s="13"/>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row>
    <row r="68" spans="1:253" s="14" customFormat="1" ht="18" customHeight="1" thickBot="1" x14ac:dyDescent="0.25">
      <c r="A68" s="153" t="str">
        <f>List!A82</f>
        <v>3510F</v>
      </c>
      <c r="B68" s="66" t="str">
        <f>List!B82</f>
        <v>3510FHBHDHG</v>
      </c>
      <c r="C68" s="390" t="str">
        <f>List!D82</f>
        <v>SA/MAT</v>
      </c>
      <c r="D68" s="66" t="str">
        <f>List!G82</f>
        <v>TB Testing Intradermal</v>
      </c>
      <c r="E68" s="388" t="str">
        <f>List!E82</f>
        <v>Event</v>
      </c>
      <c r="F68" s="41">
        <f>List!F82</f>
        <v>1</v>
      </c>
      <c r="G68" s="635">
        <f t="shared" si="1"/>
        <v>7.4</v>
      </c>
      <c r="H68" s="599"/>
      <c r="I68" s="618"/>
      <c r="J68" s="28">
        <f>List!C82</f>
        <v>7.4</v>
      </c>
      <c r="K68" s="68"/>
      <c r="L68" s="75"/>
      <c r="M68" s="225"/>
      <c r="N68" s="74"/>
      <c r="O68" s="13"/>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row>
    <row r="69" spans="1:253" s="14" customFormat="1" ht="18" customHeight="1" thickBot="1" x14ac:dyDescent="0.25">
      <c r="A69" s="153">
        <f>List!A83</f>
        <v>93010</v>
      </c>
      <c r="B69" s="66" t="str">
        <f>List!B83</f>
        <v>93010HB</v>
      </c>
      <c r="C69" s="390" t="str">
        <f>List!D83</f>
        <v>SA/MAT</v>
      </c>
      <c r="D69" s="66" t="str">
        <f>List!G83</f>
        <v>EKG/ECG - Report and Interpretation</v>
      </c>
      <c r="E69" s="388" t="str">
        <f>List!E83</f>
        <v>Event</v>
      </c>
      <c r="F69" s="41">
        <f>List!F83</f>
        <v>1</v>
      </c>
      <c r="G69" s="635">
        <f t="shared" si="1"/>
        <v>6.72</v>
      </c>
      <c r="H69" s="599"/>
      <c r="I69" s="618"/>
      <c r="J69" s="28">
        <f>List!C83</f>
        <v>6.72</v>
      </c>
      <c r="K69" s="68"/>
      <c r="L69" s="75"/>
      <c r="M69" s="225"/>
      <c r="N69" s="74"/>
      <c r="O69" s="13"/>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row>
    <row r="70" spans="1:253" s="14" customFormat="1" ht="18" customHeight="1" thickBot="1" x14ac:dyDescent="0.25">
      <c r="A70" s="153">
        <f>List!A84</f>
        <v>93005</v>
      </c>
      <c r="B70" s="66" t="str">
        <f>List!B84</f>
        <v>93005HB</v>
      </c>
      <c r="C70" s="390" t="str">
        <f>List!D84</f>
        <v>SA/MAT</v>
      </c>
      <c r="D70" s="66" t="str">
        <f>List!G84</f>
        <v>EKG - Tracing Only, without Interpretation and Report</v>
      </c>
      <c r="E70" s="388" t="str">
        <f>List!E84</f>
        <v>Event</v>
      </c>
      <c r="F70" s="41">
        <f>List!F84</f>
        <v>1</v>
      </c>
      <c r="G70" s="635">
        <f t="shared" si="1"/>
        <v>6.72</v>
      </c>
      <c r="H70" s="599"/>
      <c r="I70" s="618"/>
      <c r="J70" s="28">
        <f>List!C84</f>
        <v>6.72</v>
      </c>
      <c r="K70" s="68"/>
      <c r="L70" s="75"/>
      <c r="M70" s="225"/>
      <c r="N70" s="74"/>
      <c r="O70" s="13"/>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row>
    <row r="71" spans="1:253" s="14" customFormat="1" ht="18" customHeight="1" thickBot="1" x14ac:dyDescent="0.25">
      <c r="A71" s="153">
        <f>List!A85</f>
        <v>81025</v>
      </c>
      <c r="B71" s="66" t="str">
        <f>List!B85</f>
        <v>81025HB</v>
      </c>
      <c r="C71" s="390" t="str">
        <f>List!D85</f>
        <v>SA/MAT</v>
      </c>
      <c r="D71" s="66" t="str">
        <f>List!G85</f>
        <v>Urine Pregnancy Test, By Visual Color Comparison</v>
      </c>
      <c r="E71" s="388" t="str">
        <f>List!E85</f>
        <v>Event</v>
      </c>
      <c r="F71" s="41">
        <f>List!F85</f>
        <v>1</v>
      </c>
      <c r="G71" s="635">
        <f t="shared" si="1"/>
        <v>7.23</v>
      </c>
      <c r="H71" s="599"/>
      <c r="I71" s="618"/>
      <c r="J71" s="28">
        <f>List!C85</f>
        <v>7.23</v>
      </c>
      <c r="K71" s="68"/>
      <c r="L71" s="39"/>
      <c r="M71" s="225"/>
      <c r="N71" s="74"/>
      <c r="O71" s="13"/>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row>
    <row r="72" spans="1:253" s="14" customFormat="1" ht="18" customHeight="1" thickBot="1" x14ac:dyDescent="0.25">
      <c r="A72" s="153">
        <f>List!A86</f>
        <v>99213</v>
      </c>
      <c r="B72" s="66" t="str">
        <f>List!B86</f>
        <v>99213HBHDHG</v>
      </c>
      <c r="C72" s="390" t="str">
        <f>List!D86</f>
        <v>SA/MAT</v>
      </c>
      <c r="D72" s="66" t="str">
        <f>List!G86</f>
        <v>Outpatient Visit - Results and Referrals</v>
      </c>
      <c r="E72" s="388" t="str">
        <f>List!E86</f>
        <v>Event</v>
      </c>
      <c r="F72" s="41">
        <f>List!F86</f>
        <v>1</v>
      </c>
      <c r="G72" s="635">
        <f t="shared" ref="G72" si="2">F72*J72</f>
        <v>34.81</v>
      </c>
      <c r="H72" s="599"/>
      <c r="I72" s="618"/>
      <c r="J72" s="28">
        <f>List!C86</f>
        <v>34.81</v>
      </c>
      <c r="K72" s="68"/>
      <c r="L72" s="39"/>
      <c r="M72" s="225"/>
      <c r="N72" s="74"/>
      <c r="O72" s="13"/>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row>
    <row r="73" spans="1:253" s="14" customFormat="1" ht="18" customHeight="1" thickBot="1" x14ac:dyDescent="0.3">
      <c r="A73" s="637"/>
      <c r="B73" s="76"/>
      <c r="C73" s="76"/>
      <c r="D73" s="46" t="s">
        <v>41</v>
      </c>
      <c r="E73" s="76"/>
      <c r="F73" s="76"/>
      <c r="G73" s="447"/>
      <c r="H73" s="599"/>
      <c r="I73" s="706">
        <v>0.02</v>
      </c>
      <c r="J73" s="707"/>
      <c r="K73" s="68"/>
      <c r="L73" s="247">
        <f>ROUND(H54*I73,0)</f>
        <v>0</v>
      </c>
      <c r="M73" s="225"/>
      <c r="N73" s="74"/>
      <c r="O73" s="1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row>
    <row r="74" spans="1:253" s="14" customFormat="1" ht="18" customHeight="1" thickBot="1" x14ac:dyDescent="0.25">
      <c r="A74" s="387">
        <f>List!A88</f>
        <v>99205</v>
      </c>
      <c r="B74" s="80" t="str">
        <f>List!B88</f>
        <v>99205HBHV</v>
      </c>
      <c r="C74" s="392" t="str">
        <f>List!D88</f>
        <v>SA/MAT</v>
      </c>
      <c r="D74" s="80" t="str">
        <f>List!G88</f>
        <v>Hepatitis C - Treatment Coordination</v>
      </c>
      <c r="E74" s="391" t="str">
        <f>List!E88</f>
        <v>Event</v>
      </c>
      <c r="F74" s="469">
        <f>List!F88</f>
        <v>7</v>
      </c>
      <c r="G74" s="708">
        <f>J74*F74</f>
        <v>409.22</v>
      </c>
      <c r="H74" s="67"/>
      <c r="I74" s="618"/>
      <c r="J74" s="28">
        <f>List!C88</f>
        <v>58.46</v>
      </c>
      <c r="K74" s="68"/>
      <c r="L74" s="39"/>
      <c r="M74" s="225"/>
      <c r="N74" s="74"/>
      <c r="O74" s="13"/>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row>
    <row r="75" spans="1:253" s="14" customFormat="1" ht="18" customHeight="1" thickBot="1" x14ac:dyDescent="0.25">
      <c r="A75" s="387">
        <f>List!A89</f>
        <v>86804</v>
      </c>
      <c r="B75" s="394" t="str">
        <f>List!B89</f>
        <v>86804HBHV</v>
      </c>
      <c r="C75" s="392" t="str">
        <f>List!D89</f>
        <v>SA/MAT</v>
      </c>
      <c r="D75" s="394" t="str">
        <f>List!G89</f>
        <v>Hepatitis C - Confirmatory Test</v>
      </c>
      <c r="E75" s="391" t="str">
        <f>List!E89</f>
        <v>Event</v>
      </c>
      <c r="F75" s="470">
        <f>List!F89</f>
        <v>1</v>
      </c>
      <c r="G75" s="709">
        <f t="shared" ref="G75:G79" si="3">J75*F75</f>
        <v>13.01</v>
      </c>
      <c r="H75" s="67"/>
      <c r="I75" s="618"/>
      <c r="J75" s="28">
        <f>List!C89</f>
        <v>13.01</v>
      </c>
      <c r="K75" s="68"/>
      <c r="L75" s="39"/>
      <c r="M75" s="225"/>
      <c r="N75" s="74"/>
      <c r="O75" s="13"/>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row>
    <row r="76" spans="1:253" s="14" customFormat="1" ht="18" customHeight="1" thickBot="1" x14ac:dyDescent="0.25">
      <c r="A76" s="387">
        <f>List!A90</f>
        <v>87522</v>
      </c>
      <c r="B76" s="394" t="str">
        <f>List!B90</f>
        <v>87522HBHV</v>
      </c>
      <c r="C76" s="392" t="str">
        <f>List!D90</f>
        <v>SA/MAT</v>
      </c>
      <c r="D76" s="394" t="str">
        <f>List!G90</f>
        <v>Hepatitis C - Viral Load Quantification</v>
      </c>
      <c r="E76" s="391" t="str">
        <f>List!E90</f>
        <v>Event</v>
      </c>
      <c r="F76" s="470">
        <f>List!F90</f>
        <v>3</v>
      </c>
      <c r="G76" s="709">
        <f t="shared" si="3"/>
        <v>107.97</v>
      </c>
      <c r="H76" s="67"/>
      <c r="I76" s="618"/>
      <c r="J76" s="28">
        <f>List!C90</f>
        <v>35.99</v>
      </c>
      <c r="K76" s="68"/>
      <c r="L76" s="39"/>
      <c r="M76" s="225"/>
      <c r="N76" s="74"/>
      <c r="O76" s="13"/>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row>
    <row r="77" spans="1:253" s="14" customFormat="1" ht="18" customHeight="1" thickBot="1" x14ac:dyDescent="0.25">
      <c r="A77" s="387">
        <f>List!A91</f>
        <v>90792</v>
      </c>
      <c r="B77" s="394" t="str">
        <f>List!B91</f>
        <v>90792HBHV</v>
      </c>
      <c r="C77" s="392" t="str">
        <f>List!D91</f>
        <v>SA/MAT</v>
      </c>
      <c r="D77" s="394" t="str">
        <f>List!G91</f>
        <v>Initial Interview for Diagnosis of Psychiatric Condition</v>
      </c>
      <c r="E77" s="391" t="str">
        <f>List!E91</f>
        <v>Event</v>
      </c>
      <c r="F77" s="470">
        <f>List!F91</f>
        <v>1</v>
      </c>
      <c r="G77" s="709">
        <f t="shared" si="3"/>
        <v>119.21</v>
      </c>
      <c r="H77" s="67"/>
      <c r="I77" s="618"/>
      <c r="J77" s="28">
        <f>List!C91</f>
        <v>119.21</v>
      </c>
      <c r="K77" s="68"/>
      <c r="L77" s="39"/>
      <c r="M77" s="225"/>
      <c r="N77" s="74"/>
      <c r="O77" s="13"/>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row>
    <row r="78" spans="1:253" s="14" customFormat="1" ht="18" customHeight="1" thickBot="1" x14ac:dyDescent="0.25">
      <c r="A78" s="387">
        <f>List!A92</f>
        <v>90832</v>
      </c>
      <c r="B78" s="394" t="str">
        <f>List!B92</f>
        <v>90832HBHV</v>
      </c>
      <c r="C78" s="392" t="str">
        <f>List!D92</f>
        <v>SA/MAT</v>
      </c>
      <c r="D78" s="394" t="str">
        <f>List!G92</f>
        <v>Thirty-Minute Physician Visit for Psychiatric Follow-Up</v>
      </c>
      <c r="E78" s="391" t="str">
        <f>List!E92</f>
        <v>Event</v>
      </c>
      <c r="F78" s="470">
        <f>List!F92</f>
        <v>1</v>
      </c>
      <c r="G78" s="709">
        <f t="shared" si="3"/>
        <v>46.73</v>
      </c>
      <c r="H78" s="67"/>
      <c r="I78" s="618"/>
      <c r="J78" s="28">
        <f>List!C92</f>
        <v>46.73</v>
      </c>
      <c r="K78" s="68"/>
      <c r="L78" s="39"/>
      <c r="M78" s="225"/>
      <c r="N78" s="74"/>
      <c r="O78" s="13"/>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row>
    <row r="79" spans="1:253" s="14" customFormat="1" ht="18" customHeight="1" thickBot="1" x14ac:dyDescent="0.25">
      <c r="A79" s="387">
        <f>List!A93</f>
        <v>97597</v>
      </c>
      <c r="B79" s="394" t="str">
        <f>List!B93</f>
        <v>97597HBHV</v>
      </c>
      <c r="C79" s="392" t="str">
        <f>List!D93</f>
        <v>SA/MAT</v>
      </c>
      <c r="D79" s="394" t="str">
        <f>List!G93</f>
        <v>Wound Care Management</v>
      </c>
      <c r="E79" s="391" t="str">
        <f>List!E93</f>
        <v>Event</v>
      </c>
      <c r="F79" s="470">
        <f>List!F93</f>
        <v>1</v>
      </c>
      <c r="G79" s="709">
        <f t="shared" si="3"/>
        <v>63.15</v>
      </c>
      <c r="H79" s="67"/>
      <c r="I79" s="618"/>
      <c r="J79" s="28">
        <f>List!C93</f>
        <v>63.15</v>
      </c>
      <c r="K79" s="68"/>
      <c r="L79" s="39"/>
      <c r="M79" s="225"/>
      <c r="N79" s="74"/>
      <c r="O79" s="13"/>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row>
    <row r="80" spans="1:253" s="14" customFormat="1" ht="18" customHeight="1" thickBot="1" x14ac:dyDescent="0.25">
      <c r="A80" s="472" t="str">
        <f>List!A94</f>
        <v>H0002</v>
      </c>
      <c r="B80" s="473" t="str">
        <f>List!B94</f>
        <v>H0002HBHG</v>
      </c>
      <c r="C80" s="474" t="str">
        <f>List!D94</f>
        <v>SA/MAT</v>
      </c>
      <c r="D80" s="473" t="str">
        <f>List!G94</f>
        <v>GPRA Assessment</v>
      </c>
      <c r="E80" s="475" t="str">
        <f>List!E94</f>
        <v>Event</v>
      </c>
      <c r="F80" s="476">
        <f>List!F94</f>
        <v>3</v>
      </c>
      <c r="G80" s="710">
        <f t="shared" ref="G80" si="4">J80*F80</f>
        <v>123</v>
      </c>
      <c r="H80" s="251" t="e">
        <f>K55*G80</f>
        <v>#VALUE!</v>
      </c>
      <c r="I80" s="436"/>
      <c r="J80" s="204">
        <f>List!C94</f>
        <v>41</v>
      </c>
      <c r="K80" s="68"/>
      <c r="L80" s="247" t="e">
        <f>H80</f>
        <v>#VALUE!</v>
      </c>
      <c r="M80" s="225"/>
      <c r="N80" s="74"/>
      <c r="O80" s="13"/>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row>
    <row r="81" spans="1:253" s="17" customFormat="1" ht="18" customHeight="1" thickBot="1" x14ac:dyDescent="0.3">
      <c r="A81" s="190"/>
      <c r="B81" s="130"/>
      <c r="C81" s="127"/>
      <c r="D81" s="127"/>
      <c r="E81" s="127"/>
      <c r="F81" s="127"/>
      <c r="G81" s="127"/>
      <c r="H81" s="127" t="s">
        <v>45</v>
      </c>
      <c r="I81" s="122"/>
      <c r="J81" s="202"/>
      <c r="K81" s="128"/>
      <c r="L81" s="240">
        <f>L54+L57+L73</f>
        <v>0</v>
      </c>
      <c r="M81" s="244"/>
      <c r="N81" s="245">
        <v>0</v>
      </c>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row>
    <row r="82" spans="1:253" s="13" customFormat="1" ht="18.75" customHeight="1" thickBot="1" x14ac:dyDescent="0.3">
      <c r="A82" s="217"/>
      <c r="B82" s="218"/>
      <c r="C82" s="218"/>
      <c r="D82" s="219" t="s">
        <v>46</v>
      </c>
      <c r="E82" s="218"/>
      <c r="F82" s="218"/>
      <c r="G82" s="220"/>
      <c r="H82" s="104"/>
      <c r="I82" s="67"/>
      <c r="J82" s="203"/>
      <c r="K82" s="438">
        <f>ROUND(H83/G83/Days*F83,0)</f>
        <v>19</v>
      </c>
      <c r="L82" s="69"/>
      <c r="M82" s="36"/>
      <c r="N82" s="70"/>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row>
    <row r="83" spans="1:253" s="13" customFormat="1" ht="18.75" customHeight="1" thickBot="1" x14ac:dyDescent="0.25">
      <c r="A83" s="187" t="str">
        <f>List!A96</f>
        <v>T1502</v>
      </c>
      <c r="B83" s="187" t="str">
        <f>List!B96</f>
        <v>T1502HBHGHF</v>
      </c>
      <c r="C83" s="187" t="str">
        <f>List!D96</f>
        <v>SA/OBT</v>
      </c>
      <c r="D83" s="187" t="str">
        <f>List!G96</f>
        <v>Office Based Opioid Treatment - Adult</v>
      </c>
      <c r="E83" s="187" t="str">
        <f>List!E96</f>
        <v>Dose</v>
      </c>
      <c r="F83" s="23">
        <f>List!F96</f>
        <v>365</v>
      </c>
      <c r="G83" s="477">
        <f>F83*J83</f>
        <v>13114.45</v>
      </c>
      <c r="H83" s="214">
        <v>250000</v>
      </c>
      <c r="I83" s="72"/>
      <c r="J83" s="204">
        <f>List!C96</f>
        <v>35.93</v>
      </c>
      <c r="K83" s="73">
        <f>ROUND(H83/G83/Days*F83,0)</f>
        <v>19</v>
      </c>
      <c r="L83" s="38">
        <f>H83-H84-(K83*G90)</f>
        <v>202663</v>
      </c>
      <c r="M83" s="230">
        <f>K83</f>
        <v>19</v>
      </c>
      <c r="N83" s="74"/>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row>
    <row r="84" spans="1:253" s="14" customFormat="1" ht="18" customHeight="1" thickBot="1" x14ac:dyDescent="0.25">
      <c r="A84" s="187" t="str">
        <f>List!A97</f>
        <v>J2315</v>
      </c>
      <c r="B84" s="187" t="str">
        <f>List!B97</f>
        <v>J2315HBHF</v>
      </c>
      <c r="C84" s="187" t="str">
        <f>List!D97</f>
        <v>SA/OBT</v>
      </c>
      <c r="D84" s="187" t="str">
        <f>List!G97</f>
        <v>Injection - Naltrexone Extended-Release -Adult</v>
      </c>
      <c r="E84" s="187" t="str">
        <f>List!E97</f>
        <v>Dose</v>
      </c>
      <c r="F84" s="27">
        <f>List!F97</f>
        <v>13</v>
      </c>
      <c r="G84" s="477">
        <f t="shared" ref="G84:G85" si="5">F84*J84</f>
        <v>17440.28</v>
      </c>
      <c r="H84" s="215">
        <v>45000</v>
      </c>
      <c r="I84" s="72"/>
      <c r="J84" s="204">
        <f>List!C97</f>
        <v>1341.56</v>
      </c>
      <c r="K84" s="73">
        <f>ROUND(L84/(G84+G85),0)</f>
        <v>2</v>
      </c>
      <c r="L84" s="38">
        <f>H84-(K85*G90)</f>
        <v>44754</v>
      </c>
      <c r="M84" s="230">
        <f>K84</f>
        <v>2</v>
      </c>
      <c r="N84" s="7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row>
    <row r="85" spans="1:253" s="13" customFormat="1" ht="18.75" customHeight="1" x14ac:dyDescent="0.25">
      <c r="A85" s="187" t="str">
        <f>List!A98</f>
        <v>H0016</v>
      </c>
      <c r="B85" s="187" t="str">
        <f>List!B98</f>
        <v>H0016HBHF</v>
      </c>
      <c r="C85" s="187" t="str">
        <f>List!D98</f>
        <v>SA/OBT</v>
      </c>
      <c r="D85" s="187" t="str">
        <f>List!G98</f>
        <v>Medical Services - Naltrexone Extended-Release -Adult</v>
      </c>
      <c r="E85" s="187" t="str">
        <f>List!E98</f>
        <v>Event</v>
      </c>
      <c r="F85" s="27">
        <f>List!F98</f>
        <v>13</v>
      </c>
      <c r="G85" s="477">
        <f t="shared" si="5"/>
        <v>2500.6800000000003</v>
      </c>
      <c r="H85" s="216"/>
      <c r="I85" s="72"/>
      <c r="J85" s="204">
        <f>List!C98</f>
        <v>192.36</v>
      </c>
      <c r="K85" s="199">
        <f>ROUND(H84/(G84+G85),0)</f>
        <v>2</v>
      </c>
      <c r="L85" s="75"/>
      <c r="M85" s="36"/>
      <c r="N85" s="74"/>
      <c r="O85" s="16"/>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row>
    <row r="86" spans="1:253" s="13" customFormat="1" ht="18.75" customHeight="1" thickBot="1" x14ac:dyDescent="0.3">
      <c r="A86" s="221"/>
      <c r="B86" s="76"/>
      <c r="C86" s="76"/>
      <c r="D86" s="46" t="s">
        <v>47</v>
      </c>
      <c r="E86" s="76"/>
      <c r="F86" s="76"/>
      <c r="G86" s="222"/>
      <c r="H86" s="105"/>
      <c r="I86" s="72"/>
      <c r="J86" s="203"/>
      <c r="K86" s="439">
        <f>ROUND(H87/G87/Days*F87,0)</f>
        <v>0</v>
      </c>
      <c r="L86" s="75"/>
      <c r="M86" s="36"/>
      <c r="N86" s="74"/>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row>
    <row r="87" spans="1:253" s="13" customFormat="1" ht="18.75" customHeight="1" thickBot="1" x14ac:dyDescent="0.25">
      <c r="A87" s="187" t="str">
        <f>List!A100</f>
        <v>T1502</v>
      </c>
      <c r="B87" s="187" t="str">
        <f>List!B100</f>
        <v>T1502HBHDHGHF</v>
      </c>
      <c r="C87" s="187" t="str">
        <f>List!D100</f>
        <v>SA/OBT</v>
      </c>
      <c r="D87" s="187" t="str">
        <f>List!G100</f>
        <v>Office Based Opioid Treatment (Specialized Female)</v>
      </c>
      <c r="E87" s="187" t="str">
        <f>List!E100</f>
        <v>Dose</v>
      </c>
      <c r="F87" s="23">
        <f>List!F100</f>
        <v>365</v>
      </c>
      <c r="G87" s="477">
        <f>F87*J87</f>
        <v>13114.45</v>
      </c>
      <c r="H87" s="214"/>
      <c r="I87" s="72"/>
      <c r="J87" s="204">
        <f>List!C100</f>
        <v>35.93</v>
      </c>
      <c r="K87" s="213">
        <f>ROUND(H87/G87/Days*F87,0)</f>
        <v>0</v>
      </c>
      <c r="L87" s="38">
        <f>H87-H88-(K86*G90)</f>
        <v>0</v>
      </c>
      <c r="M87" s="230">
        <f>K87</f>
        <v>0</v>
      </c>
      <c r="N87" s="74"/>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row>
    <row r="88" spans="1:253" s="14" customFormat="1" ht="18.75" customHeight="1" thickBot="1" x14ac:dyDescent="0.25">
      <c r="A88" s="187" t="str">
        <f>List!A101</f>
        <v>J2315</v>
      </c>
      <c r="B88" s="187" t="str">
        <f>List!B101</f>
        <v>J2315HBHV</v>
      </c>
      <c r="C88" s="187" t="str">
        <f>List!D101</f>
        <v>SA/OBT</v>
      </c>
      <c r="D88" s="187" t="str">
        <f>List!G101</f>
        <v>Injection - Naltrexone Extended-Release -Specialized Female</v>
      </c>
      <c r="E88" s="187" t="str">
        <f>List!E101</f>
        <v>Dose</v>
      </c>
      <c r="F88" s="27">
        <f>List!F101</f>
        <v>13</v>
      </c>
      <c r="G88" s="477">
        <f t="shared" ref="G88:G89" si="6">F88*J88</f>
        <v>17440.28</v>
      </c>
      <c r="H88" s="215"/>
      <c r="I88" s="72"/>
      <c r="J88" s="204">
        <f>List!C101</f>
        <v>1341.56</v>
      </c>
      <c r="K88" s="73">
        <f>ROUND(L88/(G88+G89),0)</f>
        <v>0</v>
      </c>
      <c r="L88" s="38">
        <f>H88-(K89*G90)</f>
        <v>0</v>
      </c>
      <c r="M88" s="230">
        <f>K88</f>
        <v>0</v>
      </c>
      <c r="N88" s="74"/>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row>
    <row r="89" spans="1:253" s="14" customFormat="1" ht="18.75" customHeight="1" thickBot="1" x14ac:dyDescent="0.25">
      <c r="A89" s="187" t="str">
        <f>List!A102</f>
        <v>H0016</v>
      </c>
      <c r="B89" s="187" t="str">
        <f>List!B102</f>
        <v>H0016HBHV</v>
      </c>
      <c r="C89" s="187" t="str">
        <f>List!D102</f>
        <v>SA/OBT</v>
      </c>
      <c r="D89" s="187" t="str">
        <f>List!G102</f>
        <v>Medical Services - Naltrexone Extended-Release -Specialized Female</v>
      </c>
      <c r="E89" s="187" t="str">
        <f>List!E102</f>
        <v>Event</v>
      </c>
      <c r="F89" s="27">
        <f>List!F102</f>
        <v>13</v>
      </c>
      <c r="G89" s="477">
        <f t="shared" si="6"/>
        <v>2500.6800000000003</v>
      </c>
      <c r="H89" s="216"/>
      <c r="I89" s="72"/>
      <c r="J89" s="204">
        <f>List!C102</f>
        <v>192.36</v>
      </c>
      <c r="K89" s="199">
        <f>ROUND(H88/(G88+G89),0)</f>
        <v>0</v>
      </c>
      <c r="L89" s="75"/>
      <c r="M89" s="36"/>
      <c r="N89" s="74"/>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row>
    <row r="90" spans="1:253" s="14" customFormat="1" ht="18.75" customHeight="1" thickBot="1" x14ac:dyDescent="0.25">
      <c r="A90" s="187" t="str">
        <f>List!A103</f>
        <v>H0002</v>
      </c>
      <c r="B90" s="187" t="str">
        <f>List!B103</f>
        <v>H0002HBHGHF</v>
      </c>
      <c r="C90" s="187" t="str">
        <f>List!D103</f>
        <v>SA/OBT</v>
      </c>
      <c r="D90" s="187" t="str">
        <f>List!G103</f>
        <v>GPRA Assessment (OBT)</v>
      </c>
      <c r="E90" s="187" t="str">
        <f>List!E103</f>
        <v>Event</v>
      </c>
      <c r="F90" s="468">
        <f>List!F103</f>
        <v>3</v>
      </c>
      <c r="G90" s="24">
        <f t="shared" ref="G90" si="7">F90*J90</f>
        <v>123</v>
      </c>
      <c r="H90" s="216"/>
      <c r="I90" s="72"/>
      <c r="J90" s="204">
        <f>List!C103</f>
        <v>41</v>
      </c>
      <c r="K90" s="412">
        <f>K82+K85+K86+K89</f>
        <v>21</v>
      </c>
      <c r="L90" s="437">
        <f>K90*G90</f>
        <v>2583</v>
      </c>
      <c r="M90" s="36"/>
      <c r="N90" s="74"/>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row>
    <row r="91" spans="1:253" s="14" customFormat="1" ht="18.75" customHeight="1" thickBot="1" x14ac:dyDescent="0.3">
      <c r="A91" s="129"/>
      <c r="B91" s="130"/>
      <c r="C91" s="127"/>
      <c r="D91" s="127"/>
      <c r="E91" s="127"/>
      <c r="F91" s="127"/>
      <c r="G91" s="127"/>
      <c r="H91" s="127" t="s">
        <v>48</v>
      </c>
      <c r="I91" s="122"/>
      <c r="J91" s="123"/>
      <c r="K91" s="128"/>
      <c r="L91" s="231">
        <f>L83+L84+L87+L88+L90</f>
        <v>250000</v>
      </c>
      <c r="M91" s="232"/>
      <c r="N91" s="233">
        <v>0</v>
      </c>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row>
    <row r="92" spans="1:253" ht="18" x14ac:dyDescent="0.25">
      <c r="A92" s="146"/>
      <c r="B92" s="146"/>
      <c r="C92" s="147"/>
      <c r="D92" s="147"/>
      <c r="E92" s="147"/>
      <c r="F92" s="147"/>
      <c r="G92" s="147"/>
      <c r="H92" s="195"/>
      <c r="I92" s="195"/>
      <c r="J92" s="148"/>
      <c r="K92" s="149"/>
      <c r="L92" s="144"/>
      <c r="M92" s="57"/>
      <c r="N92" s="144"/>
    </row>
    <row r="93" spans="1:253" ht="18" x14ac:dyDescent="0.25">
      <c r="A93" s="146"/>
      <c r="B93" s="146"/>
      <c r="C93" s="147"/>
      <c r="D93" s="147"/>
      <c r="E93" s="147"/>
      <c r="F93" s="147"/>
      <c r="G93" s="147"/>
      <c r="H93" s="195"/>
      <c r="I93" s="195"/>
      <c r="J93" s="148"/>
      <c r="K93" s="149"/>
      <c r="L93" s="144"/>
      <c r="M93" s="57"/>
      <c r="N93" s="144"/>
    </row>
    <row r="94" spans="1:253" ht="18" x14ac:dyDescent="0.25">
      <c r="A94" s="146"/>
      <c r="B94" s="146"/>
      <c r="C94" s="147"/>
      <c r="D94" s="147"/>
      <c r="E94" s="147"/>
      <c r="F94" s="147"/>
      <c r="G94" s="147"/>
      <c r="H94" s="195"/>
      <c r="J94" s="148"/>
      <c r="K94" s="149"/>
      <c r="L94" s="144"/>
      <c r="M94" s="57"/>
      <c r="N94" s="145"/>
    </row>
    <row r="95" spans="1:253" ht="18" x14ac:dyDescent="0.25">
      <c r="A95" s="146"/>
      <c r="B95" s="146"/>
      <c r="C95" s="147"/>
      <c r="D95" s="147"/>
      <c r="E95" s="147"/>
      <c r="F95" s="147"/>
      <c r="G95" s="147"/>
      <c r="H95" s="143"/>
      <c r="I95" s="143"/>
      <c r="J95" s="148"/>
      <c r="K95" s="149"/>
      <c r="L95" s="144"/>
      <c r="M95" s="57"/>
      <c r="N95" s="144"/>
    </row>
    <row r="96" spans="1:253" x14ac:dyDescent="0.2">
      <c r="A96" s="30" t="s">
        <v>35</v>
      </c>
    </row>
    <row r="98" spans="1:1" ht="20.25" hidden="1" x14ac:dyDescent="0.3">
      <c r="A98" s="21"/>
    </row>
    <row r="120" spans="3:3" hidden="1" x14ac:dyDescent="0.2">
      <c r="C120" s="711" t="s">
        <v>36</v>
      </c>
    </row>
    <row r="121" spans="3:3" hidden="1" x14ac:dyDescent="0.2">
      <c r="C121" s="7">
        <v>1</v>
      </c>
    </row>
    <row r="122" spans="3:3" hidden="1" x14ac:dyDescent="0.2">
      <c r="C122" s="7">
        <v>2</v>
      </c>
    </row>
    <row r="123" spans="3:3" hidden="1" x14ac:dyDescent="0.2">
      <c r="C123" s="7">
        <v>3</v>
      </c>
    </row>
    <row r="124" spans="3:3" hidden="1" x14ac:dyDescent="0.2">
      <c r="C124" s="7">
        <v>4</v>
      </c>
    </row>
    <row r="125" spans="3:3" hidden="1" x14ac:dyDescent="0.2">
      <c r="C125" s="7">
        <v>5</v>
      </c>
    </row>
    <row r="126" spans="3:3" hidden="1" x14ac:dyDescent="0.2">
      <c r="C126" s="7">
        <v>6</v>
      </c>
    </row>
    <row r="127" spans="3:3" ht="15" hidden="1" x14ac:dyDescent="0.2">
      <c r="C127" s="19">
        <v>7</v>
      </c>
    </row>
    <row r="128" spans="3:3" hidden="1" x14ac:dyDescent="0.2">
      <c r="C128" s="20">
        <v>8</v>
      </c>
    </row>
    <row r="129" spans="3:3" hidden="1" x14ac:dyDescent="0.2">
      <c r="C129" s="20">
        <v>9</v>
      </c>
    </row>
    <row r="130" spans="3:3" hidden="1" x14ac:dyDescent="0.2">
      <c r="C130" s="20">
        <v>10</v>
      </c>
    </row>
    <row r="131" spans="3:3" hidden="1" x14ac:dyDescent="0.2">
      <c r="C131" s="20">
        <v>11</v>
      </c>
    </row>
    <row r="132" spans="3:3" x14ac:dyDescent="0.2"/>
    <row r="133" spans="3:3" x14ac:dyDescent="0.2"/>
  </sheetData>
  <sheetProtection algorithmName="SHA-512" hashValue="dX70DgovS2Hf7W0dMDlmpgoVLoDoVcecmq5ZdU3phtqTZSbMB/J2t7z0czEWMo/zR7E3FjjmynnbrxB4rLY6KA==" saltValue="yYT3L4fOioUP01jS3AkTwg==" spinCount="100000" sheet="1" selectLockedCells="1"/>
  <mergeCells count="1">
    <mergeCell ref="C3:D3"/>
  </mergeCells>
  <phoneticPr fontId="6" type="noConversion"/>
  <dataValidations xWindow="452" yWindow="903" count="21">
    <dataValidation type="list" allowBlank="1" showInputMessage="1" showErrorMessage="1" sqref="F5:F6" xr:uid="{0F147CA4-3B6A-487B-89FA-BECCC2D007EF}">
      <formula1>#REF!</formula1>
    </dataValidation>
    <dataValidation allowBlank="1" showInputMessage="1" showErrorMessage="1" prompt="Contractor:" sqref="C3:D3" xr:uid="{60E3DADB-8050-45B2-B94E-F45945CD059B}"/>
    <dataValidation allowBlank="1" showInputMessage="1" showErrorMessage="1" prompt="Contract start date:" sqref="G3" xr:uid="{26F3B545-EACA-464B-A215-C01546258420}"/>
    <dataValidation allowBlank="1" showInputMessage="1" showErrorMessage="1" prompt="Contract end date:" sqref="G4" xr:uid="{975453DA-1E00-42B7-B8CF-84FAA955D2D2}"/>
    <dataValidation allowBlank="1" showInputMessage="1" showErrorMessage="1" prompt="Required Match:" sqref="J5" xr:uid="{C6B0A457-46D3-4014-807A-C85872E69B53}"/>
    <dataValidation allowBlank="1" showInputMessage="1" showErrorMessage="1" prompt="Adult Residential Detoxification Award Amount:" sqref="H12" xr:uid="{101F3848-B144-4680-BACB-AE25964FC768}"/>
    <dataValidation allowBlank="1" showInputMessage="1" showErrorMessage="1" prompt="Adult Ambulatory Detoxification Award Amount:" sqref="H13" xr:uid="{5DAA6548-FD8B-4919-A764-E968D5BC8DA1}"/>
    <dataValidation allowBlank="1" showInputMessage="1" showErrorMessage="1" prompt="Adult Residential Intensive Award Amount:" sqref="H14" xr:uid="{BE381392-1A08-494E-B27C-DF23D334B592}"/>
    <dataValidation allowBlank="1" showInputMessage="1" showErrorMessage="1" prompt="Adult Outpatient Individual Award Amount:" sqref="H16" xr:uid="{BBF798C3-5C8F-4F7F-87D6-58FC4CA2C84E}"/>
    <dataValidation allowBlank="1" showInputMessage="1" showErrorMessage="1" prompt="Adult Spec Fem Residential Detox Award Amount:" sqref="H21" xr:uid="{B11FBF1F-4793-4768-974A-0F95BC23BE19}"/>
    <dataValidation allowBlank="1" showInputMessage="1" showErrorMessage="1" prompt="Adult Spec Fem Ambulatory Detox Award Amount:" sqref="H22" xr:uid="{140AAAF9-1227-4FF3-A045-85FCA2A7C521}"/>
    <dataValidation allowBlank="1" showInputMessage="1" showErrorMessage="1" prompt="Adult Spec Fem Residential Intensive Award Amount:" sqref="H23" xr:uid="{99795ADE-2F75-403E-B75A-79CA4ED27875}"/>
    <dataValidation allowBlank="1" showInputMessage="1" showErrorMessage="1" prompt="Adult Spec Fem Outpatient Individual Award Amount:" sqref="H25" xr:uid="{39FC5EBA-B5E0-4E1F-983A-9883DC67C26A}"/>
    <dataValidation allowBlank="1" showInputMessage="1" showErrorMessage="1" prompt="Adult Spec Fem W/C Residential Intensive Award Amount:" sqref="H29" xr:uid="{7EAF4397-EA69-4788-AB8D-695C88BEE9E6}"/>
    <dataValidation allowBlank="1" showInputMessage="1" showErrorMessage="1" prompt="Co-occurring Psychiatric &amp; Substance Abuse Disorders - Adult (COPSD) Award Amount:" sqref="H35" xr:uid="{82D62B63-317E-42DA-8CED-7135992B6C05}"/>
    <dataValidation allowBlank="1" showInputMessage="1" showErrorMessage="1" prompt="Youth Residential Intensive Award Amount:" sqref="H39" xr:uid="{8A5CB100-14A5-4233-923C-8888C3855F33}"/>
    <dataValidation allowBlank="1" showInputMessage="1" showErrorMessage="1" prompt="Youth Outpatient Services Award Amount:" sqref="H42" xr:uid="{44485ED2-A9FE-43F1-9E6C-D7B19F60ADDD}"/>
    <dataValidation allowBlank="1" showInputMessage="1" showErrorMessage="1" prompt="Opioid Treatment Services Award Amount:" sqref="H54" xr:uid="{6786334E-86B9-4F54-A15C-46E9AA1DEA6C}"/>
    <dataValidation allowBlank="1" showInputMessage="1" showErrorMessage="1" prompt="Adult Buprenophine - Day Rate Award Amount:" sqref="H83" xr:uid="{60E11D8F-2031-4F10-B8D5-F69B6C327C7C}"/>
    <dataValidation allowBlank="1" showInputMessage="1" showErrorMessage="1" prompt="Spec Fem Buprenophine - Day Rate Award Amount:" sqref="H87" xr:uid="{AE9911D3-3567-47AD-A31F-2E6D1428C922}"/>
    <dataValidation allowBlank="1" showInputMessage="1" showErrorMessage="1" prompt="Specialized Female Injection, Naltrexone Extended-Release Award Amount:" sqref="H88" xr:uid="{087C11EF-B907-4F47-9DEC-BDBAE382AD2E}"/>
  </dataValidations>
  <pageMargins left="0.25" right="0.25" top="0.25" bottom="0.25" header="0.5" footer="0.5"/>
  <pageSetup paperSize="17" scale="53" orientation="landscape" r:id="rId1"/>
  <headerFooter alignWithMargins="0"/>
  <rowBreaks count="1" manualBreakCount="1">
    <brk id="90" max="14" man="1"/>
  </rowBreaks>
  <colBreaks count="1" manualBreakCount="1">
    <brk id="14" max="1048575" man="1"/>
  </colBreaks>
  <legacyDrawing r:id="rId2"/>
  <extLst>
    <ext xmlns:x14="http://schemas.microsoft.com/office/spreadsheetml/2009/9/main" uri="{CCE6A557-97BC-4b89-ADB6-D9C93CAAB3DF}">
      <x14:dataValidations xmlns:xm="http://schemas.microsoft.com/office/excel/2006/main" xWindow="452" yWindow="903" count="1">
        <x14:dataValidation type="list" allowBlank="1" showInputMessage="1" showErrorMessage="1" prompt="Region:" xr:uid="{EB05BDD6-0D61-438A-A318-D73356B0EF3B}">
          <x14:formula1>
            <xm:f>Version!$A$180:$A$192</xm:f>
          </x14:formula1>
          <xm:sqref>J3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A533C-A112-4060-87F0-8594B8FDB937}">
  <dimension ref="A1:D199"/>
  <sheetViews>
    <sheetView workbookViewId="0">
      <selection activeCell="E8" sqref="E8"/>
    </sheetView>
  </sheetViews>
  <sheetFormatPr defaultRowHeight="12.75" x14ac:dyDescent="0.2"/>
  <cols>
    <col min="1" max="1" width="11" style="138" customWidth="1"/>
    <col min="2" max="2" width="20" style="138" bestFit="1" customWidth="1"/>
    <col min="3" max="3" width="96.140625" style="523" customWidth="1"/>
    <col min="4" max="4" width="10.140625" bestFit="1" customWidth="1"/>
  </cols>
  <sheetData>
    <row r="1" spans="1:4" x14ac:dyDescent="0.2">
      <c r="A1" s="183" t="s">
        <v>69</v>
      </c>
      <c r="B1" s="183" t="s">
        <v>70</v>
      </c>
      <c r="C1" s="520" t="s">
        <v>71</v>
      </c>
      <c r="D1" s="483">
        <v>45282</v>
      </c>
    </row>
    <row r="2" spans="1:4" x14ac:dyDescent="0.2">
      <c r="A2" s="139" t="s">
        <v>72</v>
      </c>
      <c r="B2" s="184" t="s">
        <v>73</v>
      </c>
      <c r="C2" s="521" t="s">
        <v>74</v>
      </c>
    </row>
    <row r="3" spans="1:4" x14ac:dyDescent="0.2">
      <c r="B3" s="184" t="s">
        <v>75</v>
      </c>
      <c r="C3" s="521" t="s">
        <v>76</v>
      </c>
    </row>
    <row r="4" spans="1:4" x14ac:dyDescent="0.2">
      <c r="B4" s="185" t="s">
        <v>77</v>
      </c>
      <c r="C4" s="521" t="s">
        <v>78</v>
      </c>
    </row>
    <row r="5" spans="1:4" x14ac:dyDescent="0.2">
      <c r="B5" s="185" t="s">
        <v>79</v>
      </c>
      <c r="C5" s="522" t="s">
        <v>80</v>
      </c>
    </row>
    <row r="6" spans="1:4" x14ac:dyDescent="0.2">
      <c r="B6" s="185" t="s">
        <v>81</v>
      </c>
      <c r="C6" s="521" t="s">
        <v>82</v>
      </c>
    </row>
    <row r="7" spans="1:4" x14ac:dyDescent="0.2">
      <c r="A7" s="139" t="s">
        <v>83</v>
      </c>
      <c r="B7" s="185" t="s">
        <v>84</v>
      </c>
      <c r="C7" s="521" t="s">
        <v>85</v>
      </c>
    </row>
    <row r="8" spans="1:4" x14ac:dyDescent="0.2">
      <c r="B8" s="185" t="s">
        <v>86</v>
      </c>
      <c r="C8" s="521" t="s">
        <v>87</v>
      </c>
    </row>
    <row r="9" spans="1:4" x14ac:dyDescent="0.2">
      <c r="B9" s="138" t="s">
        <v>88</v>
      </c>
      <c r="C9" s="521" t="s">
        <v>89</v>
      </c>
    </row>
    <row r="10" spans="1:4" x14ac:dyDescent="0.2">
      <c r="B10" s="138" t="s">
        <v>88</v>
      </c>
      <c r="C10" s="521" t="s">
        <v>90</v>
      </c>
    </row>
    <row r="11" spans="1:4" x14ac:dyDescent="0.2">
      <c r="B11" s="139" t="s">
        <v>91</v>
      </c>
      <c r="C11" s="522" t="s">
        <v>92</v>
      </c>
    </row>
    <row r="12" spans="1:4" x14ac:dyDescent="0.2">
      <c r="B12" s="139" t="s">
        <v>93</v>
      </c>
      <c r="C12" s="522" t="s">
        <v>94</v>
      </c>
    </row>
    <row r="13" spans="1:4" ht="38.25" x14ac:dyDescent="0.2">
      <c r="A13" s="139" t="s">
        <v>95</v>
      </c>
      <c r="B13" s="524" t="s">
        <v>96</v>
      </c>
      <c r="C13" s="521" t="s">
        <v>97</v>
      </c>
    </row>
    <row r="14" spans="1:4" ht="25.5" x14ac:dyDescent="0.2">
      <c r="A14" s="139" t="s">
        <v>98</v>
      </c>
      <c r="B14" s="139" t="s">
        <v>98</v>
      </c>
      <c r="C14" s="522" t="s">
        <v>99</v>
      </c>
    </row>
    <row r="15" spans="1:4" x14ac:dyDescent="0.2">
      <c r="A15" s="139" t="s">
        <v>100</v>
      </c>
      <c r="B15" s="139" t="s">
        <v>101</v>
      </c>
      <c r="C15" s="522" t="s">
        <v>102</v>
      </c>
    </row>
    <row r="16" spans="1:4" x14ac:dyDescent="0.2">
      <c r="A16" s="138" t="s">
        <v>103</v>
      </c>
      <c r="B16" s="138" t="s">
        <v>103</v>
      </c>
      <c r="C16" s="521" t="s">
        <v>104</v>
      </c>
    </row>
    <row r="17" spans="1:3" x14ac:dyDescent="0.2">
      <c r="A17" s="138" t="s">
        <v>538</v>
      </c>
      <c r="B17" s="138" t="s">
        <v>538</v>
      </c>
      <c r="C17" s="521" t="s">
        <v>539</v>
      </c>
    </row>
    <row r="18" spans="1:3" x14ac:dyDescent="0.2">
      <c r="C18" s="521"/>
    </row>
    <row r="19" spans="1:3" x14ac:dyDescent="0.2">
      <c r="C19" s="521"/>
    </row>
    <row r="20" spans="1:3" x14ac:dyDescent="0.2">
      <c r="C20" s="521"/>
    </row>
    <row r="21" spans="1:3" x14ac:dyDescent="0.2">
      <c r="C21" s="521"/>
    </row>
    <row r="22" spans="1:3" x14ac:dyDescent="0.2">
      <c r="C22" s="521"/>
    </row>
    <row r="23" spans="1:3" x14ac:dyDescent="0.2">
      <c r="C23" s="521"/>
    </row>
    <row r="24" spans="1:3" x14ac:dyDescent="0.2">
      <c r="C24" s="521"/>
    </row>
    <row r="181" spans="1:2" x14ac:dyDescent="0.2">
      <c r="A181" s="229" t="s">
        <v>105</v>
      </c>
      <c r="B181" s="229"/>
    </row>
    <row r="182" spans="1:2" x14ac:dyDescent="0.2">
      <c r="A182" s="229" t="s">
        <v>106</v>
      </c>
      <c r="B182" s="229"/>
    </row>
    <row r="183" spans="1:2" x14ac:dyDescent="0.2">
      <c r="A183" s="229" t="s">
        <v>107</v>
      </c>
      <c r="B183" s="229"/>
    </row>
    <row r="184" spans="1:2" x14ac:dyDescent="0.2">
      <c r="A184" s="229" t="s">
        <v>108</v>
      </c>
      <c r="B184" s="229"/>
    </row>
    <row r="185" spans="1:2" x14ac:dyDescent="0.2">
      <c r="A185" s="229" t="s">
        <v>109</v>
      </c>
      <c r="B185" s="229"/>
    </row>
    <row r="186" spans="1:2" x14ac:dyDescent="0.2">
      <c r="A186" s="229" t="s">
        <v>110</v>
      </c>
      <c r="B186" s="229"/>
    </row>
    <row r="187" spans="1:2" x14ac:dyDescent="0.2">
      <c r="A187" s="229" t="s">
        <v>111</v>
      </c>
      <c r="B187" s="229"/>
    </row>
    <row r="188" spans="1:2" x14ac:dyDescent="0.2">
      <c r="A188" s="229" t="s">
        <v>112</v>
      </c>
      <c r="B188" s="229"/>
    </row>
    <row r="189" spans="1:2" x14ac:dyDescent="0.2">
      <c r="A189" s="229" t="s">
        <v>113</v>
      </c>
      <c r="B189" s="229"/>
    </row>
    <row r="190" spans="1:2" x14ac:dyDescent="0.2">
      <c r="A190" s="229" t="s">
        <v>114</v>
      </c>
      <c r="B190" s="229"/>
    </row>
    <row r="191" spans="1:2" x14ac:dyDescent="0.2">
      <c r="A191" s="229" t="s">
        <v>115</v>
      </c>
      <c r="B191" s="229"/>
    </row>
    <row r="192" spans="1:2" x14ac:dyDescent="0.2">
      <c r="A192" s="229" t="s">
        <v>36</v>
      </c>
      <c r="B192" s="229"/>
    </row>
    <row r="199" spans="1:2" x14ac:dyDescent="0.2">
      <c r="A199" s="139" t="s">
        <v>37</v>
      </c>
      <c r="B199" s="139"/>
    </row>
  </sheetData>
  <sheetProtection algorithmName="SHA-512" hashValue="tIrZfSElyJmaAp1nYiY/x0pnXrqOhiZPxTh5YgKiUpSBZdNEm1maOpFyImG5dYF7iz7BJBDxO2EwThSvdKO0oA==" saltValue="uJ1gccZJiznPvovkLYn7Eg==" spinCount="100000" sheet="1" objects="1" scenarios="1"/>
  <phoneticPr fontId="32"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17ABC-4324-480F-ADCE-277B580C6CC9}">
  <dimension ref="A1:I181"/>
  <sheetViews>
    <sheetView zoomScale="90" zoomScaleNormal="90" workbookViewId="0">
      <selection activeCell="C118" sqref="C118"/>
    </sheetView>
  </sheetViews>
  <sheetFormatPr defaultColWidth="9.140625" defaultRowHeight="15" x14ac:dyDescent="0.25"/>
  <cols>
    <col min="1" max="1" width="15.85546875" style="263" bestFit="1" customWidth="1"/>
    <col min="2" max="2" width="16.42578125" style="263" bestFit="1" customWidth="1"/>
    <col min="3" max="3" width="16.42578125" style="263" customWidth="1"/>
    <col min="4" max="4" width="18" style="262" bestFit="1" customWidth="1"/>
    <col min="5" max="6" width="12.7109375" style="262" customWidth="1"/>
    <col min="7" max="7" width="75.7109375" style="263" bestFit="1" customWidth="1"/>
    <col min="8" max="8" width="53.140625" style="495" customWidth="1"/>
    <col min="9" max="9" width="9.85546875" style="263" customWidth="1"/>
    <col min="10" max="16384" width="9.140625" style="263"/>
  </cols>
  <sheetData>
    <row r="1" spans="1:9" ht="30.75" thickBot="1" x14ac:dyDescent="0.3">
      <c r="A1" s="258" t="s">
        <v>13</v>
      </c>
      <c r="B1" s="259" t="s">
        <v>14</v>
      </c>
      <c r="C1" s="260" t="s">
        <v>116</v>
      </c>
      <c r="D1" s="261" t="s">
        <v>15</v>
      </c>
      <c r="E1" s="261" t="s">
        <v>17</v>
      </c>
      <c r="F1" s="261" t="s">
        <v>117</v>
      </c>
      <c r="G1" s="735" t="s">
        <v>16</v>
      </c>
      <c r="H1" s="261" t="s">
        <v>118</v>
      </c>
      <c r="I1" s="768" t="s">
        <v>119</v>
      </c>
    </row>
    <row r="2" spans="1:9" ht="15.75" thickBot="1" x14ac:dyDescent="0.3">
      <c r="A2" s="727"/>
      <c r="B2" s="728"/>
      <c r="C2" s="728"/>
      <c r="D2" s="728"/>
      <c r="E2" s="728"/>
      <c r="F2" s="728" t="s">
        <v>27</v>
      </c>
      <c r="G2" s="728"/>
      <c r="H2" s="728"/>
      <c r="I2" s="736"/>
    </row>
    <row r="3" spans="1:9" ht="60" x14ac:dyDescent="0.25">
      <c r="A3" s="264" t="s">
        <v>120</v>
      </c>
      <c r="B3" s="264" t="s">
        <v>121</v>
      </c>
      <c r="C3" s="265">
        <v>120.72</v>
      </c>
      <c r="D3" s="266" t="s">
        <v>122</v>
      </c>
      <c r="E3" s="266" t="s">
        <v>123</v>
      </c>
      <c r="F3" s="266">
        <v>28</v>
      </c>
      <c r="G3" s="496" t="s">
        <v>124</v>
      </c>
      <c r="H3" s="720" t="s">
        <v>125</v>
      </c>
      <c r="I3" s="264" t="s">
        <v>126</v>
      </c>
    </row>
    <row r="4" spans="1:9" ht="60" x14ac:dyDescent="0.25">
      <c r="A4" s="267" t="s">
        <v>120</v>
      </c>
      <c r="B4" s="268" t="s">
        <v>127</v>
      </c>
      <c r="C4" s="269">
        <v>52.12</v>
      </c>
      <c r="D4" s="270" t="s">
        <v>122</v>
      </c>
      <c r="E4" s="270" t="s">
        <v>123</v>
      </c>
      <c r="F4" s="270">
        <v>35</v>
      </c>
      <c r="G4" s="496" t="s">
        <v>128</v>
      </c>
      <c r="H4" s="718" t="s">
        <v>129</v>
      </c>
      <c r="I4" s="264" t="s">
        <v>126</v>
      </c>
    </row>
    <row r="5" spans="1:9" ht="60" x14ac:dyDescent="0.25">
      <c r="A5" s="264" t="s">
        <v>130</v>
      </c>
      <c r="B5" s="264" t="s">
        <v>131</v>
      </c>
      <c r="C5" s="265">
        <v>134.76</v>
      </c>
      <c r="D5" s="271" t="s">
        <v>122</v>
      </c>
      <c r="E5" s="271" t="s">
        <v>132</v>
      </c>
      <c r="F5" s="271">
        <v>9</v>
      </c>
      <c r="G5" s="496" t="s">
        <v>133</v>
      </c>
      <c r="H5" s="718" t="s">
        <v>134</v>
      </c>
      <c r="I5" s="264" t="s">
        <v>126</v>
      </c>
    </row>
    <row r="6" spans="1:9" ht="30" x14ac:dyDescent="0.25">
      <c r="A6" s="267" t="s">
        <v>135</v>
      </c>
      <c r="B6" s="268" t="s">
        <v>136</v>
      </c>
      <c r="C6" s="269">
        <v>30.1</v>
      </c>
      <c r="D6" s="270" t="s">
        <v>122</v>
      </c>
      <c r="E6" s="270" t="s">
        <v>132</v>
      </c>
      <c r="F6" s="270">
        <v>10</v>
      </c>
      <c r="G6" s="496" t="s">
        <v>137</v>
      </c>
      <c r="H6" s="718" t="s">
        <v>138</v>
      </c>
      <c r="I6" s="264" t="s">
        <v>126</v>
      </c>
    </row>
    <row r="7" spans="1:9" ht="30" x14ac:dyDescent="0.25">
      <c r="A7" s="267" t="s">
        <v>139</v>
      </c>
      <c r="B7" s="267" t="s">
        <v>140</v>
      </c>
      <c r="C7" s="265">
        <v>17.79</v>
      </c>
      <c r="D7" s="266" t="s">
        <v>122</v>
      </c>
      <c r="E7" s="266" t="s">
        <v>132</v>
      </c>
      <c r="F7" s="266">
        <v>32</v>
      </c>
      <c r="G7" s="496" t="s">
        <v>141</v>
      </c>
      <c r="H7" s="718" t="s">
        <v>142</v>
      </c>
      <c r="I7" s="264" t="s">
        <v>126</v>
      </c>
    </row>
    <row r="8" spans="1:9" ht="60" x14ac:dyDescent="0.25">
      <c r="A8" s="267" t="s">
        <v>143</v>
      </c>
      <c r="B8" s="268" t="s">
        <v>144</v>
      </c>
      <c r="C8" s="269">
        <v>237.01</v>
      </c>
      <c r="D8" s="270" t="s">
        <v>122</v>
      </c>
      <c r="E8" s="270" t="s">
        <v>123</v>
      </c>
      <c r="F8" s="270">
        <v>5</v>
      </c>
      <c r="G8" s="496" t="s">
        <v>145</v>
      </c>
      <c r="H8" s="718" t="s">
        <v>146</v>
      </c>
      <c r="I8" s="264" t="s">
        <v>126</v>
      </c>
    </row>
    <row r="9" spans="1:9" ht="45" x14ac:dyDescent="0.25">
      <c r="A9" s="267" t="s">
        <v>147</v>
      </c>
      <c r="B9" s="267" t="s">
        <v>148</v>
      </c>
      <c r="C9" s="265">
        <v>88.95</v>
      </c>
      <c r="D9" s="266" t="s">
        <v>122</v>
      </c>
      <c r="E9" s="266" t="s">
        <v>123</v>
      </c>
      <c r="F9" s="266">
        <v>6</v>
      </c>
      <c r="G9" s="496" t="s">
        <v>149</v>
      </c>
      <c r="H9" s="718" t="s">
        <v>150</v>
      </c>
      <c r="I9" s="264" t="s">
        <v>126</v>
      </c>
    </row>
    <row r="10" spans="1:9" ht="60" x14ac:dyDescent="0.25">
      <c r="A10" s="267" t="s">
        <v>120</v>
      </c>
      <c r="B10" s="268" t="s">
        <v>151</v>
      </c>
      <c r="C10" s="269">
        <v>187.18</v>
      </c>
      <c r="D10" s="270" t="s">
        <v>122</v>
      </c>
      <c r="E10" s="270" t="s">
        <v>123</v>
      </c>
      <c r="F10" s="270">
        <v>28</v>
      </c>
      <c r="G10" s="496" t="s">
        <v>152</v>
      </c>
      <c r="H10" s="718" t="s">
        <v>153</v>
      </c>
      <c r="I10" s="264" t="s">
        <v>126</v>
      </c>
    </row>
    <row r="11" spans="1:9" ht="60.75" thickBot="1" x14ac:dyDescent="0.3">
      <c r="A11" s="272" t="s">
        <v>154</v>
      </c>
      <c r="B11" s="272" t="s">
        <v>155</v>
      </c>
      <c r="C11" s="265">
        <v>35.58</v>
      </c>
      <c r="D11" s="273" t="s">
        <v>122</v>
      </c>
      <c r="E11" s="273" t="s">
        <v>123</v>
      </c>
      <c r="F11" s="273">
        <v>28</v>
      </c>
      <c r="G11" s="496" t="s">
        <v>156</v>
      </c>
      <c r="H11" s="718" t="s">
        <v>157</v>
      </c>
      <c r="I11" s="264" t="s">
        <v>126</v>
      </c>
    </row>
    <row r="12" spans="1:9" ht="15.75" thickBot="1" x14ac:dyDescent="0.3">
      <c r="A12" s="728"/>
      <c r="B12" s="728"/>
      <c r="C12" s="728"/>
      <c r="D12" s="728"/>
      <c r="E12" s="728"/>
      <c r="F12" s="728" t="s">
        <v>158</v>
      </c>
      <c r="G12" s="721"/>
      <c r="H12" s="721"/>
      <c r="I12" s="722"/>
    </row>
    <row r="13" spans="1:9" ht="60" x14ac:dyDescent="0.25">
      <c r="A13" s="264" t="s">
        <v>120</v>
      </c>
      <c r="B13" s="264" t="s">
        <v>159</v>
      </c>
      <c r="C13" s="265">
        <v>194.12</v>
      </c>
      <c r="D13" s="274" t="s">
        <v>160</v>
      </c>
      <c r="E13" s="275" t="s">
        <v>123</v>
      </c>
      <c r="F13" s="275">
        <v>30</v>
      </c>
      <c r="G13" s="496" t="s">
        <v>161</v>
      </c>
      <c r="H13" s="718" t="s">
        <v>162</v>
      </c>
      <c r="I13" s="264" t="s">
        <v>126</v>
      </c>
    </row>
    <row r="14" spans="1:9" ht="60" x14ac:dyDescent="0.25">
      <c r="A14" s="267" t="s">
        <v>120</v>
      </c>
      <c r="B14" s="268" t="s">
        <v>163</v>
      </c>
      <c r="C14" s="269">
        <v>123.18</v>
      </c>
      <c r="D14" s="276" t="s">
        <v>160</v>
      </c>
      <c r="E14" s="277" t="s">
        <v>123</v>
      </c>
      <c r="F14" s="277">
        <v>30</v>
      </c>
      <c r="G14" s="496" t="s">
        <v>164</v>
      </c>
      <c r="H14" s="718" t="s">
        <v>165</v>
      </c>
      <c r="I14" s="264" t="s">
        <v>126</v>
      </c>
    </row>
    <row r="15" spans="1:9" ht="75" x14ac:dyDescent="0.25">
      <c r="A15" s="267" t="s">
        <v>120</v>
      </c>
      <c r="B15" s="267" t="s">
        <v>166</v>
      </c>
      <c r="C15" s="265">
        <v>233.82</v>
      </c>
      <c r="D15" s="278" t="s">
        <v>160</v>
      </c>
      <c r="E15" s="279" t="s">
        <v>123</v>
      </c>
      <c r="F15" s="279">
        <v>45</v>
      </c>
      <c r="G15" s="496" t="s">
        <v>167</v>
      </c>
      <c r="H15" s="718" t="s">
        <v>168</v>
      </c>
      <c r="I15" s="264" t="s">
        <v>126</v>
      </c>
    </row>
    <row r="16" spans="1:9" ht="45" x14ac:dyDescent="0.25">
      <c r="A16" s="406" t="s">
        <v>154</v>
      </c>
      <c r="B16" s="406" t="s">
        <v>169</v>
      </c>
      <c r="C16" s="269">
        <v>54.41</v>
      </c>
      <c r="D16" s="279" t="s">
        <v>160</v>
      </c>
      <c r="E16" s="279" t="s">
        <v>123</v>
      </c>
      <c r="F16" s="279">
        <v>35</v>
      </c>
      <c r="G16" s="496" t="s">
        <v>170</v>
      </c>
      <c r="H16" s="718" t="s">
        <v>171</v>
      </c>
      <c r="I16" s="264" t="s">
        <v>126</v>
      </c>
    </row>
    <row r="17" spans="1:9" ht="45" x14ac:dyDescent="0.25">
      <c r="A17" s="406" t="s">
        <v>154</v>
      </c>
      <c r="B17" s="406" t="s">
        <v>172</v>
      </c>
      <c r="C17" s="269">
        <v>107.78</v>
      </c>
      <c r="D17" s="279" t="s">
        <v>160</v>
      </c>
      <c r="E17" s="279" t="s">
        <v>123</v>
      </c>
      <c r="F17" s="279">
        <v>35</v>
      </c>
      <c r="G17" s="496" t="s">
        <v>173</v>
      </c>
      <c r="H17" s="718" t="s">
        <v>174</v>
      </c>
      <c r="I17" s="264" t="s">
        <v>126</v>
      </c>
    </row>
    <row r="18" spans="1:9" ht="60" x14ac:dyDescent="0.25">
      <c r="A18" s="406" t="s">
        <v>120</v>
      </c>
      <c r="B18" s="339" t="s">
        <v>175</v>
      </c>
      <c r="C18" s="269">
        <v>186.94</v>
      </c>
      <c r="D18" s="278" t="s">
        <v>160</v>
      </c>
      <c r="E18" s="279" t="s">
        <v>123</v>
      </c>
      <c r="F18" s="279">
        <v>35</v>
      </c>
      <c r="G18" s="496" t="s">
        <v>176</v>
      </c>
      <c r="H18" s="718" t="s">
        <v>177</v>
      </c>
      <c r="I18" s="264" t="s">
        <v>126</v>
      </c>
    </row>
    <row r="19" spans="1:9" ht="60" x14ac:dyDescent="0.25">
      <c r="A19" s="406" t="s">
        <v>130</v>
      </c>
      <c r="B19" s="339" t="s">
        <v>178</v>
      </c>
      <c r="C19" s="269">
        <v>168.01</v>
      </c>
      <c r="D19" s="278" t="s">
        <v>160</v>
      </c>
      <c r="E19" s="279" t="s">
        <v>132</v>
      </c>
      <c r="F19" s="279">
        <v>9</v>
      </c>
      <c r="G19" s="496" t="s">
        <v>179</v>
      </c>
      <c r="H19" s="718" t="s">
        <v>180</v>
      </c>
      <c r="I19" s="264" t="s">
        <v>126</v>
      </c>
    </row>
    <row r="20" spans="1:9" ht="30" x14ac:dyDescent="0.25">
      <c r="A20" s="406" t="s">
        <v>135</v>
      </c>
      <c r="B20" s="406" t="s">
        <v>181</v>
      </c>
      <c r="C20" s="265">
        <v>40.840000000000003</v>
      </c>
      <c r="D20" s="278" t="s">
        <v>160</v>
      </c>
      <c r="E20" s="279" t="s">
        <v>132</v>
      </c>
      <c r="F20" s="279">
        <v>10</v>
      </c>
      <c r="G20" s="496" t="s">
        <v>182</v>
      </c>
      <c r="H20" s="718" t="s">
        <v>183</v>
      </c>
      <c r="I20" s="264" t="s">
        <v>126</v>
      </c>
    </row>
    <row r="21" spans="1:9" ht="45" x14ac:dyDescent="0.25">
      <c r="A21" s="406" t="s">
        <v>139</v>
      </c>
      <c r="B21" s="339" t="s">
        <v>184</v>
      </c>
      <c r="C21" s="269">
        <v>17.79</v>
      </c>
      <c r="D21" s="280" t="s">
        <v>160</v>
      </c>
      <c r="E21" s="281" t="s">
        <v>132</v>
      </c>
      <c r="F21" s="281">
        <v>32</v>
      </c>
      <c r="G21" s="496" t="s">
        <v>185</v>
      </c>
      <c r="H21" s="718" t="s">
        <v>186</v>
      </c>
      <c r="I21" s="264" t="s">
        <v>126</v>
      </c>
    </row>
    <row r="22" spans="1:9" ht="60" x14ac:dyDescent="0.25">
      <c r="A22" s="406" t="s">
        <v>143</v>
      </c>
      <c r="B22" s="339" t="s">
        <v>187</v>
      </c>
      <c r="C22" s="269">
        <v>238.75</v>
      </c>
      <c r="D22" s="276" t="s">
        <v>160</v>
      </c>
      <c r="E22" s="277" t="s">
        <v>123</v>
      </c>
      <c r="F22" s="277">
        <v>5</v>
      </c>
      <c r="G22" s="496" t="s">
        <v>188</v>
      </c>
      <c r="H22" s="718" t="s">
        <v>189</v>
      </c>
      <c r="I22" s="264" t="s">
        <v>126</v>
      </c>
    </row>
    <row r="23" spans="1:9" ht="60.75" thickBot="1" x14ac:dyDescent="0.3">
      <c r="A23" s="285" t="s">
        <v>147</v>
      </c>
      <c r="B23" s="285" t="s">
        <v>190</v>
      </c>
      <c r="C23" s="265">
        <v>88.95</v>
      </c>
      <c r="D23" s="274" t="s">
        <v>160</v>
      </c>
      <c r="E23" s="330" t="s">
        <v>123</v>
      </c>
      <c r="F23" s="330">
        <v>6</v>
      </c>
      <c r="G23" s="497" t="s">
        <v>191</v>
      </c>
      <c r="H23" s="719" t="s">
        <v>192</v>
      </c>
      <c r="I23" s="264" t="s">
        <v>126</v>
      </c>
    </row>
    <row r="24" spans="1:9" ht="15.75" thickBot="1" x14ac:dyDescent="0.3">
      <c r="A24" s="727"/>
      <c r="B24" s="728"/>
      <c r="C24" s="728"/>
      <c r="D24" s="728"/>
      <c r="E24" s="728"/>
      <c r="F24" s="728" t="s">
        <v>31</v>
      </c>
      <c r="G24" s="737"/>
      <c r="H24" s="737"/>
      <c r="I24" s="736"/>
    </row>
    <row r="25" spans="1:9" ht="60" x14ac:dyDescent="0.25">
      <c r="A25" s="264" t="s">
        <v>193</v>
      </c>
      <c r="B25" s="282" t="s">
        <v>194</v>
      </c>
      <c r="C25" s="772">
        <v>66.98</v>
      </c>
      <c r="D25" s="283" t="s">
        <v>195</v>
      </c>
      <c r="E25" s="266" t="s">
        <v>132</v>
      </c>
      <c r="F25" s="266">
        <v>17</v>
      </c>
      <c r="G25" s="496" t="s">
        <v>196</v>
      </c>
      <c r="H25" s="720" t="s">
        <v>197</v>
      </c>
      <c r="I25" s="264" t="s">
        <v>126</v>
      </c>
    </row>
    <row r="26" spans="1:9" ht="60.75" thickBot="1" x14ac:dyDescent="0.3">
      <c r="A26" s="284" t="s">
        <v>193</v>
      </c>
      <c r="B26" s="285" t="s">
        <v>198</v>
      </c>
      <c r="C26" s="286">
        <v>66.98</v>
      </c>
      <c r="D26" s="287" t="s">
        <v>195</v>
      </c>
      <c r="E26" s="273" t="s">
        <v>132</v>
      </c>
      <c r="F26" s="273">
        <v>17</v>
      </c>
      <c r="G26" s="497" t="s">
        <v>199</v>
      </c>
      <c r="H26" s="719" t="s">
        <v>200</v>
      </c>
      <c r="I26" s="264" t="s">
        <v>126</v>
      </c>
    </row>
    <row r="27" spans="1:9" ht="15.75" thickBot="1" x14ac:dyDescent="0.3">
      <c r="A27" s="727"/>
      <c r="B27" s="728"/>
      <c r="C27" s="728"/>
      <c r="D27" s="728"/>
      <c r="E27" s="728"/>
      <c r="F27" s="728" t="s">
        <v>32</v>
      </c>
      <c r="G27" s="737"/>
      <c r="H27" s="737"/>
      <c r="I27" s="736"/>
    </row>
    <row r="28" spans="1:9" ht="60" x14ac:dyDescent="0.25">
      <c r="A28" s="264" t="s">
        <v>120</v>
      </c>
      <c r="B28" s="288" t="s">
        <v>201</v>
      </c>
      <c r="C28" s="265">
        <v>197.04</v>
      </c>
      <c r="D28" s="283" t="s">
        <v>202</v>
      </c>
      <c r="E28" s="283" t="s">
        <v>123</v>
      </c>
      <c r="F28" s="283">
        <v>60</v>
      </c>
      <c r="G28" s="496" t="s">
        <v>203</v>
      </c>
      <c r="H28" s="720" t="s">
        <v>204</v>
      </c>
      <c r="I28" s="264" t="s">
        <v>126</v>
      </c>
    </row>
    <row r="29" spans="1:9" ht="45" x14ac:dyDescent="0.25">
      <c r="A29" s="267" t="s">
        <v>154</v>
      </c>
      <c r="B29" s="289" t="s">
        <v>205</v>
      </c>
      <c r="C29" s="269">
        <v>26.16</v>
      </c>
      <c r="D29" s="290" t="s">
        <v>202</v>
      </c>
      <c r="E29" s="290" t="s">
        <v>123</v>
      </c>
      <c r="F29" s="290">
        <v>60</v>
      </c>
      <c r="G29" s="496" t="s">
        <v>206</v>
      </c>
      <c r="H29" s="718" t="s">
        <v>207</v>
      </c>
      <c r="I29" s="264" t="s">
        <v>126</v>
      </c>
    </row>
    <row r="30" spans="1:9" ht="60" x14ac:dyDescent="0.25">
      <c r="A30" s="267" t="s">
        <v>120</v>
      </c>
      <c r="B30" s="291" t="s">
        <v>208</v>
      </c>
      <c r="C30" s="265">
        <v>158.27000000000001</v>
      </c>
      <c r="D30" s="292" t="s">
        <v>202</v>
      </c>
      <c r="E30" s="271" t="s">
        <v>123</v>
      </c>
      <c r="F30" s="271">
        <v>30</v>
      </c>
      <c r="G30" s="496" t="s">
        <v>209</v>
      </c>
      <c r="H30" s="718" t="s">
        <v>210</v>
      </c>
      <c r="I30" s="264" t="s">
        <v>126</v>
      </c>
    </row>
    <row r="31" spans="1:9" x14ac:dyDescent="0.25">
      <c r="A31" s="313"/>
      <c r="B31" s="308"/>
      <c r="C31" s="308"/>
      <c r="D31" s="305"/>
      <c r="E31" s="305"/>
      <c r="F31" s="334" t="s">
        <v>67</v>
      </c>
      <c r="G31" s="750"/>
      <c r="H31" s="750"/>
      <c r="I31" s="751"/>
    </row>
    <row r="32" spans="1:9" ht="60" x14ac:dyDescent="0.25">
      <c r="A32" s="267" t="s">
        <v>130</v>
      </c>
      <c r="B32" s="289" t="s">
        <v>211</v>
      </c>
      <c r="C32" s="269">
        <v>134.76</v>
      </c>
      <c r="D32" s="293" t="s">
        <v>202</v>
      </c>
      <c r="E32" s="293" t="s">
        <v>132</v>
      </c>
      <c r="F32" s="293">
        <v>2</v>
      </c>
      <c r="G32" s="496" t="s">
        <v>212</v>
      </c>
      <c r="H32" s="718" t="s">
        <v>213</v>
      </c>
      <c r="I32" s="264" t="s">
        <v>126</v>
      </c>
    </row>
    <row r="33" spans="1:9" ht="45" x14ac:dyDescent="0.25">
      <c r="A33" s="267" t="s">
        <v>214</v>
      </c>
      <c r="B33" s="295" t="s">
        <v>215</v>
      </c>
      <c r="C33" s="269">
        <v>62.79</v>
      </c>
      <c r="D33" s="293" t="s">
        <v>202</v>
      </c>
      <c r="E33" s="293" t="s">
        <v>132</v>
      </c>
      <c r="F33" s="293">
        <v>2</v>
      </c>
      <c r="G33" s="496" t="s">
        <v>216</v>
      </c>
      <c r="H33" s="718" t="s">
        <v>217</v>
      </c>
      <c r="I33" s="264" t="s">
        <v>126</v>
      </c>
    </row>
    <row r="34" spans="1:9" ht="30" x14ac:dyDescent="0.25">
      <c r="A34" s="267" t="s">
        <v>218</v>
      </c>
      <c r="B34" s="291" t="s">
        <v>219</v>
      </c>
      <c r="C34" s="265">
        <v>78.489999999999995</v>
      </c>
      <c r="D34" s="293" t="s">
        <v>202</v>
      </c>
      <c r="E34" s="293" t="s">
        <v>132</v>
      </c>
      <c r="F34" s="293">
        <v>16</v>
      </c>
      <c r="G34" s="496" t="s">
        <v>220</v>
      </c>
      <c r="H34" s="718" t="s">
        <v>221</v>
      </c>
      <c r="I34" s="264" t="s">
        <v>126</v>
      </c>
    </row>
    <row r="35" spans="1:9" ht="45" x14ac:dyDescent="0.25">
      <c r="A35" s="267" t="s">
        <v>218</v>
      </c>
      <c r="B35" s="296" t="s">
        <v>222</v>
      </c>
      <c r="C35" s="269">
        <v>78.489999999999995</v>
      </c>
      <c r="D35" s="293" t="s">
        <v>202</v>
      </c>
      <c r="E35" s="293" t="s">
        <v>132</v>
      </c>
      <c r="F35" s="293">
        <v>4</v>
      </c>
      <c r="G35" s="496" t="s">
        <v>223</v>
      </c>
      <c r="H35" s="718" t="s">
        <v>224</v>
      </c>
      <c r="I35" s="264" t="s">
        <v>126</v>
      </c>
    </row>
    <row r="36" spans="1:9" ht="30" x14ac:dyDescent="0.25">
      <c r="A36" s="310">
        <v>90791</v>
      </c>
      <c r="B36" s="291" t="s">
        <v>225</v>
      </c>
      <c r="C36" s="265">
        <v>130.81</v>
      </c>
      <c r="D36" s="293" t="s">
        <v>202</v>
      </c>
      <c r="E36" s="293" t="s">
        <v>132</v>
      </c>
      <c r="F36" s="293">
        <v>1</v>
      </c>
      <c r="G36" s="496" t="s">
        <v>226</v>
      </c>
      <c r="H36" s="718" t="s">
        <v>227</v>
      </c>
      <c r="I36" s="264" t="s">
        <v>126</v>
      </c>
    </row>
    <row r="37" spans="1:9" ht="30" x14ac:dyDescent="0.25">
      <c r="A37" s="267" t="s">
        <v>135</v>
      </c>
      <c r="B37" s="295" t="s">
        <v>228</v>
      </c>
      <c r="C37" s="269">
        <v>40.840000000000003</v>
      </c>
      <c r="D37" s="293" t="s">
        <v>202</v>
      </c>
      <c r="E37" s="293" t="s">
        <v>132</v>
      </c>
      <c r="F37" s="293">
        <v>3</v>
      </c>
      <c r="G37" s="496" t="s">
        <v>229</v>
      </c>
      <c r="H37" s="718" t="s">
        <v>230</v>
      </c>
      <c r="I37" s="264" t="s">
        <v>126</v>
      </c>
    </row>
    <row r="38" spans="1:9" ht="30" x14ac:dyDescent="0.25">
      <c r="A38" s="267" t="s">
        <v>139</v>
      </c>
      <c r="B38" s="291" t="s">
        <v>231</v>
      </c>
      <c r="C38" s="265">
        <v>17.79</v>
      </c>
      <c r="D38" s="293" t="s">
        <v>202</v>
      </c>
      <c r="E38" s="293" t="s">
        <v>132</v>
      </c>
      <c r="F38" s="293">
        <v>9</v>
      </c>
      <c r="G38" s="496" t="s">
        <v>232</v>
      </c>
      <c r="H38" s="718" t="s">
        <v>233</v>
      </c>
      <c r="I38" s="264" t="s">
        <v>126</v>
      </c>
    </row>
    <row r="39" spans="1:9" ht="45" x14ac:dyDescent="0.25">
      <c r="A39" s="267" t="s">
        <v>214</v>
      </c>
      <c r="B39" s="289" t="s">
        <v>33</v>
      </c>
      <c r="C39" s="269">
        <v>62.79</v>
      </c>
      <c r="D39" s="293" t="s">
        <v>202</v>
      </c>
      <c r="E39" s="293" t="s">
        <v>132</v>
      </c>
      <c r="F39" s="293">
        <v>5</v>
      </c>
      <c r="G39" s="496" t="s">
        <v>234</v>
      </c>
      <c r="H39" s="718" t="s">
        <v>235</v>
      </c>
      <c r="I39" s="264" t="s">
        <v>126</v>
      </c>
    </row>
    <row r="40" spans="1:9" ht="30" x14ac:dyDescent="0.25">
      <c r="A40" s="267" t="s">
        <v>218</v>
      </c>
      <c r="B40" s="289" t="s">
        <v>236</v>
      </c>
      <c r="C40" s="269">
        <v>78.489999999999995</v>
      </c>
      <c r="D40" s="293" t="s">
        <v>202</v>
      </c>
      <c r="E40" s="293" t="s">
        <v>132</v>
      </c>
      <c r="F40" s="293">
        <v>6</v>
      </c>
      <c r="G40" s="496" t="s">
        <v>237</v>
      </c>
      <c r="H40" s="718" t="s">
        <v>238</v>
      </c>
      <c r="I40" s="264" t="s">
        <v>126</v>
      </c>
    </row>
    <row r="41" spans="1:9" ht="60.75" thickBot="1" x14ac:dyDescent="0.3">
      <c r="A41" s="272" t="s">
        <v>218</v>
      </c>
      <c r="B41" s="297" t="s">
        <v>239</v>
      </c>
      <c r="C41" s="265">
        <v>78.489999999999995</v>
      </c>
      <c r="D41" s="294" t="s">
        <v>202</v>
      </c>
      <c r="E41" s="294" t="s">
        <v>132</v>
      </c>
      <c r="F41" s="294">
        <v>4</v>
      </c>
      <c r="G41" s="497" t="s">
        <v>240</v>
      </c>
      <c r="H41" s="719" t="s">
        <v>241</v>
      </c>
      <c r="I41" s="284" t="s">
        <v>126</v>
      </c>
    </row>
    <row r="42" spans="1:9" ht="15.75" thickBot="1" x14ac:dyDescent="0.3">
      <c r="A42" s="729"/>
      <c r="B42" s="730"/>
      <c r="C42" s="730"/>
      <c r="D42" s="730"/>
      <c r="E42" s="730"/>
      <c r="F42" s="730" t="s">
        <v>39</v>
      </c>
      <c r="G42" s="737"/>
      <c r="H42" s="737"/>
      <c r="I42" s="738"/>
    </row>
    <row r="43" spans="1:9" x14ac:dyDescent="0.25">
      <c r="A43" s="298"/>
      <c r="B43" s="299"/>
      <c r="C43" s="299"/>
      <c r="D43" s="300"/>
      <c r="E43" s="300"/>
      <c r="F43" s="300"/>
      <c r="G43" s="752"/>
      <c r="H43" s="752"/>
      <c r="I43" s="753"/>
    </row>
    <row r="44" spans="1:9" ht="45" x14ac:dyDescent="0.25">
      <c r="A44" s="306" t="s">
        <v>242</v>
      </c>
      <c r="B44" s="407" t="s">
        <v>243</v>
      </c>
      <c r="C44" s="304">
        <v>35.93</v>
      </c>
      <c r="D44" s="266" t="s">
        <v>244</v>
      </c>
      <c r="E44" s="270" t="s">
        <v>245</v>
      </c>
      <c r="F44" s="270">
        <v>365</v>
      </c>
      <c r="G44" s="496" t="s">
        <v>246</v>
      </c>
      <c r="H44" s="720" t="s">
        <v>247</v>
      </c>
      <c r="I44" s="264" t="s">
        <v>126</v>
      </c>
    </row>
    <row r="45" spans="1:9" ht="45" x14ac:dyDescent="0.25">
      <c r="A45" s="306" t="s">
        <v>248</v>
      </c>
      <c r="B45" s="407" t="s">
        <v>249</v>
      </c>
      <c r="C45" s="269">
        <v>19.82</v>
      </c>
      <c r="D45" s="266" t="s">
        <v>244</v>
      </c>
      <c r="E45" s="270" t="s">
        <v>245</v>
      </c>
      <c r="F45" s="270">
        <v>365</v>
      </c>
      <c r="G45" s="496" t="s">
        <v>250</v>
      </c>
      <c r="H45" s="720" t="s">
        <v>251</v>
      </c>
      <c r="I45" s="264" t="s">
        <v>126</v>
      </c>
    </row>
    <row r="46" spans="1:9" ht="45" x14ac:dyDescent="0.25">
      <c r="A46" s="307" t="s">
        <v>252</v>
      </c>
      <c r="B46" s="408" t="s">
        <v>253</v>
      </c>
      <c r="C46" s="265">
        <v>1341.56</v>
      </c>
      <c r="D46" s="266" t="s">
        <v>244</v>
      </c>
      <c r="E46" s="270" t="s">
        <v>245</v>
      </c>
      <c r="F46" s="270">
        <v>13</v>
      </c>
      <c r="G46" s="496" t="s">
        <v>254</v>
      </c>
      <c r="H46" s="720" t="s">
        <v>255</v>
      </c>
      <c r="I46" s="264" t="s">
        <v>126</v>
      </c>
    </row>
    <row r="47" spans="1:9" ht="30" x14ac:dyDescent="0.25">
      <c r="A47" s="307" t="s">
        <v>256</v>
      </c>
      <c r="B47" s="408" t="s">
        <v>257</v>
      </c>
      <c r="C47" s="269">
        <v>192.36</v>
      </c>
      <c r="D47" s="266" t="s">
        <v>244</v>
      </c>
      <c r="E47" s="270" t="s">
        <v>258</v>
      </c>
      <c r="F47" s="270">
        <v>13</v>
      </c>
      <c r="G47" s="496" t="s">
        <v>259</v>
      </c>
      <c r="H47" s="718" t="s">
        <v>260</v>
      </c>
      <c r="I47" s="264" t="s">
        <v>126</v>
      </c>
    </row>
    <row r="48" spans="1:9" ht="30" x14ac:dyDescent="0.25">
      <c r="A48" s="307">
        <v>99202</v>
      </c>
      <c r="B48" s="409" t="s">
        <v>261</v>
      </c>
      <c r="C48" s="265">
        <v>42.14</v>
      </c>
      <c r="D48" s="266" t="s">
        <v>244</v>
      </c>
      <c r="E48" s="270" t="s">
        <v>262</v>
      </c>
      <c r="F48" s="270">
        <v>1</v>
      </c>
      <c r="G48" s="496" t="s">
        <v>263</v>
      </c>
      <c r="H48" s="718" t="s">
        <v>264</v>
      </c>
      <c r="I48" s="264" t="s">
        <v>126</v>
      </c>
    </row>
    <row r="49" spans="1:9" x14ac:dyDescent="0.25">
      <c r="A49" s="310">
        <v>87340</v>
      </c>
      <c r="B49" s="409" t="s">
        <v>265</v>
      </c>
      <c r="C49" s="269">
        <v>8.68</v>
      </c>
      <c r="D49" s="266" t="s">
        <v>244</v>
      </c>
      <c r="E49" s="270" t="s">
        <v>258</v>
      </c>
      <c r="F49" s="270">
        <v>1</v>
      </c>
      <c r="G49" s="496" t="s">
        <v>266</v>
      </c>
      <c r="H49" s="718" t="s">
        <v>267</v>
      </c>
      <c r="I49" s="264" t="s">
        <v>126</v>
      </c>
    </row>
    <row r="50" spans="1:9" x14ac:dyDescent="0.25">
      <c r="A50" s="302">
        <v>86803</v>
      </c>
      <c r="B50" s="291" t="s">
        <v>268</v>
      </c>
      <c r="C50" s="265">
        <v>11.99</v>
      </c>
      <c r="D50" s="266" t="s">
        <v>244</v>
      </c>
      <c r="E50" s="270" t="s">
        <v>258</v>
      </c>
      <c r="F50" s="270">
        <v>1</v>
      </c>
      <c r="G50" s="496" t="s">
        <v>269</v>
      </c>
      <c r="H50" s="718" t="s">
        <v>270</v>
      </c>
      <c r="I50" s="264" t="s">
        <v>126</v>
      </c>
    </row>
    <row r="51" spans="1:9" x14ac:dyDescent="0.25">
      <c r="A51" s="310">
        <v>87389</v>
      </c>
      <c r="B51" s="295" t="s">
        <v>271</v>
      </c>
      <c r="C51" s="269">
        <v>20.23</v>
      </c>
      <c r="D51" s="266" t="s">
        <v>244</v>
      </c>
      <c r="E51" s="270" t="s">
        <v>258</v>
      </c>
      <c r="F51" s="270">
        <v>1</v>
      </c>
      <c r="G51" s="496" t="s">
        <v>272</v>
      </c>
      <c r="H51" s="718" t="s">
        <v>273</v>
      </c>
      <c r="I51" s="264" t="s">
        <v>126</v>
      </c>
    </row>
    <row r="52" spans="1:9" x14ac:dyDescent="0.25">
      <c r="A52" s="310">
        <v>86701</v>
      </c>
      <c r="B52" s="289" t="s">
        <v>274</v>
      </c>
      <c r="C52" s="265">
        <v>7.47</v>
      </c>
      <c r="D52" s="266" t="s">
        <v>244</v>
      </c>
      <c r="E52" s="271" t="s">
        <v>258</v>
      </c>
      <c r="F52" s="283">
        <v>1</v>
      </c>
      <c r="G52" s="496" t="s">
        <v>275</v>
      </c>
      <c r="H52" s="718" t="s">
        <v>276</v>
      </c>
      <c r="I52" s="264" t="s">
        <v>126</v>
      </c>
    </row>
    <row r="53" spans="1:9" ht="30" x14ac:dyDescent="0.25">
      <c r="A53" s="321">
        <v>87591</v>
      </c>
      <c r="B53" s="295" t="s">
        <v>277</v>
      </c>
      <c r="C53" s="269">
        <v>29.48</v>
      </c>
      <c r="D53" s="266" t="s">
        <v>244</v>
      </c>
      <c r="E53" s="270" t="s">
        <v>258</v>
      </c>
      <c r="F53" s="271">
        <v>1</v>
      </c>
      <c r="G53" s="496" t="s">
        <v>278</v>
      </c>
      <c r="H53" s="718" t="s">
        <v>279</v>
      </c>
      <c r="I53" s="264" t="s">
        <v>126</v>
      </c>
    </row>
    <row r="54" spans="1:9" x14ac:dyDescent="0.25">
      <c r="A54" s="306">
        <v>87491</v>
      </c>
      <c r="B54" s="295" t="s">
        <v>280</v>
      </c>
      <c r="C54" s="265">
        <v>29.48</v>
      </c>
      <c r="D54" s="266" t="s">
        <v>244</v>
      </c>
      <c r="E54" s="270" t="s">
        <v>258</v>
      </c>
      <c r="F54" s="270">
        <v>1</v>
      </c>
      <c r="G54" s="496" t="s">
        <v>281</v>
      </c>
      <c r="H54" s="718" t="s">
        <v>282</v>
      </c>
      <c r="I54" s="264" t="s">
        <v>126</v>
      </c>
    </row>
    <row r="55" spans="1:9" x14ac:dyDescent="0.25">
      <c r="A55" s="306">
        <v>83036</v>
      </c>
      <c r="B55" s="295" t="s">
        <v>283</v>
      </c>
      <c r="C55" s="269">
        <v>8.16</v>
      </c>
      <c r="D55" s="266" t="s">
        <v>244</v>
      </c>
      <c r="E55" s="270" t="s">
        <v>258</v>
      </c>
      <c r="F55" s="270">
        <v>1</v>
      </c>
      <c r="G55" s="496" t="s">
        <v>284</v>
      </c>
      <c r="H55" s="718" t="s">
        <v>285</v>
      </c>
      <c r="I55" s="264" t="s">
        <v>126</v>
      </c>
    </row>
    <row r="56" spans="1:9" x14ac:dyDescent="0.25">
      <c r="A56" s="306">
        <v>93005</v>
      </c>
      <c r="B56" s="295" t="s">
        <v>286</v>
      </c>
      <c r="C56" s="265">
        <v>6.72</v>
      </c>
      <c r="D56" s="266" t="s">
        <v>244</v>
      </c>
      <c r="E56" s="270" t="s">
        <v>258</v>
      </c>
      <c r="F56" s="270">
        <v>1</v>
      </c>
      <c r="G56" s="496" t="s">
        <v>287</v>
      </c>
      <c r="H56" s="718" t="s">
        <v>288</v>
      </c>
      <c r="I56" s="264" t="s">
        <v>126</v>
      </c>
    </row>
    <row r="57" spans="1:9" x14ac:dyDescent="0.25">
      <c r="A57" s="306">
        <v>93010</v>
      </c>
      <c r="B57" s="295" t="s">
        <v>289</v>
      </c>
      <c r="C57" s="269">
        <v>6.72</v>
      </c>
      <c r="D57" s="266" t="s">
        <v>244</v>
      </c>
      <c r="E57" s="270" t="s">
        <v>258</v>
      </c>
      <c r="F57" s="270">
        <v>1</v>
      </c>
      <c r="G57" s="496" t="s">
        <v>290</v>
      </c>
      <c r="H57" s="718" t="s">
        <v>291</v>
      </c>
      <c r="I57" s="264" t="s">
        <v>126</v>
      </c>
    </row>
    <row r="58" spans="1:9" ht="30" x14ac:dyDescent="0.25">
      <c r="A58" s="306">
        <v>81025</v>
      </c>
      <c r="B58" s="295" t="s">
        <v>292</v>
      </c>
      <c r="C58" s="265">
        <v>7.23</v>
      </c>
      <c r="D58" s="266" t="s">
        <v>244</v>
      </c>
      <c r="E58" s="270" t="s">
        <v>258</v>
      </c>
      <c r="F58" s="270">
        <v>1</v>
      </c>
      <c r="G58" s="496" t="s">
        <v>293</v>
      </c>
      <c r="H58" s="718" t="s">
        <v>294</v>
      </c>
      <c r="I58" s="264" t="s">
        <v>126</v>
      </c>
    </row>
    <row r="59" spans="1:9" x14ac:dyDescent="0.25">
      <c r="A59" s="312" t="s">
        <v>295</v>
      </c>
      <c r="B59" s="301" t="s">
        <v>296</v>
      </c>
      <c r="C59" s="269">
        <v>7.4</v>
      </c>
      <c r="D59" s="266" t="s">
        <v>244</v>
      </c>
      <c r="E59" s="271" t="s">
        <v>258</v>
      </c>
      <c r="F59" s="271">
        <v>1</v>
      </c>
      <c r="G59" s="496" t="s">
        <v>297</v>
      </c>
      <c r="H59" s="718" t="s">
        <v>298</v>
      </c>
      <c r="I59" s="264" t="s">
        <v>126</v>
      </c>
    </row>
    <row r="60" spans="1:9" ht="45.75" thickBot="1" x14ac:dyDescent="0.3">
      <c r="A60" s="302">
        <v>99213</v>
      </c>
      <c r="B60" s="303" t="s">
        <v>299</v>
      </c>
      <c r="C60" s="265">
        <v>34.81</v>
      </c>
      <c r="D60" s="273" t="s">
        <v>244</v>
      </c>
      <c r="E60" s="283" t="s">
        <v>262</v>
      </c>
      <c r="F60" s="283">
        <v>1</v>
      </c>
      <c r="G60" s="497" t="s">
        <v>300</v>
      </c>
      <c r="H60" s="719" t="s">
        <v>301</v>
      </c>
      <c r="I60" s="264" t="s">
        <v>126</v>
      </c>
    </row>
    <row r="61" spans="1:9" ht="15.75" thickBot="1" x14ac:dyDescent="0.3">
      <c r="A61" s="739"/>
      <c r="B61" s="740"/>
      <c r="C61" s="740"/>
      <c r="D61" s="741"/>
      <c r="E61" s="741"/>
      <c r="F61" s="747" t="s">
        <v>41</v>
      </c>
      <c r="G61" s="737"/>
      <c r="H61" s="737"/>
      <c r="I61" s="736"/>
    </row>
    <row r="62" spans="1:9" ht="30" x14ac:dyDescent="0.25">
      <c r="A62" s="306">
        <v>99205</v>
      </c>
      <c r="B62" s="295" t="s">
        <v>302</v>
      </c>
      <c r="C62" s="265">
        <v>58.46</v>
      </c>
      <c r="D62" s="266" t="s">
        <v>244</v>
      </c>
      <c r="E62" s="270" t="s">
        <v>258</v>
      </c>
      <c r="F62" s="270">
        <v>7</v>
      </c>
      <c r="G62" s="496" t="s">
        <v>303</v>
      </c>
      <c r="H62" s="720" t="s">
        <v>304</v>
      </c>
      <c r="I62" s="264" t="s">
        <v>126</v>
      </c>
    </row>
    <row r="63" spans="1:9" ht="30" x14ac:dyDescent="0.25">
      <c r="A63" s="306">
        <v>86804</v>
      </c>
      <c r="B63" s="295" t="s">
        <v>305</v>
      </c>
      <c r="C63" s="269">
        <v>13.01</v>
      </c>
      <c r="D63" s="266" t="s">
        <v>244</v>
      </c>
      <c r="E63" s="270" t="s">
        <v>258</v>
      </c>
      <c r="F63" s="270">
        <v>1</v>
      </c>
      <c r="G63" s="496" t="s">
        <v>306</v>
      </c>
      <c r="H63" s="718" t="s">
        <v>307</v>
      </c>
      <c r="I63" s="264" t="s">
        <v>126</v>
      </c>
    </row>
    <row r="64" spans="1:9" ht="30" x14ac:dyDescent="0.25">
      <c r="A64" s="306">
        <v>87522</v>
      </c>
      <c r="B64" s="295" t="s">
        <v>308</v>
      </c>
      <c r="C64" s="269">
        <v>35.99</v>
      </c>
      <c r="D64" s="266" t="s">
        <v>244</v>
      </c>
      <c r="E64" s="270" t="s">
        <v>258</v>
      </c>
      <c r="F64" s="270">
        <v>3</v>
      </c>
      <c r="G64" s="496" t="s">
        <v>309</v>
      </c>
      <c r="H64" s="718" t="s">
        <v>310</v>
      </c>
      <c r="I64" s="264" t="s">
        <v>126</v>
      </c>
    </row>
    <row r="65" spans="1:9" ht="30" x14ac:dyDescent="0.25">
      <c r="A65" s="306">
        <v>90792</v>
      </c>
      <c r="B65" s="295" t="s">
        <v>311</v>
      </c>
      <c r="C65" s="265">
        <v>119.21</v>
      </c>
      <c r="D65" s="266" t="s">
        <v>244</v>
      </c>
      <c r="E65" s="270" t="s">
        <v>258</v>
      </c>
      <c r="F65" s="270">
        <v>1</v>
      </c>
      <c r="G65" s="496" t="s">
        <v>312</v>
      </c>
      <c r="H65" s="718" t="s">
        <v>313</v>
      </c>
      <c r="I65" s="264" t="s">
        <v>126</v>
      </c>
    </row>
    <row r="66" spans="1:9" ht="30" x14ac:dyDescent="0.25">
      <c r="A66" s="306">
        <v>90832</v>
      </c>
      <c r="B66" s="295" t="s">
        <v>314</v>
      </c>
      <c r="C66" s="269">
        <v>46.73</v>
      </c>
      <c r="D66" s="270" t="s">
        <v>244</v>
      </c>
      <c r="E66" s="270" t="s">
        <v>258</v>
      </c>
      <c r="F66" s="270">
        <v>1</v>
      </c>
      <c r="G66" s="496" t="s">
        <v>315</v>
      </c>
      <c r="H66" s="718" t="s">
        <v>316</v>
      </c>
      <c r="I66" s="264" t="s">
        <v>126</v>
      </c>
    </row>
    <row r="67" spans="1:9" ht="30.75" thickBot="1" x14ac:dyDescent="0.3">
      <c r="A67" s="303">
        <v>97597</v>
      </c>
      <c r="B67" s="296" t="s">
        <v>317</v>
      </c>
      <c r="C67" s="265">
        <v>63.15</v>
      </c>
      <c r="D67" s="287" t="s">
        <v>244</v>
      </c>
      <c r="E67" s="283" t="s">
        <v>258</v>
      </c>
      <c r="F67" s="283">
        <v>1</v>
      </c>
      <c r="G67" s="497" t="s">
        <v>318</v>
      </c>
      <c r="H67" s="719" t="s">
        <v>319</v>
      </c>
      <c r="I67" s="264" t="s">
        <v>126</v>
      </c>
    </row>
    <row r="68" spans="1:9" ht="15.75" thickBot="1" x14ac:dyDescent="0.3">
      <c r="A68" s="729"/>
      <c r="B68" s="730"/>
      <c r="C68" s="730"/>
      <c r="D68" s="730"/>
      <c r="E68" s="730"/>
      <c r="F68" s="730" t="s">
        <v>320</v>
      </c>
      <c r="G68" s="743"/>
      <c r="H68" s="743"/>
      <c r="I68" s="743"/>
    </row>
    <row r="69" spans="1:9" ht="45" x14ac:dyDescent="0.25">
      <c r="A69" s="306" t="s">
        <v>248</v>
      </c>
      <c r="B69" s="306" t="s">
        <v>321</v>
      </c>
      <c r="C69" s="304">
        <v>19.82</v>
      </c>
      <c r="D69" s="270" t="s">
        <v>322</v>
      </c>
      <c r="E69" s="266" t="s">
        <v>245</v>
      </c>
      <c r="F69" s="283">
        <v>365</v>
      </c>
      <c r="G69" s="496" t="s">
        <v>323</v>
      </c>
      <c r="H69" s="720" t="s">
        <v>324</v>
      </c>
      <c r="I69" s="264" t="s">
        <v>126</v>
      </c>
    </row>
    <row r="70" spans="1:9" ht="30" x14ac:dyDescent="0.25">
      <c r="A70" s="306" t="s">
        <v>242</v>
      </c>
      <c r="B70" s="306" t="s">
        <v>325</v>
      </c>
      <c r="C70" s="269">
        <v>35.93</v>
      </c>
      <c r="D70" s="266" t="s">
        <v>322</v>
      </c>
      <c r="E70" s="270" t="s">
        <v>245</v>
      </c>
      <c r="F70" s="271">
        <v>365</v>
      </c>
      <c r="G70" s="496" t="s">
        <v>326</v>
      </c>
      <c r="H70" s="720" t="s">
        <v>327</v>
      </c>
      <c r="I70" s="264" t="s">
        <v>126</v>
      </c>
    </row>
    <row r="71" spans="1:9" ht="45" x14ac:dyDescent="0.25">
      <c r="A71" s="268" t="s">
        <v>252</v>
      </c>
      <c r="B71" s="339" t="s">
        <v>328</v>
      </c>
      <c r="C71" s="269">
        <v>1341.56</v>
      </c>
      <c r="D71" s="270" t="s">
        <v>322</v>
      </c>
      <c r="E71" s="270" t="s">
        <v>245</v>
      </c>
      <c r="F71" s="270">
        <v>13</v>
      </c>
      <c r="G71" s="496" t="s">
        <v>254</v>
      </c>
      <c r="H71" s="720" t="s">
        <v>255</v>
      </c>
      <c r="I71" s="264" t="s">
        <v>126</v>
      </c>
    </row>
    <row r="72" spans="1:9" ht="30" x14ac:dyDescent="0.25">
      <c r="A72" s="303" t="s">
        <v>256</v>
      </c>
      <c r="B72" s="342" t="s">
        <v>329</v>
      </c>
      <c r="C72" s="265">
        <v>192.36</v>
      </c>
      <c r="D72" s="273" t="s">
        <v>322</v>
      </c>
      <c r="E72" s="283" t="s">
        <v>258</v>
      </c>
      <c r="F72" s="283">
        <v>13</v>
      </c>
      <c r="G72" s="497" t="s">
        <v>330</v>
      </c>
      <c r="H72" s="719" t="s">
        <v>260</v>
      </c>
      <c r="I72" s="284" t="s">
        <v>126</v>
      </c>
    </row>
    <row r="73" spans="1:9" x14ac:dyDescent="0.25">
      <c r="A73" s="723"/>
      <c r="B73" s="724"/>
      <c r="C73" s="724"/>
      <c r="D73" s="725"/>
      <c r="E73" s="725"/>
      <c r="F73" s="726" t="s">
        <v>44</v>
      </c>
      <c r="G73" s="748"/>
      <c r="H73" s="748"/>
      <c r="I73" s="749"/>
    </row>
    <row r="74" spans="1:9" ht="30" x14ac:dyDescent="0.25">
      <c r="A74" s="306">
        <v>99202</v>
      </c>
      <c r="B74" s="341" t="s">
        <v>331</v>
      </c>
      <c r="C74" s="265">
        <v>42.14</v>
      </c>
      <c r="D74" s="266" t="s">
        <v>322</v>
      </c>
      <c r="E74" s="266" t="s">
        <v>258</v>
      </c>
      <c r="F74" s="283">
        <v>1</v>
      </c>
      <c r="G74" s="496" t="s">
        <v>263</v>
      </c>
      <c r="H74" s="720" t="s">
        <v>264</v>
      </c>
      <c r="I74" s="264" t="s">
        <v>126</v>
      </c>
    </row>
    <row r="75" spans="1:9" x14ac:dyDescent="0.25">
      <c r="A75" s="310">
        <v>87340</v>
      </c>
      <c r="B75" s="340" t="s">
        <v>332</v>
      </c>
      <c r="C75" s="269">
        <v>8.68</v>
      </c>
      <c r="D75" s="270" t="s">
        <v>322</v>
      </c>
      <c r="E75" s="270" t="s">
        <v>258</v>
      </c>
      <c r="F75" s="271">
        <v>1</v>
      </c>
      <c r="G75" s="496" t="s">
        <v>266</v>
      </c>
      <c r="H75" s="718" t="s">
        <v>267</v>
      </c>
      <c r="I75" s="264" t="s">
        <v>126</v>
      </c>
    </row>
    <row r="76" spans="1:9" x14ac:dyDescent="0.25">
      <c r="A76" s="310">
        <v>86803</v>
      </c>
      <c r="B76" s="340" t="s">
        <v>333</v>
      </c>
      <c r="C76" s="265">
        <v>11.99</v>
      </c>
      <c r="D76" s="266" t="s">
        <v>322</v>
      </c>
      <c r="E76" s="270" t="s">
        <v>258</v>
      </c>
      <c r="F76" s="270">
        <v>1</v>
      </c>
      <c r="G76" s="496" t="s">
        <v>269</v>
      </c>
      <c r="H76" s="718" t="s">
        <v>270</v>
      </c>
      <c r="I76" s="264" t="s">
        <v>126</v>
      </c>
    </row>
    <row r="77" spans="1:9" x14ac:dyDescent="0.25">
      <c r="A77" s="310">
        <v>87389</v>
      </c>
      <c r="B77" s="340" t="s">
        <v>334</v>
      </c>
      <c r="C77" s="269">
        <v>20.23</v>
      </c>
      <c r="D77" s="270" t="s">
        <v>322</v>
      </c>
      <c r="E77" s="270" t="s">
        <v>258</v>
      </c>
      <c r="F77" s="270">
        <v>1</v>
      </c>
      <c r="G77" s="496" t="s">
        <v>272</v>
      </c>
      <c r="H77" s="718" t="s">
        <v>273</v>
      </c>
      <c r="I77" s="264" t="s">
        <v>126</v>
      </c>
    </row>
    <row r="78" spans="1:9" x14ac:dyDescent="0.25">
      <c r="A78" s="310">
        <v>86701</v>
      </c>
      <c r="B78" s="340" t="s">
        <v>335</v>
      </c>
      <c r="C78" s="265">
        <v>7.47</v>
      </c>
      <c r="D78" s="266" t="s">
        <v>322</v>
      </c>
      <c r="E78" s="270" t="s">
        <v>258</v>
      </c>
      <c r="F78" s="270">
        <v>1</v>
      </c>
      <c r="G78" s="496" t="s">
        <v>336</v>
      </c>
      <c r="H78" s="718" t="s">
        <v>276</v>
      </c>
      <c r="I78" s="264" t="s">
        <v>126</v>
      </c>
    </row>
    <row r="79" spans="1:9" ht="30" x14ac:dyDescent="0.25">
      <c r="A79" s="310">
        <v>87591</v>
      </c>
      <c r="B79" s="340" t="s">
        <v>337</v>
      </c>
      <c r="C79" s="269">
        <v>29.48</v>
      </c>
      <c r="D79" s="270" t="s">
        <v>322</v>
      </c>
      <c r="E79" s="270" t="s">
        <v>258</v>
      </c>
      <c r="F79" s="283">
        <v>1</v>
      </c>
      <c r="G79" s="496" t="s">
        <v>278</v>
      </c>
      <c r="H79" s="718" t="s">
        <v>279</v>
      </c>
      <c r="I79" s="264" t="s">
        <v>126</v>
      </c>
    </row>
    <row r="80" spans="1:9" x14ac:dyDescent="0.25">
      <c r="A80" s="306">
        <v>87491</v>
      </c>
      <c r="B80" s="341" t="s">
        <v>338</v>
      </c>
      <c r="C80" s="265">
        <v>29.48</v>
      </c>
      <c r="D80" s="266" t="s">
        <v>322</v>
      </c>
      <c r="E80" s="270" t="s">
        <v>258</v>
      </c>
      <c r="F80" s="271">
        <v>1</v>
      </c>
      <c r="G80" s="496" t="s">
        <v>281</v>
      </c>
      <c r="H80" s="718" t="s">
        <v>282</v>
      </c>
      <c r="I80" s="264" t="s">
        <v>126</v>
      </c>
    </row>
    <row r="81" spans="1:9" x14ac:dyDescent="0.25">
      <c r="A81" s="306">
        <v>83036</v>
      </c>
      <c r="B81" s="341" t="s">
        <v>339</v>
      </c>
      <c r="C81" s="269">
        <v>8.16</v>
      </c>
      <c r="D81" s="270" t="s">
        <v>322</v>
      </c>
      <c r="E81" s="270" t="s">
        <v>258</v>
      </c>
      <c r="F81" s="270">
        <v>1</v>
      </c>
      <c r="G81" s="496" t="s">
        <v>284</v>
      </c>
      <c r="H81" s="718" t="s">
        <v>285</v>
      </c>
      <c r="I81" s="264" t="s">
        <v>126</v>
      </c>
    </row>
    <row r="82" spans="1:9" x14ac:dyDescent="0.25">
      <c r="A82" s="303" t="s">
        <v>295</v>
      </c>
      <c r="B82" s="342" t="s">
        <v>340</v>
      </c>
      <c r="C82" s="265">
        <v>7.4</v>
      </c>
      <c r="D82" s="273" t="s">
        <v>322</v>
      </c>
      <c r="E82" s="270" t="s">
        <v>258</v>
      </c>
      <c r="F82" s="283">
        <v>1</v>
      </c>
      <c r="G82" s="496" t="s">
        <v>297</v>
      </c>
      <c r="H82" s="718" t="s">
        <v>298</v>
      </c>
      <c r="I82" s="264" t="s">
        <v>126</v>
      </c>
    </row>
    <row r="83" spans="1:9" x14ac:dyDescent="0.25">
      <c r="A83" s="307">
        <v>93010</v>
      </c>
      <c r="B83" s="343" t="s">
        <v>341</v>
      </c>
      <c r="C83" s="269">
        <v>6.72</v>
      </c>
      <c r="D83" s="271" t="s">
        <v>322</v>
      </c>
      <c r="E83" s="270" t="s">
        <v>258</v>
      </c>
      <c r="F83" s="271">
        <v>1</v>
      </c>
      <c r="G83" s="496" t="s">
        <v>290</v>
      </c>
      <c r="H83" s="718" t="s">
        <v>288</v>
      </c>
      <c r="I83" s="264" t="s">
        <v>126</v>
      </c>
    </row>
    <row r="84" spans="1:9" x14ac:dyDescent="0.25">
      <c r="A84" s="312">
        <v>93005</v>
      </c>
      <c r="B84" s="344" t="s">
        <v>342</v>
      </c>
      <c r="C84" s="265">
        <v>6.72</v>
      </c>
      <c r="D84" s="273" t="s">
        <v>322</v>
      </c>
      <c r="E84" s="270" t="s">
        <v>258</v>
      </c>
      <c r="F84" s="271">
        <v>1</v>
      </c>
      <c r="G84" s="496" t="s">
        <v>287</v>
      </c>
      <c r="H84" s="718" t="s">
        <v>291</v>
      </c>
      <c r="I84" s="264" t="s">
        <v>126</v>
      </c>
    </row>
    <row r="85" spans="1:9" ht="30" x14ac:dyDescent="0.25">
      <c r="A85" s="307">
        <v>81025</v>
      </c>
      <c r="B85" s="343" t="s">
        <v>343</v>
      </c>
      <c r="C85" s="269">
        <v>7.23</v>
      </c>
      <c r="D85" s="271" t="s">
        <v>322</v>
      </c>
      <c r="E85" s="270" t="s">
        <v>258</v>
      </c>
      <c r="F85" s="270">
        <v>1</v>
      </c>
      <c r="G85" s="496" t="s">
        <v>293</v>
      </c>
      <c r="H85" s="718" t="s">
        <v>344</v>
      </c>
      <c r="I85" s="264" t="s">
        <v>126</v>
      </c>
    </row>
    <row r="86" spans="1:9" ht="45.75" thickBot="1" x14ac:dyDescent="0.3">
      <c r="A86" s="303">
        <v>99213</v>
      </c>
      <c r="B86" s="342" t="s">
        <v>345</v>
      </c>
      <c r="C86" s="265">
        <v>34.81</v>
      </c>
      <c r="D86" s="273" t="s">
        <v>322</v>
      </c>
      <c r="E86" s="283" t="s">
        <v>258</v>
      </c>
      <c r="F86" s="283">
        <v>1</v>
      </c>
      <c r="G86" s="497" t="s">
        <v>300</v>
      </c>
      <c r="H86" s="719" t="s">
        <v>301</v>
      </c>
      <c r="I86" s="264" t="s">
        <v>126</v>
      </c>
    </row>
    <row r="87" spans="1:9" ht="15.75" thickBot="1" x14ac:dyDescent="0.3">
      <c r="A87" s="744"/>
      <c r="B87" s="745"/>
      <c r="C87" s="742"/>
      <c r="D87" s="746"/>
      <c r="E87" s="746"/>
      <c r="F87" s="747" t="s">
        <v>41</v>
      </c>
      <c r="G87" s="737"/>
      <c r="H87" s="737"/>
      <c r="I87" s="736"/>
    </row>
    <row r="88" spans="1:9" ht="30" x14ac:dyDescent="0.25">
      <c r="A88" s="306">
        <v>99205</v>
      </c>
      <c r="B88" s="341" t="s">
        <v>346</v>
      </c>
      <c r="C88" s="265">
        <v>58.46</v>
      </c>
      <c r="D88" s="266" t="s">
        <v>322</v>
      </c>
      <c r="E88" s="270" t="s">
        <v>258</v>
      </c>
      <c r="F88" s="270">
        <v>7</v>
      </c>
      <c r="G88" s="496" t="s">
        <v>303</v>
      </c>
      <c r="H88" s="720" t="s">
        <v>304</v>
      </c>
      <c r="I88" s="264" t="s">
        <v>126</v>
      </c>
    </row>
    <row r="89" spans="1:9" ht="30" x14ac:dyDescent="0.25">
      <c r="A89" s="307">
        <v>86804</v>
      </c>
      <c r="B89" s="340" t="s">
        <v>347</v>
      </c>
      <c r="C89" s="269">
        <v>13.01</v>
      </c>
      <c r="D89" s="270" t="s">
        <v>322</v>
      </c>
      <c r="E89" s="270" t="s">
        <v>258</v>
      </c>
      <c r="F89" s="270">
        <v>1</v>
      </c>
      <c r="G89" s="496" t="s">
        <v>306</v>
      </c>
      <c r="H89" s="718" t="s">
        <v>307</v>
      </c>
      <c r="I89" s="264" t="s">
        <v>126</v>
      </c>
    </row>
    <row r="90" spans="1:9" ht="30" x14ac:dyDescent="0.25">
      <c r="A90" s="307">
        <v>87522</v>
      </c>
      <c r="B90" s="340" t="s">
        <v>348</v>
      </c>
      <c r="C90" s="265">
        <v>35.99</v>
      </c>
      <c r="D90" s="266" t="s">
        <v>322</v>
      </c>
      <c r="E90" s="270" t="s">
        <v>258</v>
      </c>
      <c r="F90" s="270">
        <v>3</v>
      </c>
      <c r="G90" s="496" t="s">
        <v>309</v>
      </c>
      <c r="H90" s="718" t="s">
        <v>310</v>
      </c>
      <c r="I90" s="264" t="s">
        <v>126</v>
      </c>
    </row>
    <row r="91" spans="1:9" ht="30" x14ac:dyDescent="0.25">
      <c r="A91" s="307">
        <v>90792</v>
      </c>
      <c r="B91" s="340" t="s">
        <v>349</v>
      </c>
      <c r="C91" s="269">
        <v>119.21</v>
      </c>
      <c r="D91" s="270" t="s">
        <v>322</v>
      </c>
      <c r="E91" s="270" t="s">
        <v>258</v>
      </c>
      <c r="F91" s="270">
        <v>1</v>
      </c>
      <c r="G91" s="496" t="s">
        <v>312</v>
      </c>
      <c r="H91" s="718" t="s">
        <v>313</v>
      </c>
      <c r="I91" s="264" t="s">
        <v>126</v>
      </c>
    </row>
    <row r="92" spans="1:9" ht="30" x14ac:dyDescent="0.25">
      <c r="A92" s="307">
        <v>90832</v>
      </c>
      <c r="B92" s="340" t="s">
        <v>350</v>
      </c>
      <c r="C92" s="265">
        <v>46.73</v>
      </c>
      <c r="D92" s="266" t="s">
        <v>322</v>
      </c>
      <c r="E92" s="270" t="s">
        <v>258</v>
      </c>
      <c r="F92" s="270">
        <v>1</v>
      </c>
      <c r="G92" s="496" t="s">
        <v>315</v>
      </c>
      <c r="H92" s="718" t="s">
        <v>316</v>
      </c>
      <c r="I92" s="264" t="s">
        <v>126</v>
      </c>
    </row>
    <row r="93" spans="1:9" ht="30" x14ac:dyDescent="0.25">
      <c r="A93" s="307">
        <v>97597</v>
      </c>
      <c r="B93" s="340" t="s">
        <v>351</v>
      </c>
      <c r="C93" s="269">
        <v>63.15</v>
      </c>
      <c r="D93" s="290" t="s">
        <v>322</v>
      </c>
      <c r="E93" s="270" t="s">
        <v>258</v>
      </c>
      <c r="F93" s="270">
        <v>1</v>
      </c>
      <c r="G93" s="496" t="s">
        <v>318</v>
      </c>
      <c r="H93" s="719" t="s">
        <v>319</v>
      </c>
      <c r="I93" s="264" t="s">
        <v>126</v>
      </c>
    </row>
    <row r="94" spans="1:9" ht="48.75" customHeight="1" thickBot="1" x14ac:dyDescent="0.3">
      <c r="A94" s="526" t="s">
        <v>352</v>
      </c>
      <c r="B94" s="527" t="s">
        <v>353</v>
      </c>
      <c r="C94" s="286">
        <v>41</v>
      </c>
      <c r="D94" s="345" t="s">
        <v>322</v>
      </c>
      <c r="E94" s="345" t="s">
        <v>258</v>
      </c>
      <c r="F94" s="345">
        <v>3</v>
      </c>
      <c r="G94" s="497" t="s">
        <v>354</v>
      </c>
      <c r="H94" s="719" t="s">
        <v>355</v>
      </c>
      <c r="I94" s="284" t="s">
        <v>126</v>
      </c>
    </row>
    <row r="95" spans="1:9" ht="15.75" thickBot="1" x14ac:dyDescent="0.3">
      <c r="A95" s="731"/>
      <c r="B95" s="732"/>
      <c r="C95" s="732"/>
      <c r="D95" s="732"/>
      <c r="E95" s="732"/>
      <c r="F95" s="732" t="s">
        <v>46</v>
      </c>
      <c r="G95" s="743"/>
      <c r="H95" s="743"/>
      <c r="I95" s="765"/>
    </row>
    <row r="96" spans="1:9" ht="45" x14ac:dyDescent="0.25">
      <c r="A96" s="295" t="s">
        <v>242</v>
      </c>
      <c r="B96" s="295" t="s">
        <v>356</v>
      </c>
      <c r="C96" s="265">
        <v>35.93</v>
      </c>
      <c r="D96" s="314" t="s">
        <v>357</v>
      </c>
      <c r="E96" s="314" t="s">
        <v>245</v>
      </c>
      <c r="F96" s="314">
        <v>365</v>
      </c>
      <c r="G96" s="496" t="s">
        <v>358</v>
      </c>
      <c r="H96" s="720" t="s">
        <v>359</v>
      </c>
      <c r="I96" s="264" t="s">
        <v>126</v>
      </c>
    </row>
    <row r="97" spans="1:9" ht="45" x14ac:dyDescent="0.25">
      <c r="A97" s="295" t="s">
        <v>252</v>
      </c>
      <c r="B97" s="295" t="s">
        <v>360</v>
      </c>
      <c r="C97" s="269">
        <v>1341.56</v>
      </c>
      <c r="D97" s="315" t="s">
        <v>357</v>
      </c>
      <c r="E97" s="314" t="s">
        <v>245</v>
      </c>
      <c r="F97" s="314">
        <v>13</v>
      </c>
      <c r="G97" s="496" t="s">
        <v>361</v>
      </c>
      <c r="H97" s="720" t="s">
        <v>255</v>
      </c>
      <c r="I97" s="264" t="s">
        <v>126</v>
      </c>
    </row>
    <row r="98" spans="1:9" ht="30" x14ac:dyDescent="0.25">
      <c r="A98" s="301" t="s">
        <v>256</v>
      </c>
      <c r="B98" s="301" t="s">
        <v>362</v>
      </c>
      <c r="C98" s="265">
        <v>192.36</v>
      </c>
      <c r="D98" s="316" t="s">
        <v>357</v>
      </c>
      <c r="E98" s="317" t="s">
        <v>258</v>
      </c>
      <c r="F98" s="317">
        <v>13</v>
      </c>
      <c r="G98" s="497" t="s">
        <v>363</v>
      </c>
      <c r="H98" s="719" t="s">
        <v>260</v>
      </c>
      <c r="I98" s="284" t="s">
        <v>126</v>
      </c>
    </row>
    <row r="99" spans="1:9" x14ac:dyDescent="0.25">
      <c r="A99" s="761"/>
      <c r="B99" s="762"/>
      <c r="C99" s="762"/>
      <c r="D99" s="762"/>
      <c r="E99" s="762"/>
      <c r="F99" s="762" t="s">
        <v>47</v>
      </c>
      <c r="G99" s="763"/>
      <c r="H99" s="763"/>
      <c r="I99" s="764"/>
    </row>
    <row r="100" spans="1:9" ht="60" x14ac:dyDescent="0.25">
      <c r="A100" s="295" t="s">
        <v>242</v>
      </c>
      <c r="B100" s="295" t="s">
        <v>364</v>
      </c>
      <c r="C100" s="304">
        <v>35.93</v>
      </c>
      <c r="D100" s="314" t="s">
        <v>357</v>
      </c>
      <c r="E100" s="314" t="s">
        <v>245</v>
      </c>
      <c r="F100" s="314">
        <v>365</v>
      </c>
      <c r="G100" s="496" t="s">
        <v>365</v>
      </c>
      <c r="H100" s="720" t="s">
        <v>366</v>
      </c>
      <c r="I100" s="264" t="s">
        <v>126</v>
      </c>
    </row>
    <row r="101" spans="1:9" ht="45" x14ac:dyDescent="0.25">
      <c r="A101" s="295" t="s">
        <v>252</v>
      </c>
      <c r="B101" s="295" t="s">
        <v>367</v>
      </c>
      <c r="C101" s="269">
        <v>1341.56</v>
      </c>
      <c r="D101" s="315" t="s">
        <v>357</v>
      </c>
      <c r="E101" s="314" t="s">
        <v>245</v>
      </c>
      <c r="F101" s="314">
        <v>13</v>
      </c>
      <c r="G101" s="496" t="s">
        <v>368</v>
      </c>
      <c r="H101" s="720" t="s">
        <v>255</v>
      </c>
      <c r="I101" s="264" t="s">
        <v>126</v>
      </c>
    </row>
    <row r="102" spans="1:9" ht="30" x14ac:dyDescent="0.25">
      <c r="A102" s="289" t="s">
        <v>256</v>
      </c>
      <c r="B102" s="289" t="s">
        <v>369</v>
      </c>
      <c r="C102" s="269">
        <v>192.36</v>
      </c>
      <c r="D102" s="315" t="s">
        <v>357</v>
      </c>
      <c r="E102" s="315" t="s">
        <v>258</v>
      </c>
      <c r="F102" s="315">
        <v>13</v>
      </c>
      <c r="G102" s="496" t="s">
        <v>370</v>
      </c>
      <c r="H102" s="718" t="s">
        <v>260</v>
      </c>
      <c r="I102" s="264" t="s">
        <v>126</v>
      </c>
    </row>
    <row r="103" spans="1:9" ht="45.75" thickBot="1" x14ac:dyDescent="0.3">
      <c r="A103" s="410" t="s">
        <v>352</v>
      </c>
      <c r="B103" s="297" t="s">
        <v>371</v>
      </c>
      <c r="C103" s="311">
        <v>41</v>
      </c>
      <c r="D103" s="317" t="s">
        <v>357</v>
      </c>
      <c r="E103" s="317" t="s">
        <v>258</v>
      </c>
      <c r="F103" s="287">
        <v>3</v>
      </c>
      <c r="G103" s="497" t="s">
        <v>372</v>
      </c>
      <c r="H103" s="719" t="s">
        <v>355</v>
      </c>
      <c r="I103" s="284" t="s">
        <v>126</v>
      </c>
    </row>
    <row r="104" spans="1:9" ht="15.75" thickBot="1" x14ac:dyDescent="0.3">
      <c r="A104" s="733"/>
      <c r="B104" s="734"/>
      <c r="C104" s="734"/>
      <c r="D104" s="734"/>
      <c r="E104" s="734"/>
      <c r="F104" s="734" t="s">
        <v>52</v>
      </c>
      <c r="G104" s="737"/>
      <c r="H104" s="737"/>
      <c r="I104" s="736"/>
    </row>
    <row r="105" spans="1:9" x14ac:dyDescent="0.25">
      <c r="A105" s="318"/>
      <c r="B105" s="319"/>
      <c r="C105" s="319"/>
      <c r="D105" s="320"/>
      <c r="E105" s="320"/>
      <c r="F105" s="327" t="s">
        <v>55</v>
      </c>
      <c r="G105" s="752"/>
      <c r="H105" s="752"/>
      <c r="I105" s="753"/>
    </row>
    <row r="106" spans="1:9" ht="60" x14ac:dyDescent="0.25">
      <c r="A106" s="321" t="s">
        <v>147</v>
      </c>
      <c r="B106" s="264" t="s">
        <v>373</v>
      </c>
      <c r="C106" s="265">
        <f>C23</f>
        <v>88.95</v>
      </c>
      <c r="D106" s="322" t="s">
        <v>374</v>
      </c>
      <c r="E106" s="322" t="s">
        <v>123</v>
      </c>
      <c r="F106" s="322">
        <v>6</v>
      </c>
      <c r="G106" s="496" t="s">
        <v>375</v>
      </c>
      <c r="H106" s="754" t="s">
        <v>376</v>
      </c>
      <c r="I106" s="264" t="s">
        <v>126</v>
      </c>
    </row>
    <row r="107" spans="1:9" ht="60" x14ac:dyDescent="0.25">
      <c r="A107" s="302" t="s">
        <v>143</v>
      </c>
      <c r="B107" s="272" t="s">
        <v>377</v>
      </c>
      <c r="C107" s="771">
        <f>C22</f>
        <v>238.75</v>
      </c>
      <c r="D107" s="323" t="s">
        <v>374</v>
      </c>
      <c r="E107" s="323" t="s">
        <v>123</v>
      </c>
      <c r="F107" s="323">
        <v>5</v>
      </c>
      <c r="G107" s="497" t="s">
        <v>378</v>
      </c>
      <c r="H107" s="719" t="s">
        <v>379</v>
      </c>
      <c r="I107" s="284" t="s">
        <v>126</v>
      </c>
    </row>
    <row r="108" spans="1:9" x14ac:dyDescent="0.25">
      <c r="A108" s="307"/>
      <c r="B108" s="305"/>
      <c r="C108" s="305"/>
      <c r="D108" s="309"/>
      <c r="E108" s="309"/>
      <c r="F108" s="499" t="s">
        <v>53</v>
      </c>
      <c r="G108" s="750"/>
      <c r="H108" s="750"/>
      <c r="I108" s="751"/>
    </row>
    <row r="109" spans="1:9" ht="60" x14ac:dyDescent="0.25">
      <c r="A109" s="321" t="s">
        <v>120</v>
      </c>
      <c r="B109" s="264" t="s">
        <v>380</v>
      </c>
      <c r="C109" s="311">
        <f>C13</f>
        <v>194.12</v>
      </c>
      <c r="D109" s="329" t="s">
        <v>374</v>
      </c>
      <c r="E109" s="322" t="s">
        <v>123</v>
      </c>
      <c r="F109" s="322">
        <v>30</v>
      </c>
      <c r="G109" s="496" t="s">
        <v>381</v>
      </c>
      <c r="H109" s="720" t="s">
        <v>382</v>
      </c>
      <c r="I109" s="264" t="s">
        <v>126</v>
      </c>
    </row>
    <row r="110" spans="1:9" ht="60" x14ac:dyDescent="0.25">
      <c r="A110" s="310" t="s">
        <v>130</v>
      </c>
      <c r="B110" s="267" t="s">
        <v>383</v>
      </c>
      <c r="C110" s="769">
        <f>C19</f>
        <v>168.01</v>
      </c>
      <c r="D110" s="277" t="s">
        <v>374</v>
      </c>
      <c r="E110" s="324" t="s">
        <v>132</v>
      </c>
      <c r="F110" s="324">
        <v>9</v>
      </c>
      <c r="G110" s="496" t="s">
        <v>384</v>
      </c>
      <c r="H110" s="718" t="s">
        <v>134</v>
      </c>
      <c r="I110" s="264" t="s">
        <v>126</v>
      </c>
    </row>
    <row r="111" spans="1:9" ht="30" x14ac:dyDescent="0.25">
      <c r="A111" s="310" t="s">
        <v>135</v>
      </c>
      <c r="B111" s="267" t="s">
        <v>385</v>
      </c>
      <c r="C111" s="769">
        <f>C20</f>
        <v>40.840000000000003</v>
      </c>
      <c r="D111" s="277" t="s">
        <v>374</v>
      </c>
      <c r="E111" s="325" t="s">
        <v>132</v>
      </c>
      <c r="F111" s="325">
        <v>10</v>
      </c>
      <c r="G111" s="496" t="s">
        <v>386</v>
      </c>
      <c r="H111" s="718" t="s">
        <v>138</v>
      </c>
      <c r="I111" s="264" t="s">
        <v>126</v>
      </c>
    </row>
    <row r="112" spans="1:9" ht="30" x14ac:dyDescent="0.25">
      <c r="A112" s="302" t="s">
        <v>139</v>
      </c>
      <c r="B112" s="285" t="s">
        <v>387</v>
      </c>
      <c r="C112" s="770">
        <f>C21</f>
        <v>17.79</v>
      </c>
      <c r="D112" s="757" t="s">
        <v>374</v>
      </c>
      <c r="E112" s="323" t="s">
        <v>132</v>
      </c>
      <c r="F112" s="323">
        <v>32</v>
      </c>
      <c r="G112" s="497" t="s">
        <v>388</v>
      </c>
      <c r="H112" s="719" t="s">
        <v>142</v>
      </c>
      <c r="I112" s="284" t="s">
        <v>126</v>
      </c>
    </row>
    <row r="113" spans="1:9" x14ac:dyDescent="0.25">
      <c r="A113" s="307"/>
      <c r="B113" s="305"/>
      <c r="C113" s="305"/>
      <c r="D113" s="309"/>
      <c r="E113" s="309"/>
      <c r="F113" s="499" t="s">
        <v>54</v>
      </c>
      <c r="G113" s="750"/>
      <c r="H113" s="750"/>
      <c r="I113" s="751"/>
    </row>
    <row r="114" spans="1:9" ht="60" x14ac:dyDescent="0.25">
      <c r="A114" s="321" t="s">
        <v>120</v>
      </c>
      <c r="B114" s="264" t="s">
        <v>389</v>
      </c>
      <c r="C114" s="311">
        <v>233.54</v>
      </c>
      <c r="D114" s="329" t="s">
        <v>374</v>
      </c>
      <c r="E114" s="324" t="s">
        <v>123</v>
      </c>
      <c r="F114" s="324">
        <v>45</v>
      </c>
      <c r="G114" s="496" t="s">
        <v>390</v>
      </c>
      <c r="H114" s="720" t="s">
        <v>391</v>
      </c>
      <c r="I114" s="264" t="s">
        <v>126</v>
      </c>
    </row>
    <row r="115" spans="1:9" ht="45" x14ac:dyDescent="0.25">
      <c r="A115" s="310" t="s">
        <v>154</v>
      </c>
      <c r="B115" s="267" t="s">
        <v>392</v>
      </c>
      <c r="C115" s="769">
        <v>54.41</v>
      </c>
      <c r="D115" s="277" t="s">
        <v>374</v>
      </c>
      <c r="E115" s="325" t="s">
        <v>123</v>
      </c>
      <c r="F115" s="325">
        <v>35</v>
      </c>
      <c r="G115" s="496" t="s">
        <v>393</v>
      </c>
      <c r="H115" s="718" t="s">
        <v>171</v>
      </c>
      <c r="I115" s="264" t="s">
        <v>126</v>
      </c>
    </row>
    <row r="116" spans="1:9" ht="45" x14ac:dyDescent="0.25">
      <c r="A116" s="302" t="s">
        <v>154</v>
      </c>
      <c r="B116" s="272" t="s">
        <v>394</v>
      </c>
      <c r="C116" s="311">
        <v>107.78</v>
      </c>
      <c r="D116" s="757" t="s">
        <v>374</v>
      </c>
      <c r="E116" s="324" t="s">
        <v>123</v>
      </c>
      <c r="F116" s="324">
        <v>35</v>
      </c>
      <c r="G116" s="497" t="s">
        <v>395</v>
      </c>
      <c r="H116" s="719" t="s">
        <v>174</v>
      </c>
      <c r="I116" s="284" t="s">
        <v>126</v>
      </c>
    </row>
    <row r="117" spans="1:9" x14ac:dyDescent="0.25">
      <c r="A117" s="307"/>
      <c r="B117" s="305"/>
      <c r="C117" s="305"/>
      <c r="D117" s="309"/>
      <c r="E117" s="309"/>
      <c r="F117" s="499" t="s">
        <v>396</v>
      </c>
      <c r="G117" s="750"/>
      <c r="H117" s="750"/>
      <c r="I117" s="751"/>
    </row>
    <row r="118" spans="1:9" ht="45" x14ac:dyDescent="0.25">
      <c r="A118" s="321" t="s">
        <v>242</v>
      </c>
      <c r="B118" s="264" t="s">
        <v>397</v>
      </c>
      <c r="C118" s="265">
        <v>34.15</v>
      </c>
      <c r="D118" s="322" t="s">
        <v>374</v>
      </c>
      <c r="E118" s="324" t="s">
        <v>245</v>
      </c>
      <c r="F118" s="324">
        <v>365</v>
      </c>
      <c r="G118" s="496" t="s">
        <v>398</v>
      </c>
      <c r="H118" s="720" t="s">
        <v>399</v>
      </c>
      <c r="I118" s="264" t="s">
        <v>400</v>
      </c>
    </row>
    <row r="119" spans="1:9" ht="45" x14ac:dyDescent="0.25">
      <c r="A119" s="310" t="s">
        <v>248</v>
      </c>
      <c r="B119" s="267" t="s">
        <v>401</v>
      </c>
      <c r="C119" s="269">
        <v>19.989999999999998</v>
      </c>
      <c r="D119" s="325" t="s">
        <v>374</v>
      </c>
      <c r="E119" s="325" t="s">
        <v>245</v>
      </c>
      <c r="F119" s="325">
        <v>365</v>
      </c>
      <c r="G119" s="496" t="s">
        <v>402</v>
      </c>
      <c r="H119" s="720" t="s">
        <v>251</v>
      </c>
      <c r="I119" s="267" t="s">
        <v>400</v>
      </c>
    </row>
    <row r="120" spans="1:9" ht="45" x14ac:dyDescent="0.25">
      <c r="A120" s="307" t="s">
        <v>252</v>
      </c>
      <c r="B120" s="326" t="s">
        <v>403</v>
      </c>
      <c r="C120" s="265">
        <v>1341.56</v>
      </c>
      <c r="D120" s="325" t="s">
        <v>374</v>
      </c>
      <c r="E120" s="322" t="s">
        <v>245</v>
      </c>
      <c r="F120" s="322">
        <v>13</v>
      </c>
      <c r="G120" s="496" t="s">
        <v>404</v>
      </c>
      <c r="H120" s="720" t="s">
        <v>255</v>
      </c>
      <c r="I120" s="267" t="s">
        <v>400</v>
      </c>
    </row>
    <row r="121" spans="1:9" ht="30" x14ac:dyDescent="0.25">
      <c r="A121" s="307" t="s">
        <v>256</v>
      </c>
      <c r="B121" s="326" t="s">
        <v>405</v>
      </c>
      <c r="C121" s="269">
        <v>192.36</v>
      </c>
      <c r="D121" s="325" t="s">
        <v>374</v>
      </c>
      <c r="E121" s="322" t="s">
        <v>258</v>
      </c>
      <c r="F121" s="322">
        <v>13</v>
      </c>
      <c r="G121" s="496" t="s">
        <v>406</v>
      </c>
      <c r="H121" s="718" t="s">
        <v>260</v>
      </c>
      <c r="I121" s="267" t="s">
        <v>400</v>
      </c>
    </row>
    <row r="122" spans="1:9" ht="30" x14ac:dyDescent="0.25">
      <c r="A122" s="310">
        <v>99202</v>
      </c>
      <c r="B122" s="267" t="s">
        <v>407</v>
      </c>
      <c r="C122" s="265">
        <v>42.14</v>
      </c>
      <c r="D122" s="325" t="s">
        <v>374</v>
      </c>
      <c r="E122" s="324" t="s">
        <v>262</v>
      </c>
      <c r="F122" s="324">
        <v>1</v>
      </c>
      <c r="G122" s="496" t="s">
        <v>408</v>
      </c>
      <c r="H122" s="718" t="s">
        <v>264</v>
      </c>
      <c r="I122" s="267" t="s">
        <v>400</v>
      </c>
    </row>
    <row r="123" spans="1:9" x14ac:dyDescent="0.25">
      <c r="A123" s="310">
        <v>87340</v>
      </c>
      <c r="B123" s="267" t="s">
        <v>409</v>
      </c>
      <c r="C123" s="269">
        <v>8.68</v>
      </c>
      <c r="D123" s="325" t="s">
        <v>374</v>
      </c>
      <c r="E123" s="325" t="s">
        <v>258</v>
      </c>
      <c r="F123" s="325">
        <v>1</v>
      </c>
      <c r="G123" s="496" t="s">
        <v>410</v>
      </c>
      <c r="H123" s="718" t="s">
        <v>267</v>
      </c>
      <c r="I123" s="267" t="s">
        <v>400</v>
      </c>
    </row>
    <row r="124" spans="1:9" x14ac:dyDescent="0.25">
      <c r="A124" s="310">
        <v>86803</v>
      </c>
      <c r="B124" s="267" t="s">
        <v>411</v>
      </c>
      <c r="C124" s="265">
        <v>11.99</v>
      </c>
      <c r="D124" s="325" t="s">
        <v>374</v>
      </c>
      <c r="E124" s="325" t="s">
        <v>258</v>
      </c>
      <c r="F124" s="325">
        <v>1</v>
      </c>
      <c r="G124" s="496" t="s">
        <v>412</v>
      </c>
      <c r="H124" s="718" t="s">
        <v>270</v>
      </c>
      <c r="I124" s="267" t="s">
        <v>400</v>
      </c>
    </row>
    <row r="125" spans="1:9" x14ac:dyDescent="0.25">
      <c r="A125" s="310">
        <v>87389</v>
      </c>
      <c r="B125" s="267" t="s">
        <v>413</v>
      </c>
      <c r="C125" s="269">
        <v>20.23</v>
      </c>
      <c r="D125" s="325" t="s">
        <v>374</v>
      </c>
      <c r="E125" s="325" t="s">
        <v>258</v>
      </c>
      <c r="F125" s="325">
        <v>1</v>
      </c>
      <c r="G125" s="496" t="s">
        <v>414</v>
      </c>
      <c r="H125" s="718" t="s">
        <v>273</v>
      </c>
      <c r="I125" s="267" t="s">
        <v>400</v>
      </c>
    </row>
    <row r="126" spans="1:9" x14ac:dyDescent="0.25">
      <c r="A126" s="310">
        <v>86701</v>
      </c>
      <c r="B126" s="267" t="s">
        <v>415</v>
      </c>
      <c r="C126" s="265">
        <v>7.47</v>
      </c>
      <c r="D126" s="325" t="s">
        <v>374</v>
      </c>
      <c r="E126" s="277" t="s">
        <v>258</v>
      </c>
      <c r="F126" s="324">
        <v>1</v>
      </c>
      <c r="G126" s="496" t="s">
        <v>416</v>
      </c>
      <c r="H126" s="718" t="s">
        <v>276</v>
      </c>
      <c r="I126" s="267" t="s">
        <v>400</v>
      </c>
    </row>
    <row r="127" spans="1:9" ht="30" x14ac:dyDescent="0.25">
      <c r="A127" s="310">
        <v>87591</v>
      </c>
      <c r="B127" s="267" t="s">
        <v>417</v>
      </c>
      <c r="C127" s="269">
        <v>29.48</v>
      </c>
      <c r="D127" s="325" t="s">
        <v>374</v>
      </c>
      <c r="E127" s="324" t="s">
        <v>258</v>
      </c>
      <c r="F127" s="277">
        <v>1</v>
      </c>
      <c r="G127" s="496" t="s">
        <v>418</v>
      </c>
      <c r="H127" s="718" t="s">
        <v>279</v>
      </c>
      <c r="I127" s="267" t="s">
        <v>400</v>
      </c>
    </row>
    <row r="128" spans="1:9" x14ac:dyDescent="0.25">
      <c r="A128" s="310">
        <v>87491</v>
      </c>
      <c r="B128" s="267" t="s">
        <v>419</v>
      </c>
      <c r="C128" s="265">
        <v>29.48</v>
      </c>
      <c r="D128" s="325" t="s">
        <v>374</v>
      </c>
      <c r="E128" s="325" t="s">
        <v>258</v>
      </c>
      <c r="F128" s="325">
        <v>1</v>
      </c>
      <c r="G128" s="496" t="s">
        <v>420</v>
      </c>
      <c r="H128" s="718" t="s">
        <v>282</v>
      </c>
      <c r="I128" s="267" t="s">
        <v>400</v>
      </c>
    </row>
    <row r="129" spans="1:9" x14ac:dyDescent="0.25">
      <c r="A129" s="310">
        <v>83036</v>
      </c>
      <c r="B129" s="267" t="s">
        <v>421</v>
      </c>
      <c r="C129" s="269">
        <v>8.16</v>
      </c>
      <c r="D129" s="325" t="s">
        <v>374</v>
      </c>
      <c r="E129" s="325" t="s">
        <v>258</v>
      </c>
      <c r="F129" s="325">
        <v>1</v>
      </c>
      <c r="G129" s="496" t="s">
        <v>422</v>
      </c>
      <c r="H129" s="718" t="s">
        <v>285</v>
      </c>
      <c r="I129" s="267" t="s">
        <v>400</v>
      </c>
    </row>
    <row r="130" spans="1:9" x14ac:dyDescent="0.25">
      <c r="A130" s="310">
        <v>93010</v>
      </c>
      <c r="B130" s="267" t="s">
        <v>423</v>
      </c>
      <c r="C130" s="265">
        <v>6.72</v>
      </c>
      <c r="D130" s="325" t="s">
        <v>374</v>
      </c>
      <c r="E130" s="323" t="s">
        <v>258</v>
      </c>
      <c r="F130" s="323">
        <v>1</v>
      </c>
      <c r="G130" s="496" t="s">
        <v>424</v>
      </c>
      <c r="H130" s="718" t="s">
        <v>288</v>
      </c>
      <c r="I130" s="267" t="s">
        <v>400</v>
      </c>
    </row>
    <row r="131" spans="1:9" x14ac:dyDescent="0.25">
      <c r="A131" s="310">
        <v>93005</v>
      </c>
      <c r="B131" s="267" t="s">
        <v>425</v>
      </c>
      <c r="C131" s="269">
        <v>6.72</v>
      </c>
      <c r="D131" s="325" t="s">
        <v>374</v>
      </c>
      <c r="E131" s="323" t="s">
        <v>258</v>
      </c>
      <c r="F131" s="323">
        <v>1</v>
      </c>
      <c r="G131" s="496" t="s">
        <v>426</v>
      </c>
      <c r="H131" s="718" t="s">
        <v>291</v>
      </c>
      <c r="I131" s="267" t="s">
        <v>400</v>
      </c>
    </row>
    <row r="132" spans="1:9" ht="30" x14ac:dyDescent="0.25">
      <c r="A132" s="712">
        <v>81025</v>
      </c>
      <c r="B132" s="267" t="s">
        <v>427</v>
      </c>
      <c r="C132" s="265">
        <v>7.23</v>
      </c>
      <c r="D132" s="325" t="s">
        <v>374</v>
      </c>
      <c r="E132" s="323" t="s">
        <v>258</v>
      </c>
      <c r="F132" s="323">
        <v>1</v>
      </c>
      <c r="G132" s="496" t="s">
        <v>428</v>
      </c>
      <c r="H132" s="718" t="s">
        <v>344</v>
      </c>
      <c r="I132" s="267" t="s">
        <v>400</v>
      </c>
    </row>
    <row r="133" spans="1:9" x14ac:dyDescent="0.25">
      <c r="A133" s="302" t="s">
        <v>295</v>
      </c>
      <c r="B133" s="272" t="s">
        <v>429</v>
      </c>
      <c r="C133" s="269">
        <v>7.4</v>
      </c>
      <c r="D133" s="325" t="s">
        <v>374</v>
      </c>
      <c r="E133" s="323" t="s">
        <v>258</v>
      </c>
      <c r="F133" s="323">
        <v>1</v>
      </c>
      <c r="G133" s="496" t="s">
        <v>430</v>
      </c>
      <c r="H133" s="718" t="s">
        <v>298</v>
      </c>
      <c r="I133" s="267" t="s">
        <v>400</v>
      </c>
    </row>
    <row r="134" spans="1:9" ht="45" x14ac:dyDescent="0.25">
      <c r="A134" s="302">
        <v>99213</v>
      </c>
      <c r="B134" s="285" t="s">
        <v>431</v>
      </c>
      <c r="C134" s="265">
        <v>34.81</v>
      </c>
      <c r="D134" s="323" t="s">
        <v>374</v>
      </c>
      <c r="E134" s="323" t="s">
        <v>262</v>
      </c>
      <c r="F134" s="323">
        <v>1</v>
      </c>
      <c r="G134" s="497" t="s">
        <v>432</v>
      </c>
      <c r="H134" s="719" t="s">
        <v>301</v>
      </c>
      <c r="I134" s="272" t="s">
        <v>400</v>
      </c>
    </row>
    <row r="135" spans="1:9" x14ac:dyDescent="0.25">
      <c r="A135" s="307"/>
      <c r="B135" s="305"/>
      <c r="C135" s="305"/>
      <c r="D135" s="309"/>
      <c r="E135" s="309"/>
      <c r="F135" s="498" t="s">
        <v>41</v>
      </c>
      <c r="G135" s="750"/>
      <c r="H135" s="750"/>
      <c r="I135" s="751"/>
    </row>
    <row r="136" spans="1:9" ht="30" x14ac:dyDescent="0.25">
      <c r="A136" s="321">
        <v>99205</v>
      </c>
      <c r="B136" s="264" t="s">
        <v>433</v>
      </c>
      <c r="C136" s="265">
        <v>58.46</v>
      </c>
      <c r="D136" s="322" t="s">
        <v>374</v>
      </c>
      <c r="E136" s="322" t="s">
        <v>258</v>
      </c>
      <c r="F136" s="322">
        <v>7</v>
      </c>
      <c r="G136" s="496" t="s">
        <v>434</v>
      </c>
      <c r="H136" s="720" t="s">
        <v>304</v>
      </c>
      <c r="I136" s="264" t="s">
        <v>400</v>
      </c>
    </row>
    <row r="137" spans="1:9" ht="30" x14ac:dyDescent="0.25">
      <c r="A137" s="310">
        <v>86804</v>
      </c>
      <c r="B137" s="267" t="s">
        <v>435</v>
      </c>
      <c r="C137" s="269">
        <v>13.01</v>
      </c>
      <c r="D137" s="325" t="s">
        <v>374</v>
      </c>
      <c r="E137" s="325" t="s">
        <v>258</v>
      </c>
      <c r="F137" s="325">
        <v>1</v>
      </c>
      <c r="G137" s="496" t="s">
        <v>436</v>
      </c>
      <c r="H137" s="718" t="s">
        <v>307</v>
      </c>
      <c r="I137" s="267" t="s">
        <v>400</v>
      </c>
    </row>
    <row r="138" spans="1:9" ht="30" x14ac:dyDescent="0.25">
      <c r="A138" s="310">
        <v>87522</v>
      </c>
      <c r="B138" s="267" t="s">
        <v>437</v>
      </c>
      <c r="C138" s="265">
        <v>35.99</v>
      </c>
      <c r="D138" s="325" t="s">
        <v>374</v>
      </c>
      <c r="E138" s="325" t="s">
        <v>258</v>
      </c>
      <c r="F138" s="325">
        <v>3</v>
      </c>
      <c r="G138" s="496" t="s">
        <v>438</v>
      </c>
      <c r="H138" s="718" t="s">
        <v>310</v>
      </c>
      <c r="I138" s="267" t="s">
        <v>400</v>
      </c>
    </row>
    <row r="139" spans="1:9" ht="30" x14ac:dyDescent="0.25">
      <c r="A139" s="310">
        <v>90792</v>
      </c>
      <c r="B139" s="267" t="s">
        <v>439</v>
      </c>
      <c r="C139" s="269">
        <v>119.21</v>
      </c>
      <c r="D139" s="325" t="s">
        <v>374</v>
      </c>
      <c r="E139" s="325" t="s">
        <v>258</v>
      </c>
      <c r="F139" s="325">
        <v>1</v>
      </c>
      <c r="G139" s="496" t="s">
        <v>440</v>
      </c>
      <c r="H139" s="718" t="s">
        <v>313</v>
      </c>
      <c r="I139" s="267" t="s">
        <v>400</v>
      </c>
    </row>
    <row r="140" spans="1:9" ht="30" x14ac:dyDescent="0.25">
      <c r="A140" s="310">
        <v>90832</v>
      </c>
      <c r="B140" s="267" t="s">
        <v>441</v>
      </c>
      <c r="C140" s="269">
        <v>46.73</v>
      </c>
      <c r="D140" s="325" t="s">
        <v>374</v>
      </c>
      <c r="E140" s="325" t="s">
        <v>258</v>
      </c>
      <c r="F140" s="325">
        <v>1</v>
      </c>
      <c r="G140" s="496" t="s">
        <v>442</v>
      </c>
      <c r="H140" s="718" t="s">
        <v>316</v>
      </c>
      <c r="I140" s="267" t="s">
        <v>400</v>
      </c>
    </row>
    <row r="141" spans="1:9" ht="30.75" thickBot="1" x14ac:dyDescent="0.3">
      <c r="A141" s="302">
        <v>97597</v>
      </c>
      <c r="B141" s="272" t="s">
        <v>443</v>
      </c>
      <c r="C141" s="265">
        <v>63.15</v>
      </c>
      <c r="D141" s="323" t="s">
        <v>374</v>
      </c>
      <c r="E141" s="323" t="s">
        <v>258</v>
      </c>
      <c r="F141" s="323">
        <v>1</v>
      </c>
      <c r="G141" s="497" t="s">
        <v>444</v>
      </c>
      <c r="H141" s="719" t="s">
        <v>319</v>
      </c>
      <c r="I141" s="272" t="s">
        <v>400</v>
      </c>
    </row>
    <row r="142" spans="1:9" ht="15.75" thickBot="1" x14ac:dyDescent="0.3">
      <c r="A142" s="729"/>
      <c r="B142" s="730"/>
      <c r="C142" s="730"/>
      <c r="D142" s="730"/>
      <c r="E142" s="730"/>
      <c r="F142" s="730" t="s">
        <v>445</v>
      </c>
      <c r="G142" s="743"/>
      <c r="H142" s="743"/>
      <c r="I142" s="743"/>
    </row>
    <row r="143" spans="1:9" x14ac:dyDescent="0.25">
      <c r="A143" s="760"/>
      <c r="B143" s="319"/>
      <c r="C143" s="319"/>
      <c r="D143" s="300"/>
      <c r="E143" s="300"/>
      <c r="F143" s="327" t="s">
        <v>63</v>
      </c>
      <c r="G143" s="752"/>
      <c r="H143" s="752"/>
      <c r="I143" s="753"/>
    </row>
    <row r="144" spans="1:9" ht="60" x14ac:dyDescent="0.25">
      <c r="A144" s="321" t="s">
        <v>143</v>
      </c>
      <c r="B144" s="288" t="s">
        <v>446</v>
      </c>
      <c r="C144" s="265">
        <f>C8</f>
        <v>237.01</v>
      </c>
      <c r="D144" s="759" t="s">
        <v>447</v>
      </c>
      <c r="E144" s="266" t="s">
        <v>123</v>
      </c>
      <c r="F144" s="266">
        <v>5</v>
      </c>
      <c r="G144" s="496" t="s">
        <v>448</v>
      </c>
      <c r="H144" s="720" t="s">
        <v>449</v>
      </c>
      <c r="I144" s="264" t="s">
        <v>126</v>
      </c>
    </row>
    <row r="145" spans="1:9" ht="60" x14ac:dyDescent="0.25">
      <c r="A145" s="337" t="s">
        <v>147</v>
      </c>
      <c r="B145" s="346" t="s">
        <v>450</v>
      </c>
      <c r="C145" s="771">
        <f>C9</f>
        <v>88.95</v>
      </c>
      <c r="D145" s="328" t="s">
        <v>447</v>
      </c>
      <c r="E145" s="266" t="s">
        <v>123</v>
      </c>
      <c r="F145" s="266">
        <v>6</v>
      </c>
      <c r="G145" s="496" t="s">
        <v>451</v>
      </c>
      <c r="H145" s="718" t="s">
        <v>452</v>
      </c>
      <c r="I145" s="267" t="s">
        <v>126</v>
      </c>
    </row>
    <row r="146" spans="1:9" ht="60" x14ac:dyDescent="0.25">
      <c r="A146" s="310" t="s">
        <v>120</v>
      </c>
      <c r="B146" s="291" t="s">
        <v>453</v>
      </c>
      <c r="C146" s="771">
        <f>C3</f>
        <v>120.72</v>
      </c>
      <c r="D146" s="328" t="s">
        <v>447</v>
      </c>
      <c r="E146" s="266" t="s">
        <v>123</v>
      </c>
      <c r="F146" s="266">
        <v>28</v>
      </c>
      <c r="G146" s="496" t="s">
        <v>454</v>
      </c>
      <c r="H146" s="718" t="s">
        <v>455</v>
      </c>
      <c r="I146" s="267" t="s">
        <v>126</v>
      </c>
    </row>
    <row r="147" spans="1:9" ht="60" x14ac:dyDescent="0.25">
      <c r="A147" s="310" t="s">
        <v>120</v>
      </c>
      <c r="B147" s="291" t="s">
        <v>456</v>
      </c>
      <c r="C147" s="771">
        <f>C4</f>
        <v>52.12</v>
      </c>
      <c r="D147" s="328" t="s">
        <v>447</v>
      </c>
      <c r="E147" s="266" t="s">
        <v>123</v>
      </c>
      <c r="F147" s="266">
        <v>35</v>
      </c>
      <c r="G147" s="496" t="s">
        <v>457</v>
      </c>
      <c r="H147" s="718" t="s">
        <v>458</v>
      </c>
      <c r="I147" s="267" t="s">
        <v>126</v>
      </c>
    </row>
    <row r="148" spans="1:9" ht="75" x14ac:dyDescent="0.25">
      <c r="A148" s="321" t="s">
        <v>130</v>
      </c>
      <c r="B148" s="291" t="s">
        <v>459</v>
      </c>
      <c r="C148" s="771">
        <f>C5</f>
        <v>134.76</v>
      </c>
      <c r="D148" s="328" t="s">
        <v>447</v>
      </c>
      <c r="E148" s="271" t="s">
        <v>132</v>
      </c>
      <c r="F148" s="271">
        <v>9</v>
      </c>
      <c r="G148" s="496" t="s">
        <v>460</v>
      </c>
      <c r="H148" s="718" t="s">
        <v>461</v>
      </c>
      <c r="I148" s="267" t="s">
        <v>126</v>
      </c>
    </row>
    <row r="149" spans="1:9" ht="45" x14ac:dyDescent="0.25">
      <c r="A149" s="310" t="s">
        <v>135</v>
      </c>
      <c r="B149" s="291" t="s">
        <v>462</v>
      </c>
      <c r="C149" s="771">
        <f>C6</f>
        <v>30.1</v>
      </c>
      <c r="D149" s="328" t="s">
        <v>447</v>
      </c>
      <c r="E149" s="266" t="s">
        <v>132</v>
      </c>
      <c r="F149" s="266">
        <v>10</v>
      </c>
      <c r="G149" s="496" t="s">
        <v>463</v>
      </c>
      <c r="H149" s="718" t="s">
        <v>464</v>
      </c>
      <c r="I149" s="267" t="s">
        <v>126</v>
      </c>
    </row>
    <row r="150" spans="1:9" ht="45" x14ac:dyDescent="0.25">
      <c r="A150" s="302" t="s">
        <v>139</v>
      </c>
      <c r="B150" s="297" t="s">
        <v>465</v>
      </c>
      <c r="C150" s="771">
        <f>C7</f>
        <v>17.79</v>
      </c>
      <c r="D150" s="758" t="s">
        <v>447</v>
      </c>
      <c r="E150" s="287" t="s">
        <v>132</v>
      </c>
      <c r="F150" s="287">
        <v>32</v>
      </c>
      <c r="G150" s="497" t="s">
        <v>466</v>
      </c>
      <c r="H150" s="719" t="s">
        <v>467</v>
      </c>
      <c r="I150" s="272" t="s">
        <v>126</v>
      </c>
    </row>
    <row r="151" spans="1:9" x14ac:dyDescent="0.25">
      <c r="A151" s="313"/>
      <c r="B151" s="308"/>
      <c r="C151" s="308"/>
      <c r="D151" s="332"/>
      <c r="E151" s="332"/>
      <c r="F151" s="499" t="s">
        <v>468</v>
      </c>
      <c r="G151" s="750"/>
      <c r="H151" s="750"/>
      <c r="I151" s="751"/>
    </row>
    <row r="152" spans="1:9" ht="75" x14ac:dyDescent="0.25">
      <c r="A152" s="321" t="s">
        <v>143</v>
      </c>
      <c r="B152" s="282" t="s">
        <v>469</v>
      </c>
      <c r="C152" s="311">
        <f>C22</f>
        <v>238.75</v>
      </c>
      <c r="D152" s="330" t="s">
        <v>470</v>
      </c>
      <c r="E152" s="330" t="s">
        <v>123</v>
      </c>
      <c r="F152" s="330">
        <v>5</v>
      </c>
      <c r="G152" s="496" t="s">
        <v>471</v>
      </c>
      <c r="H152" s="720" t="s">
        <v>472</v>
      </c>
      <c r="I152" s="264" t="s">
        <v>126</v>
      </c>
    </row>
    <row r="153" spans="1:9" ht="75" x14ac:dyDescent="0.25">
      <c r="A153" s="291" t="s">
        <v>147</v>
      </c>
      <c r="B153" s="291" t="s">
        <v>473</v>
      </c>
      <c r="C153" s="269">
        <f>C23</f>
        <v>88.95</v>
      </c>
      <c r="D153" s="277" t="s">
        <v>470</v>
      </c>
      <c r="E153" s="277" t="s">
        <v>123</v>
      </c>
      <c r="F153" s="277">
        <v>6</v>
      </c>
      <c r="G153" s="496" t="s">
        <v>474</v>
      </c>
      <c r="H153" s="718" t="s">
        <v>475</v>
      </c>
      <c r="I153" s="267" t="s">
        <v>126</v>
      </c>
    </row>
    <row r="154" spans="1:9" ht="75" x14ac:dyDescent="0.25">
      <c r="A154" s="288" t="s">
        <v>120</v>
      </c>
      <c r="B154" s="291" t="s">
        <v>476</v>
      </c>
      <c r="C154" s="269">
        <f>C13</f>
        <v>194.12</v>
      </c>
      <c r="D154" s="277" t="s">
        <v>470</v>
      </c>
      <c r="E154" s="277" t="s">
        <v>123</v>
      </c>
      <c r="F154" s="277">
        <v>30</v>
      </c>
      <c r="G154" s="496" t="s">
        <v>477</v>
      </c>
      <c r="H154" s="718" t="s">
        <v>478</v>
      </c>
      <c r="I154" s="267" t="s">
        <v>126</v>
      </c>
    </row>
    <row r="155" spans="1:9" ht="75" x14ac:dyDescent="0.25">
      <c r="A155" s="310" t="s">
        <v>120</v>
      </c>
      <c r="B155" s="291" t="s">
        <v>479</v>
      </c>
      <c r="C155" s="269">
        <f>C14</f>
        <v>123.18</v>
      </c>
      <c r="D155" s="277" t="s">
        <v>470</v>
      </c>
      <c r="E155" s="277" t="s">
        <v>123</v>
      </c>
      <c r="F155" s="277">
        <v>30</v>
      </c>
      <c r="G155" s="496" t="s">
        <v>480</v>
      </c>
      <c r="H155" s="718" t="s">
        <v>481</v>
      </c>
      <c r="I155" s="267" t="s">
        <v>126</v>
      </c>
    </row>
    <row r="156" spans="1:9" ht="75" x14ac:dyDescent="0.25">
      <c r="A156" s="310" t="s">
        <v>130</v>
      </c>
      <c r="B156" s="291" t="s">
        <v>482</v>
      </c>
      <c r="C156" s="269">
        <f>C19</f>
        <v>168.01</v>
      </c>
      <c r="D156" s="277" t="s">
        <v>470</v>
      </c>
      <c r="E156" s="277" t="s">
        <v>132</v>
      </c>
      <c r="F156" s="277">
        <v>9</v>
      </c>
      <c r="G156" s="496" t="s">
        <v>483</v>
      </c>
      <c r="H156" s="718" t="s">
        <v>461</v>
      </c>
      <c r="I156" s="267" t="s">
        <v>126</v>
      </c>
    </row>
    <row r="157" spans="1:9" ht="45" x14ac:dyDescent="0.25">
      <c r="A157" s="310" t="s">
        <v>135</v>
      </c>
      <c r="B157" s="291" t="s">
        <v>484</v>
      </c>
      <c r="C157" s="269">
        <f>C20</f>
        <v>40.840000000000003</v>
      </c>
      <c r="D157" s="277" t="s">
        <v>470</v>
      </c>
      <c r="E157" s="277" t="s">
        <v>132</v>
      </c>
      <c r="F157" s="277">
        <v>10</v>
      </c>
      <c r="G157" s="496" t="s">
        <v>485</v>
      </c>
      <c r="H157" s="718" t="s">
        <v>464</v>
      </c>
      <c r="I157" s="267" t="s">
        <v>126</v>
      </c>
    </row>
    <row r="158" spans="1:9" ht="45" x14ac:dyDescent="0.25">
      <c r="A158" s="302" t="s">
        <v>139</v>
      </c>
      <c r="B158" s="282" t="s">
        <v>486</v>
      </c>
      <c r="C158" s="311">
        <f>C21</f>
        <v>17.79</v>
      </c>
      <c r="D158" s="330" t="s">
        <v>470</v>
      </c>
      <c r="E158" s="330" t="s">
        <v>132</v>
      </c>
      <c r="F158" s="330">
        <v>32</v>
      </c>
      <c r="G158" s="497" t="s">
        <v>487</v>
      </c>
      <c r="H158" s="719" t="s">
        <v>467</v>
      </c>
      <c r="I158" s="272" t="s">
        <v>126</v>
      </c>
    </row>
    <row r="159" spans="1:9" x14ac:dyDescent="0.25">
      <c r="A159" s="313"/>
      <c r="B159" s="308"/>
      <c r="C159" s="331"/>
      <c r="D159" s="332"/>
      <c r="E159" s="332"/>
      <c r="F159" s="334" t="s">
        <v>488</v>
      </c>
      <c r="G159" s="750"/>
      <c r="H159" s="750"/>
      <c r="I159" s="751"/>
    </row>
    <row r="160" spans="1:9" ht="90" x14ac:dyDescent="0.25">
      <c r="A160" s="321" t="s">
        <v>120</v>
      </c>
      <c r="B160" s="288" t="s">
        <v>489</v>
      </c>
      <c r="C160" s="304">
        <f>C15</f>
        <v>233.82</v>
      </c>
      <c r="D160" s="329" t="s">
        <v>470</v>
      </c>
      <c r="E160" s="329" t="s">
        <v>123</v>
      </c>
      <c r="F160" s="329">
        <v>45</v>
      </c>
      <c r="G160" s="496" t="s">
        <v>490</v>
      </c>
      <c r="H160" s="720" t="s">
        <v>491</v>
      </c>
      <c r="I160" s="264" t="s">
        <v>126</v>
      </c>
    </row>
    <row r="161" spans="1:9" ht="60" x14ac:dyDescent="0.25">
      <c r="A161" s="310" t="s">
        <v>154</v>
      </c>
      <c r="B161" s="291" t="s">
        <v>492</v>
      </c>
      <c r="C161" s="269">
        <f>C16</f>
        <v>54.41</v>
      </c>
      <c r="D161" s="277" t="s">
        <v>470</v>
      </c>
      <c r="E161" s="325" t="s">
        <v>123</v>
      </c>
      <c r="F161" s="325">
        <v>35</v>
      </c>
      <c r="G161" s="496" t="s">
        <v>493</v>
      </c>
      <c r="H161" s="718" t="s">
        <v>494</v>
      </c>
      <c r="I161" s="267" t="s">
        <v>126</v>
      </c>
    </row>
    <row r="162" spans="1:9" ht="60" x14ac:dyDescent="0.25">
      <c r="A162" s="310" t="s">
        <v>154</v>
      </c>
      <c r="B162" s="291" t="s">
        <v>495</v>
      </c>
      <c r="C162" s="269">
        <f>C17</f>
        <v>107.78</v>
      </c>
      <c r="D162" s="277" t="s">
        <v>470</v>
      </c>
      <c r="E162" s="325" t="s">
        <v>123</v>
      </c>
      <c r="F162" s="325">
        <v>35</v>
      </c>
      <c r="G162" s="496" t="s">
        <v>496</v>
      </c>
      <c r="H162" s="718" t="s">
        <v>497</v>
      </c>
      <c r="I162" s="267" t="s">
        <v>126</v>
      </c>
    </row>
    <row r="163" spans="1:9" ht="75" x14ac:dyDescent="0.25">
      <c r="A163" s="302" t="s">
        <v>120</v>
      </c>
      <c r="B163" s="272" t="s">
        <v>498</v>
      </c>
      <c r="C163" s="311">
        <f>C18</f>
        <v>186.94</v>
      </c>
      <c r="D163" s="757" t="s">
        <v>470</v>
      </c>
      <c r="E163" s="757" t="s">
        <v>123</v>
      </c>
      <c r="F163" s="757">
        <v>35</v>
      </c>
      <c r="G163" s="497" t="s">
        <v>499</v>
      </c>
      <c r="H163" s="719" t="s">
        <v>500</v>
      </c>
      <c r="I163" s="272" t="s">
        <v>126</v>
      </c>
    </row>
    <row r="164" spans="1:9" x14ac:dyDescent="0.25">
      <c r="A164" s="333"/>
      <c r="B164" s="334"/>
      <c r="C164" s="334"/>
      <c r="D164" s="335"/>
      <c r="E164" s="335"/>
      <c r="F164" s="334" t="s">
        <v>31</v>
      </c>
      <c r="G164" s="750"/>
      <c r="H164" s="750"/>
      <c r="I164" s="751"/>
    </row>
    <row r="165" spans="1:9" ht="60" x14ac:dyDescent="0.25">
      <c r="A165" s="336" t="str">
        <f t="shared" ref="A165:E166" si="0">A25</f>
        <v>H0006</v>
      </c>
      <c r="B165" s="336" t="str">
        <f t="shared" si="0"/>
        <v>H0006HA</v>
      </c>
      <c r="C165" s="338">
        <f t="shared" si="0"/>
        <v>66.98</v>
      </c>
      <c r="D165" s="338" t="str">
        <f t="shared" si="0"/>
        <v>SA/COPSD</v>
      </c>
      <c r="E165" s="338" t="str">
        <f t="shared" si="0"/>
        <v>Hour</v>
      </c>
      <c r="F165" s="294">
        <v>17</v>
      </c>
      <c r="G165" s="496" t="s">
        <v>501</v>
      </c>
      <c r="H165" s="720" t="s">
        <v>197</v>
      </c>
      <c r="I165" s="264" t="s">
        <v>126</v>
      </c>
    </row>
    <row r="166" spans="1:9" ht="60" x14ac:dyDescent="0.25">
      <c r="A166" s="527" t="str">
        <f t="shared" si="0"/>
        <v>H0006</v>
      </c>
      <c r="B166" s="527" t="str">
        <f t="shared" si="0"/>
        <v>H0006HB</v>
      </c>
      <c r="C166" s="755">
        <f t="shared" si="0"/>
        <v>66.98</v>
      </c>
      <c r="D166" s="755" t="str">
        <f t="shared" si="0"/>
        <v>SA/COPSD</v>
      </c>
      <c r="E166" s="755" t="str">
        <f t="shared" si="0"/>
        <v>Hour</v>
      </c>
      <c r="F166" s="756">
        <v>17</v>
      </c>
      <c r="G166" s="497" t="s">
        <v>502</v>
      </c>
      <c r="H166" s="719" t="s">
        <v>200</v>
      </c>
      <c r="I166" s="272" t="s">
        <v>126</v>
      </c>
    </row>
    <row r="167" spans="1:9" x14ac:dyDescent="0.25">
      <c r="A167" s="313"/>
      <c r="B167" s="308"/>
      <c r="C167" s="308"/>
      <c r="D167" s="335"/>
      <c r="E167" s="335"/>
      <c r="F167" s="499" t="s">
        <v>503</v>
      </c>
      <c r="G167" s="750"/>
      <c r="H167" s="750"/>
      <c r="I167" s="751"/>
    </row>
    <row r="168" spans="1:9" ht="90" x14ac:dyDescent="0.25">
      <c r="A168" s="321" t="s">
        <v>120</v>
      </c>
      <c r="B168" s="284" t="s">
        <v>504</v>
      </c>
      <c r="C168" s="311">
        <f>C28</f>
        <v>197.04</v>
      </c>
      <c r="D168" s="338" t="s">
        <v>505</v>
      </c>
      <c r="E168" s="338" t="s">
        <v>123</v>
      </c>
      <c r="F168" s="294">
        <v>60</v>
      </c>
      <c r="G168" s="496" t="s">
        <v>506</v>
      </c>
      <c r="H168" s="754" t="s">
        <v>507</v>
      </c>
      <c r="I168" s="264" t="s">
        <v>126</v>
      </c>
    </row>
    <row r="169" spans="1:9" ht="75" x14ac:dyDescent="0.25">
      <c r="A169" s="310" t="s">
        <v>154</v>
      </c>
      <c r="B169" s="310" t="s">
        <v>508</v>
      </c>
      <c r="C169" s="269">
        <f>C29</f>
        <v>26.16</v>
      </c>
      <c r="D169" s="349" t="s">
        <v>505</v>
      </c>
      <c r="E169" s="349" t="s">
        <v>132</v>
      </c>
      <c r="F169" s="349">
        <v>60</v>
      </c>
      <c r="G169" s="496" t="s">
        <v>509</v>
      </c>
      <c r="H169" s="718" t="s">
        <v>510</v>
      </c>
      <c r="I169" s="267" t="s">
        <v>126</v>
      </c>
    </row>
    <row r="170" spans="1:9" ht="75" x14ac:dyDescent="0.25">
      <c r="A170" s="302" t="s">
        <v>120</v>
      </c>
      <c r="B170" s="312" t="s">
        <v>511</v>
      </c>
      <c r="C170" s="311">
        <f>C30</f>
        <v>158.27000000000001</v>
      </c>
      <c r="D170" s="338" t="s">
        <v>505</v>
      </c>
      <c r="E170" s="294" t="s">
        <v>123</v>
      </c>
      <c r="F170" s="294">
        <v>30</v>
      </c>
      <c r="G170" s="497" t="s">
        <v>512</v>
      </c>
      <c r="H170" s="754" t="s">
        <v>513</v>
      </c>
      <c r="I170" s="272" t="s">
        <v>126</v>
      </c>
    </row>
    <row r="171" spans="1:9" x14ac:dyDescent="0.25">
      <c r="A171" s="313"/>
      <c r="B171" s="308"/>
      <c r="C171" s="308"/>
      <c r="D171" s="305"/>
      <c r="E171" s="305"/>
      <c r="F171" s="334" t="s">
        <v>67</v>
      </c>
      <c r="G171" s="750"/>
      <c r="H171" s="750"/>
      <c r="I171" s="751"/>
    </row>
    <row r="172" spans="1:9" ht="75" x14ac:dyDescent="0.25">
      <c r="A172" s="321" t="s">
        <v>130</v>
      </c>
      <c r="B172" s="312" t="s">
        <v>514</v>
      </c>
      <c r="C172" s="304">
        <f t="shared" ref="C172:C181" si="1">C32</f>
        <v>134.76</v>
      </c>
      <c r="D172" s="347" t="s">
        <v>505</v>
      </c>
      <c r="E172" s="347" t="s">
        <v>132</v>
      </c>
      <c r="F172" s="347">
        <v>2</v>
      </c>
      <c r="G172" s="496" t="s">
        <v>515</v>
      </c>
      <c r="H172" s="720" t="s">
        <v>516</v>
      </c>
      <c r="I172" s="264" t="s">
        <v>126</v>
      </c>
    </row>
    <row r="173" spans="1:9" ht="45" x14ac:dyDescent="0.25">
      <c r="A173" s="310" t="s">
        <v>214</v>
      </c>
      <c r="B173" s="307" t="s">
        <v>517</v>
      </c>
      <c r="C173" s="269">
        <f t="shared" si="1"/>
        <v>62.79</v>
      </c>
      <c r="D173" s="293" t="s">
        <v>505</v>
      </c>
      <c r="E173" s="293" t="s">
        <v>132</v>
      </c>
      <c r="F173" s="293">
        <v>2</v>
      </c>
      <c r="G173" s="496" t="s">
        <v>518</v>
      </c>
      <c r="H173" s="718" t="s">
        <v>217</v>
      </c>
      <c r="I173" s="267" t="s">
        <v>126</v>
      </c>
    </row>
    <row r="174" spans="1:9" ht="30" x14ac:dyDescent="0.25">
      <c r="A174" s="310" t="s">
        <v>218</v>
      </c>
      <c r="B174" s="303" t="s">
        <v>519</v>
      </c>
      <c r="C174" s="269">
        <f t="shared" si="1"/>
        <v>78.489999999999995</v>
      </c>
      <c r="D174" s="293" t="s">
        <v>505</v>
      </c>
      <c r="E174" s="293" t="s">
        <v>132</v>
      </c>
      <c r="F174" s="293">
        <v>16</v>
      </c>
      <c r="G174" s="496" t="s">
        <v>520</v>
      </c>
      <c r="H174" s="718" t="s">
        <v>221</v>
      </c>
      <c r="I174" s="267" t="s">
        <v>126</v>
      </c>
    </row>
    <row r="175" spans="1:9" ht="45" x14ac:dyDescent="0.25">
      <c r="A175" s="310" t="s">
        <v>218</v>
      </c>
      <c r="B175" s="307" t="s">
        <v>521</v>
      </c>
      <c r="C175" s="269">
        <f t="shared" si="1"/>
        <v>78.489999999999995</v>
      </c>
      <c r="D175" s="293" t="s">
        <v>505</v>
      </c>
      <c r="E175" s="293" t="s">
        <v>132</v>
      </c>
      <c r="F175" s="293">
        <v>4</v>
      </c>
      <c r="G175" s="496" t="s">
        <v>522</v>
      </c>
      <c r="H175" s="718" t="s">
        <v>224</v>
      </c>
      <c r="I175" s="267" t="s">
        <v>126</v>
      </c>
    </row>
    <row r="176" spans="1:9" ht="30" x14ac:dyDescent="0.25">
      <c r="A176" s="310">
        <v>90791</v>
      </c>
      <c r="B176" s="307" t="s">
        <v>523</v>
      </c>
      <c r="C176" s="269">
        <f t="shared" si="1"/>
        <v>130.81</v>
      </c>
      <c r="D176" s="293" t="s">
        <v>505</v>
      </c>
      <c r="E176" s="293" t="s">
        <v>132</v>
      </c>
      <c r="F176" s="293">
        <v>1</v>
      </c>
      <c r="G176" s="496" t="s">
        <v>524</v>
      </c>
      <c r="H176" s="718" t="s">
        <v>227</v>
      </c>
      <c r="I176" s="267" t="s">
        <v>126</v>
      </c>
    </row>
    <row r="177" spans="1:9" ht="45" x14ac:dyDescent="0.25">
      <c r="A177" s="310" t="s">
        <v>135</v>
      </c>
      <c r="B177" s="312" t="s">
        <v>525</v>
      </c>
      <c r="C177" s="269">
        <f t="shared" si="1"/>
        <v>40.840000000000003</v>
      </c>
      <c r="D177" s="293" t="s">
        <v>505</v>
      </c>
      <c r="E177" s="294" t="s">
        <v>132</v>
      </c>
      <c r="F177" s="294">
        <v>3</v>
      </c>
      <c r="G177" s="496" t="s">
        <v>526</v>
      </c>
      <c r="H177" s="718" t="s">
        <v>527</v>
      </c>
      <c r="I177" s="267" t="s">
        <v>126</v>
      </c>
    </row>
    <row r="178" spans="1:9" ht="45" x14ac:dyDescent="0.25">
      <c r="A178" s="310" t="s">
        <v>139</v>
      </c>
      <c r="B178" s="307" t="s">
        <v>528</v>
      </c>
      <c r="C178" s="269">
        <f t="shared" si="1"/>
        <v>17.79</v>
      </c>
      <c r="D178" s="293" t="s">
        <v>505</v>
      </c>
      <c r="E178" s="293" t="s">
        <v>132</v>
      </c>
      <c r="F178" s="293">
        <v>9</v>
      </c>
      <c r="G178" s="496" t="s">
        <v>529</v>
      </c>
      <c r="H178" s="718" t="s">
        <v>530</v>
      </c>
      <c r="I178" s="267" t="s">
        <v>126</v>
      </c>
    </row>
    <row r="179" spans="1:9" ht="45" x14ac:dyDescent="0.25">
      <c r="A179" s="310" t="s">
        <v>214</v>
      </c>
      <c r="B179" s="307" t="s">
        <v>531</v>
      </c>
      <c r="C179" s="269">
        <f t="shared" si="1"/>
        <v>62.79</v>
      </c>
      <c r="D179" s="293" t="s">
        <v>505</v>
      </c>
      <c r="E179" s="348" t="s">
        <v>132</v>
      </c>
      <c r="F179" s="348">
        <v>5</v>
      </c>
      <c r="G179" s="496" t="s">
        <v>532</v>
      </c>
      <c r="H179" s="718" t="s">
        <v>235</v>
      </c>
      <c r="I179" s="267" t="s">
        <v>126</v>
      </c>
    </row>
    <row r="180" spans="1:9" ht="30" x14ac:dyDescent="0.25">
      <c r="A180" s="310" t="s">
        <v>218</v>
      </c>
      <c r="B180" s="307" t="s">
        <v>533</v>
      </c>
      <c r="C180" s="269">
        <f t="shared" si="1"/>
        <v>78.489999999999995</v>
      </c>
      <c r="D180" s="293" t="s">
        <v>505</v>
      </c>
      <c r="E180" s="293" t="s">
        <v>132</v>
      </c>
      <c r="F180" s="293">
        <v>6</v>
      </c>
      <c r="G180" s="496" t="s">
        <v>534</v>
      </c>
      <c r="H180" s="718" t="s">
        <v>238</v>
      </c>
      <c r="I180" s="267" t="s">
        <v>126</v>
      </c>
    </row>
    <row r="181" spans="1:9" ht="60" x14ac:dyDescent="0.25">
      <c r="A181" s="310" t="s">
        <v>218</v>
      </c>
      <c r="B181" s="307" t="s">
        <v>535</v>
      </c>
      <c r="C181" s="269">
        <f t="shared" si="1"/>
        <v>78.489999999999995</v>
      </c>
      <c r="D181" s="293" t="s">
        <v>505</v>
      </c>
      <c r="E181" s="293" t="s">
        <v>132</v>
      </c>
      <c r="F181" s="293">
        <v>4</v>
      </c>
      <c r="G181" s="496" t="s">
        <v>536</v>
      </c>
      <c r="H181" s="718" t="s">
        <v>241</v>
      </c>
      <c r="I181" s="267" t="s">
        <v>126</v>
      </c>
    </row>
  </sheetData>
  <sheetProtection algorithmName="SHA-512" hashValue="uxVnvbG5rAz4Jvqzoepp33NAdFNTLqkKz8Cr5Ep654E/SLo7K478s0f0SJf14IlS3g5zeu+aNon8pV4qTZAZ6g==" saltValue="L+J6NPIAbGETh/uAxEeDog==" spinCount="100000" sheet="1" autoFilter="0" pivotTables="0"/>
  <autoFilter ref="A1:H181" xr:uid="{9B417ABC-4324-480F-ADCE-277B580C6CC9}"/>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DC8BC4661E804E9BF9781BB6D48D02" ma:contentTypeVersion="5" ma:contentTypeDescription="Create a new document." ma:contentTypeScope="" ma:versionID="61ec39e5cd549008afb4fadd748b2a37">
  <xsd:schema xmlns:xsd="http://www.w3.org/2001/XMLSchema" xmlns:xs="http://www.w3.org/2001/XMLSchema" xmlns:p="http://schemas.microsoft.com/office/2006/metadata/properties" xmlns:ns2="e538a09f-ee61-46be-bce2-8bcd5b4d6d4a" targetNamespace="http://schemas.microsoft.com/office/2006/metadata/properties" ma:root="true" ma:fieldsID="7a92190b6131b55290c8b471d7ee2f3f" ns2:_="">
    <xsd:import namespace="e538a09f-ee61-46be-bce2-8bcd5b4d6d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38a09f-ee61-46be-bce2-8bcd5b4d6d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609231-815D-40D2-88EB-C642AE7AED7E}">
  <ds:schemaRefs>
    <ds:schemaRef ds:uri="http://purl.org/dc/elements/1.1/"/>
    <ds:schemaRef ds:uri="http://purl.org/dc/dcmitype/"/>
    <ds:schemaRef ds:uri="http://schemas.microsoft.com/office/2006/documentManagement/types"/>
    <ds:schemaRef ds:uri="e538a09f-ee61-46be-bce2-8bcd5b4d6d4a"/>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DE42153-C4E0-41BD-AC82-74988EAD2E0D}">
  <ds:schemaRefs>
    <ds:schemaRef ds:uri="http://schemas.microsoft.com/sharepoint/v3/contenttype/forms"/>
  </ds:schemaRefs>
</ds:datastoreItem>
</file>

<file path=customXml/itemProps3.xml><?xml version="1.0" encoding="utf-8"?>
<ds:datastoreItem xmlns:ds="http://schemas.openxmlformats.org/officeDocument/2006/customXml" ds:itemID="{C673946E-9E11-46BA-9BF7-722823CB01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38a09f-ee61-46be-bce2-8bcd5b4d6d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TRA TRF TRY COPSD</vt:lpstr>
      <vt:lpstr>MAT Services</vt:lpstr>
      <vt:lpstr>PPW</vt:lpstr>
      <vt:lpstr>LBHA</vt:lpstr>
      <vt:lpstr>Version</vt:lpstr>
      <vt:lpstr>List</vt:lpstr>
      <vt:lpstr>Days</vt:lpstr>
      <vt:lpstr>Match</vt:lpstr>
      <vt:lpstr>LBHA!Print_Area</vt:lpstr>
      <vt:lpstr>'MAT Services'!Print_Area</vt:lpstr>
      <vt:lpstr>'TRA TRF TRY COPSD'!Print_Area</vt:lpstr>
      <vt:lpstr>Psychiatrist</vt:lpstr>
      <vt:lpstr>YouthOutpatient</vt:lpstr>
    </vt:vector>
  </TitlesOfParts>
  <Manager/>
  <Company>Texas Department of State Health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Substance Use Disorder (SUD) Treatment Rates</dc:title>
  <dc:subject/>
  <dc:creator>Texas Department of State Health Services</dc:creator>
  <cp:keywords/>
  <dc:description>Accessibility approved: January 21, 2021, CRO Accessibility</dc:description>
  <cp:lastModifiedBy>Sullivant,Duane (HHSC)</cp:lastModifiedBy>
  <cp:revision/>
  <dcterms:created xsi:type="dcterms:W3CDTF">2011-04-01T13:36:51Z</dcterms:created>
  <dcterms:modified xsi:type="dcterms:W3CDTF">2024-01-11T16:00:56Z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0x01010098DC8BC4661E804E9BF9781BB6D48D02</vt:lpwstr>
  </property>
</Properties>
</file>