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815" yWindow="165" windowWidth="14850" windowHeight="10035" firstSheet="4" activeTab="5"/>
  </bookViews>
  <sheets>
    <sheet name="General Information" sheetId="1" r:id="rId1"/>
    <sheet name="Consumer Information &amp; Approval" sheetId="14" r:id="rId2"/>
    <sheet name="Notes" sheetId="7" r:id="rId3"/>
    <sheet name="Authorized Units &amp; Budget" sheetId="3" r:id="rId4"/>
    <sheet name="ESS &amp; Non-Taxable" sheetId="4" r:id="rId5"/>
    <sheet name="Taxable Wage &amp; Compensation" sheetId="5" r:id="rId6"/>
    <sheet name="Quarterly Report" sheetId="15" r:id="rId7"/>
    <sheet name="Definitions" sheetId="16" r:id="rId8"/>
  </sheets>
  <externalReferences>
    <externalReference r:id="rId9"/>
  </externalReferences>
  <definedNames>
    <definedName name="Admin">#REF!</definedName>
    <definedName name="Administrative_Percent" localSheetId="2">Notes!#REF!</definedName>
    <definedName name="AudDollars">'Authorized Units &amp; Budget'!$D$64</definedName>
    <definedName name="AUDHRS">'Authorized Units &amp; Budget'!$D$61</definedName>
    <definedName name="AUDRATE">'Authorized Units &amp; Budget'!$D$63</definedName>
    <definedName name="Auth_SC_Amount">'ESS &amp; Non-Taxable'!$J$28</definedName>
    <definedName name="AuthAA">'Authorized Units &amp; Budget'!$D$102</definedName>
    <definedName name="AuthDental">'Authorized Units &amp; Budget'!$D$99</definedName>
    <definedName name="AuthMHM">'Authorized Units &amp; Budget'!$D$105</definedName>
    <definedName name="Authorized_Daily_Respite_Units">'Authorized Units &amp; Budget'!$D$25</definedName>
    <definedName name="Authorized_Hourly_Respite_Hours">'Authorized Units &amp; Budget'!$D$19</definedName>
    <definedName name="Authorized_SHL_Hours">'Authorized Units &amp; Budget'!$D$13</definedName>
    <definedName name="AuthSCS">'ESS &amp; Non-Taxable'!$G$28</definedName>
    <definedName name="Avail_for_SC">'ESS &amp; Non-Taxable'!$G$26</definedName>
    <definedName name="BehSupportsRate">'Authorized Units &amp; Budget'!$D$45</definedName>
    <definedName name="Benefits">#REF!</definedName>
    <definedName name="Billing_Percent" localSheetId="2">Notes!#REF!</definedName>
    <definedName name="BSHrs">'Authorized Units &amp; Budget'!$D$43</definedName>
    <definedName name="Budget_Balance">'Taxable Wage &amp; Compensation'!$L$11</definedName>
    <definedName name="Client">#REF!</definedName>
    <definedName name="Client_Name">#REF!</definedName>
    <definedName name="CMPAS_Rate">#REF!</definedName>
    <definedName name="CommSupportsRate">'Authorized Units &amp; Budget'!$D$21</definedName>
    <definedName name="Consumer_Name">'Consumer Information &amp; Approval'!$D$5</definedName>
    <definedName name="CSHrs">'Authorized Units &amp; Budget'!$D$19</definedName>
    <definedName name="Daily_Rate">'Authorized Units &amp; Budget'!$D$15</definedName>
    <definedName name="Daily_Respite_Rate">'Authorized Units &amp; Budget'!$J$17</definedName>
    <definedName name="DayHabRate">'Authorized Units &amp; Budget'!$D$15</definedName>
    <definedName name="Days">'Consumer Information &amp; Approval'!$I$23</definedName>
    <definedName name="Dental__AA__MHM">'Authorized Units &amp; Budget'!$J$99</definedName>
    <definedName name="DHHrs">'Authorized Units &amp; Budget'!$D$13</definedName>
    <definedName name="DHrs">'Authorized Units &amp; Budget'!$D$73</definedName>
    <definedName name="DietaryRate">'Authorized Units &amp; Budget'!$D$75</definedName>
    <definedName name="DR_LAR">'Consumer Information &amp; Approval'!$E$18</definedName>
    <definedName name="EAHrs">'Authorized Units &amp; Budget'!$D$37</definedName>
    <definedName name="EARate">'Authorized Units &amp; Budget'!$D$39</definedName>
    <definedName name="Employer_Tax">#REF!</definedName>
    <definedName name="ESS_Amount">'ESS &amp; Non-Taxable'!$G$12</definedName>
    <definedName name="ESS_Budget">'ESS &amp; Non-Taxable'!$N$10</definedName>
    <definedName name="ESS_Purchases">'ESS &amp; Non-Taxable'!$G$23</definedName>
    <definedName name="FICA" localSheetId="7">#REF!</definedName>
    <definedName name="FICA">'Taxable Wage &amp; Compensation'!$Q$14</definedName>
    <definedName name="From" localSheetId="7">#REF!</definedName>
    <definedName name="From">'Consumer Information &amp; Approval'!$D$23</definedName>
    <definedName name="FUTA" localSheetId="7">#REF!</definedName>
    <definedName name="FUTA">'Taxable Wage &amp; Compensation'!$Q$13</definedName>
    <definedName name="FUTA_Max" localSheetId="7">#REF!</definedName>
    <definedName name="FUTA_Max">'Taxable Wage &amp; Compensation'!$Q$10</definedName>
    <definedName name="HMO_Percentage" localSheetId="2">Notes!#REF!</definedName>
    <definedName name="Hourly">#REF!</definedName>
    <definedName name="Hourly_Back">#REF!</definedName>
    <definedName name="Hourly_Max">#REF!</definedName>
    <definedName name="Hourly_Min">#REF!</definedName>
    <definedName name="Hourly_Reg">#REF!</definedName>
    <definedName name="Hourly_Respite_Rate">'Authorized Units &amp; Budget'!$J$16</definedName>
    <definedName name="Hourly_Total">#REF!</definedName>
    <definedName name="HourlyRespiteRate">'Authorized Units &amp; Budget'!$D$27</definedName>
    <definedName name="HRHrs">'Authorized Units &amp; Budget'!$D$25</definedName>
    <definedName name="Max_Admin" localSheetId="7">#REF!</definedName>
    <definedName name="Max_Admin" localSheetId="2">Notes!#REF!</definedName>
    <definedName name="Medicaid_Number">'Consumer Information &amp; Approval'!$D$7</definedName>
    <definedName name="Medicare" localSheetId="7">#REF!</definedName>
    <definedName name="Medicare">'Taxable Wage &amp; Compensation'!$Q$15</definedName>
    <definedName name="Min_Compensation" localSheetId="7">#REF!</definedName>
    <definedName name="Min_Compensation" localSheetId="2">Notes!#REF!</definedName>
    <definedName name="Min_Compensation">'ESS &amp; Non-Taxable'!$G$35</definedName>
    <definedName name="Min_Employee_Comp">'ESS &amp; Non-Taxable'!$G$35</definedName>
    <definedName name="Name">#REF!</definedName>
    <definedName name="NHrs">'Authorized Units &amp; Budget'!#REF!</definedName>
    <definedName name="Non_Taxable">'ESS &amp; Non-Taxable'!$G$41</definedName>
    <definedName name="NUL">'Authorized Units &amp; Budget'!$D$84</definedName>
    <definedName name="NULS">'Authorized Units &amp; Budget'!$D$94</definedName>
    <definedName name="Number">#REF!</definedName>
    <definedName name="NURN">'Authorized Units &amp; Budget'!$D$79</definedName>
    <definedName name="NURS">'Authorized Units &amp; Budget'!$D$89</definedName>
    <definedName name="OTHRS">'Authorized Units &amp; Budget'!$D$55</definedName>
    <definedName name="OTRATE">'Authorized Units &amp; Budget'!$D$57</definedName>
    <definedName name="_xlnm.Print_Area" localSheetId="3">'Authorized Units &amp; Budget'!$B$2:$G$105</definedName>
    <definedName name="_xlnm.Print_Area" localSheetId="1">'Consumer Information &amp; Approval'!$A$1:$H$38</definedName>
    <definedName name="_xlnm.Print_Area" localSheetId="7">Definitions!$A$1:$G$43</definedName>
    <definedName name="_xlnm.Print_Area" localSheetId="4">'ESS &amp; Non-Taxable'!$A$1:$H$46</definedName>
    <definedName name="_xlnm.Print_Area" localSheetId="0">'General Information'!$A$1:$E$30</definedName>
    <definedName name="_xlnm.Print_Area" localSheetId="2">Notes!$A$1:$G$52</definedName>
    <definedName name="_xlnm.Print_Area" localSheetId="5">'Taxable Wage &amp; Compensation'!$A$1:$R$36</definedName>
    <definedName name="_xlnm.Print_Titles" localSheetId="6">'Quarterly Report'!$2:$13</definedName>
    <definedName name="_xlnm.Print_Titles" localSheetId="5">'Taxable Wage &amp; Compensation'!$1:$9</definedName>
    <definedName name="Program">#REF!</definedName>
    <definedName name="PTHRS">'Authorized Units &amp; Budget'!$D$49</definedName>
    <definedName name="PTOTHrs">'Authorized Units &amp; Budget'!$D$49</definedName>
    <definedName name="PTOTRate">'Authorized Units &amp; Budget'!$D$51</definedName>
    <definedName name="Rate_BehSupports">'Authorized Units &amp; Budget'!$D$39</definedName>
    <definedName name="Rate_CommSupports">'Authorized Units &amp; Budget'!$D$21</definedName>
    <definedName name="Rate_DayHab">'Authorized Units &amp; Budget'!$D$15</definedName>
    <definedName name="Rate_Dietary">'Authorized Units &amp; Budget'!$D$74</definedName>
    <definedName name="Rate_HourlyRespite">'Authorized Units &amp; Budget'!$D$27</definedName>
    <definedName name="Rate_Nursing">'Authorized Units &amp; Budget'!#REF!</definedName>
    <definedName name="Rate_PTOT">'Authorized Units &amp; Budget'!$D$51</definedName>
    <definedName name="Rate_SE">'Authorized Units &amp; Budget'!$D$33</definedName>
    <definedName name="RateNUL">'Authorized Units &amp; Budget'!$D$85</definedName>
    <definedName name="RateNULS">'Authorized Units &amp; Budget'!$D$95</definedName>
    <definedName name="RateNUR">'Authorized Units &amp; Budget'!$D$80</definedName>
    <definedName name="RateNURS">'Authorized Units &amp; Budget'!$D$90</definedName>
    <definedName name="SC_funded_by_ESS">'ESS &amp; Non-Taxable'!$G$29</definedName>
    <definedName name="SC_funded_outside_ESS">'ESS &amp; Non-Taxable'!$G$30</definedName>
    <definedName name="SC_Rate">'ESS &amp; Non-Taxable'!$J$26</definedName>
    <definedName name="SC_Units">'[1]ESS &amp; Non-Taxable'!$G$28</definedName>
    <definedName name="SEHRs">'Authorized Units &amp; Budget'!$D$31</definedName>
    <definedName name="SERate">'Authorized Units &amp; Budget'!$D$33</definedName>
    <definedName name="SHL_Rate">'Authorized Units &amp; Budget'!$J$15</definedName>
    <definedName name="SpeechDollars">'Authorized Units &amp; Budget'!$D$70</definedName>
    <definedName name="SPHRS">'Authorized Units &amp; Budget'!$D$67</definedName>
    <definedName name="SPRATE">'Authorized Units &amp; Budget'!$D$69</definedName>
    <definedName name="SUTA">#REF!</definedName>
    <definedName name="SUTA_Max" localSheetId="7">#REF!</definedName>
    <definedName name="SUTA_Max">'Taxable Wage &amp; Compensation'!$Q$11</definedName>
    <definedName name="Taxable">'ESS &amp; Non-Taxable'!$G$45</definedName>
    <definedName name="Taxable_Funds">'ESS &amp; Non-Taxable'!$G$45</definedName>
    <definedName name="To" localSheetId="7">#REF!</definedName>
    <definedName name="To">'Consumer Information &amp; Approval'!$F$23</definedName>
    <definedName name="Total_Budget">'Authorized Units &amp; Budget'!$D$10</definedName>
    <definedName name="Total_ESS_Costs">'ESS &amp; Non-Taxable'!$G$32</definedName>
    <definedName name="Total_Rate" localSheetId="2">Notes!#REF!</definedName>
    <definedName name="Total_SC_Costs">'ESS &amp; Non-Taxable'!$G$31</definedName>
    <definedName name="Total_Tax">'Taxable Wage &amp; Compensation'!$Q$16</definedName>
    <definedName name="Units" localSheetId="2">Notes!#REF!</definedName>
    <definedName name="Units">#REF!</definedName>
    <definedName name="Weeks" localSheetId="7">#REF!</definedName>
    <definedName name="Weeks">'Consumer Information &amp; Approval'!$J$23</definedName>
    <definedName name="Z_346F6C38_467E_4277_A934_45FBB069E11D_.wvu.PrintArea" localSheetId="3" hidden="1">'Authorized Units &amp; Budget'!$A$1:$G$11</definedName>
    <definedName name="Z_346F6C38_467E_4277_A934_45FBB069E11D_.wvu.PrintArea" localSheetId="4" hidden="1">'ESS &amp; Non-Taxable'!$A$1:$H$46</definedName>
    <definedName name="Z_346F6C38_467E_4277_A934_45FBB069E11D_.wvu.PrintArea" localSheetId="0" hidden="1">'General Information'!$A$1:$E$30</definedName>
    <definedName name="Z_346F6C38_467E_4277_A934_45FBB069E11D_.wvu.PrintArea" localSheetId="2" hidden="1">Notes!$A$1:$G$11</definedName>
    <definedName name="Z_346F6C38_467E_4277_A934_45FBB069E11D_.wvu.PrintArea" localSheetId="5" hidden="1">'Taxable Wage &amp; Compensation'!$A$1:$N$30</definedName>
    <definedName name="Z_454ECA60_FBCC_11D6_AB9B_00C04F5868C8_.wvu.PrintArea" localSheetId="3" hidden="1">'Authorized Units &amp; Budget'!$A$1:$G$11</definedName>
    <definedName name="Z_454ECA60_FBCC_11D6_AB9B_00C04F5868C8_.wvu.PrintArea" localSheetId="4" hidden="1">'ESS &amp; Non-Taxable'!$A$1:$H$46</definedName>
    <definedName name="Z_454ECA60_FBCC_11D6_AB9B_00C04F5868C8_.wvu.PrintArea" localSheetId="0" hidden="1">'General Information'!$A$1:$E$30</definedName>
    <definedName name="Z_454ECA60_FBCC_11D6_AB9B_00C04F5868C8_.wvu.PrintArea" localSheetId="2" hidden="1">Notes!$A$1:$G$11</definedName>
    <definedName name="Z_454ECA60_FBCC_11D6_AB9B_00C04F5868C8_.wvu.PrintArea" localSheetId="5" hidden="1">'Taxable Wage &amp; Compensation'!$A$1:$N$30</definedName>
  </definedNames>
  <calcPr calcId="145621"/>
  <customWorkbookViews>
    <customWorkbookView name="Sarah E. Hambrick - Personal View" guid="{454ECA60-FBCC-11D6-AB9B-00C04F5868C8}" mergeInterval="0" personalView="1" maximized="1" windowWidth="796" windowHeight="385" tabRatio="764" activeSheetId="2"/>
    <customWorkbookView name="Tford - Personal View" guid="{346F6C38-467E-4277-A934-45FBB069E11D}" mergeInterval="0" personalView="1" maximized="1" windowWidth="987" windowHeight="566" tabRatio="764" activeSheetId="5"/>
  </customWorkbookViews>
</workbook>
</file>

<file path=xl/calcChain.xml><?xml version="1.0" encoding="utf-8"?>
<calcChain xmlns="http://schemas.openxmlformats.org/spreadsheetml/2006/main">
  <c r="H381" i="5" l="1"/>
  <c r="I385" i="5"/>
  <c r="K385" i="5" s="1"/>
  <c r="I386" i="5"/>
  <c r="K386" i="5" s="1"/>
  <c r="I387" i="5"/>
  <c r="K387" i="5" s="1"/>
  <c r="I388" i="5"/>
  <c r="Q388" i="5"/>
  <c r="O387" i="5" s="1"/>
  <c r="I393" i="5"/>
  <c r="I394" i="5"/>
  <c r="I395" i="5"/>
  <c r="I396" i="5"/>
  <c r="I397" i="5"/>
  <c r="H305" i="5"/>
  <c r="I309" i="5" s="1"/>
  <c r="K309" i="5" s="1"/>
  <c r="I312" i="5"/>
  <c r="Q312" i="5"/>
  <c r="O311" i="5" s="1"/>
  <c r="I317" i="5"/>
  <c r="I318" i="5"/>
  <c r="I319" i="5"/>
  <c r="I320" i="5"/>
  <c r="I321" i="5"/>
  <c r="H324" i="5"/>
  <c r="I328" i="5" s="1"/>
  <c r="K328" i="5" s="1"/>
  <c r="I330" i="5"/>
  <c r="K330" i="5" s="1"/>
  <c r="Q331" i="5"/>
  <c r="O330" i="5" s="1"/>
  <c r="I336" i="5"/>
  <c r="I337" i="5"/>
  <c r="I338" i="5"/>
  <c r="I339" i="5"/>
  <c r="I340" i="5"/>
  <c r="H343" i="5"/>
  <c r="I347" i="5" s="1"/>
  <c r="K347" i="5" s="1"/>
  <c r="Q350" i="5"/>
  <c r="O349" i="5" s="1"/>
  <c r="I355" i="5"/>
  <c r="I356" i="5"/>
  <c r="I357" i="5"/>
  <c r="I358" i="5"/>
  <c r="I359" i="5"/>
  <c r="H362" i="5"/>
  <c r="I366" i="5" s="1"/>
  <c r="K366" i="5" s="1"/>
  <c r="I369" i="5"/>
  <c r="Q369" i="5"/>
  <c r="O368" i="5" s="1"/>
  <c r="I374" i="5"/>
  <c r="I375" i="5"/>
  <c r="I376" i="5"/>
  <c r="I377" i="5"/>
  <c r="I378" i="5"/>
  <c r="H58" i="5"/>
  <c r="I62" i="5" s="1"/>
  <c r="K62" i="5" s="1"/>
  <c r="I65" i="5"/>
  <c r="Q65" i="5"/>
  <c r="O64" i="5" s="1"/>
  <c r="I70" i="5"/>
  <c r="I71" i="5"/>
  <c r="I72" i="5"/>
  <c r="I73" i="5"/>
  <c r="I74" i="5"/>
  <c r="H77" i="5"/>
  <c r="I81" i="5" s="1"/>
  <c r="K81" i="5" s="1"/>
  <c r="Q84" i="5"/>
  <c r="O83" i="5" s="1"/>
  <c r="I89" i="5"/>
  <c r="I90" i="5"/>
  <c r="I91" i="5"/>
  <c r="I92" i="5"/>
  <c r="I93" i="5"/>
  <c r="H96" i="5"/>
  <c r="I100" i="5" s="1"/>
  <c r="K100" i="5" s="1"/>
  <c r="I103" i="5"/>
  <c r="Q103" i="5"/>
  <c r="O102" i="5" s="1"/>
  <c r="I108" i="5"/>
  <c r="I109" i="5"/>
  <c r="I110" i="5"/>
  <c r="I111" i="5"/>
  <c r="I112" i="5"/>
  <c r="H115" i="5"/>
  <c r="I119" i="5" s="1"/>
  <c r="K119" i="5" s="1"/>
  <c r="I122" i="5"/>
  <c r="Q122" i="5"/>
  <c r="O121" i="5" s="1"/>
  <c r="I127" i="5"/>
  <c r="I128" i="5"/>
  <c r="I129" i="5"/>
  <c r="I130" i="5"/>
  <c r="I131" i="5"/>
  <c r="H134" i="5"/>
  <c r="I138" i="5" s="1"/>
  <c r="K138" i="5" s="1"/>
  <c r="I141" i="5"/>
  <c r="Q141" i="5"/>
  <c r="O140" i="5" s="1"/>
  <c r="I146" i="5"/>
  <c r="I147" i="5"/>
  <c r="I148" i="5"/>
  <c r="I149" i="5"/>
  <c r="I150" i="5"/>
  <c r="H153" i="5"/>
  <c r="I157" i="5" s="1"/>
  <c r="K157" i="5" s="1"/>
  <c r="I160" i="5"/>
  <c r="Q160" i="5"/>
  <c r="O159" i="5" s="1"/>
  <c r="I165" i="5"/>
  <c r="I166" i="5"/>
  <c r="I167" i="5"/>
  <c r="I168" i="5"/>
  <c r="I169" i="5"/>
  <c r="H172" i="5"/>
  <c r="I176" i="5" s="1"/>
  <c r="K176" i="5" s="1"/>
  <c r="I179" i="5"/>
  <c r="Q179" i="5"/>
  <c r="O178" i="5" s="1"/>
  <c r="I184" i="5"/>
  <c r="I185" i="5"/>
  <c r="I186" i="5"/>
  <c r="I187" i="5"/>
  <c r="I188" i="5"/>
  <c r="H191" i="5"/>
  <c r="I195" i="5" s="1"/>
  <c r="K195" i="5" s="1"/>
  <c r="I198" i="5"/>
  <c r="Q198" i="5"/>
  <c r="O197" i="5" s="1"/>
  <c r="I203" i="5"/>
  <c r="I204" i="5"/>
  <c r="I205" i="5"/>
  <c r="I206" i="5"/>
  <c r="I207" i="5"/>
  <c r="H210" i="5"/>
  <c r="I214" i="5" s="1"/>
  <c r="K214" i="5" s="1"/>
  <c r="I217" i="5"/>
  <c r="Q217" i="5"/>
  <c r="O216" i="5" s="1"/>
  <c r="I222" i="5"/>
  <c r="I223" i="5"/>
  <c r="I224" i="5"/>
  <c r="I225" i="5"/>
  <c r="I226" i="5"/>
  <c r="H229" i="5"/>
  <c r="I233" i="5" s="1"/>
  <c r="K233" i="5" s="1"/>
  <c r="I236" i="5"/>
  <c r="Q236" i="5"/>
  <c r="O235" i="5" s="1"/>
  <c r="I241" i="5"/>
  <c r="I242" i="5"/>
  <c r="I243" i="5"/>
  <c r="I244" i="5"/>
  <c r="I245" i="5"/>
  <c r="H248" i="5"/>
  <c r="I252" i="5" s="1"/>
  <c r="K252" i="5" s="1"/>
  <c r="I253" i="5"/>
  <c r="K253" i="5"/>
  <c r="I254" i="5"/>
  <c r="K254" i="5" s="1"/>
  <c r="I255" i="5"/>
  <c r="Q255" i="5"/>
  <c r="O254" i="5" s="1"/>
  <c r="I260" i="5"/>
  <c r="I261" i="5"/>
  <c r="I262" i="5"/>
  <c r="I263" i="5"/>
  <c r="I264" i="5"/>
  <c r="H267" i="5"/>
  <c r="I271" i="5" s="1"/>
  <c r="K271" i="5" s="1"/>
  <c r="Q274" i="5"/>
  <c r="O271" i="5" s="1"/>
  <c r="Q271" i="5" s="1"/>
  <c r="J274" i="5" s="1"/>
  <c r="I279" i="5"/>
  <c r="I280" i="5"/>
  <c r="I281" i="5"/>
  <c r="I282" i="5"/>
  <c r="I283" i="5"/>
  <c r="H286" i="5"/>
  <c r="I290" i="5" s="1"/>
  <c r="K290" i="5" s="1"/>
  <c r="Q293" i="5"/>
  <c r="O290" i="5" s="1"/>
  <c r="Q290" i="5" s="1"/>
  <c r="J293" i="5" s="1"/>
  <c r="I298" i="5"/>
  <c r="I299" i="5"/>
  <c r="I300" i="5"/>
  <c r="I301" i="5"/>
  <c r="I302" i="5"/>
  <c r="H39" i="5"/>
  <c r="I43" i="5" s="1"/>
  <c r="K43" i="5" s="1"/>
  <c r="Q46" i="5"/>
  <c r="O43" i="5" s="1"/>
  <c r="Q43" i="5" s="1"/>
  <c r="J46" i="5" s="1"/>
  <c r="I51" i="5"/>
  <c r="I52" i="5"/>
  <c r="I53" i="5"/>
  <c r="I54" i="5"/>
  <c r="I55" i="5"/>
  <c r="I216" i="5" l="1"/>
  <c r="K216" i="5" s="1"/>
  <c r="I178" i="5"/>
  <c r="K178" i="5" s="1"/>
  <c r="I140" i="5"/>
  <c r="K140" i="5" s="1"/>
  <c r="I311" i="5"/>
  <c r="K311" i="5" s="1"/>
  <c r="I310" i="5"/>
  <c r="K310" i="5" s="1"/>
  <c r="I274" i="5"/>
  <c r="K274" i="5" s="1"/>
  <c r="J267" i="5" s="1"/>
  <c r="I235" i="5"/>
  <c r="K235" i="5" s="1"/>
  <c r="I197" i="5"/>
  <c r="K197" i="5" s="1"/>
  <c r="I159" i="5"/>
  <c r="K159" i="5" s="1"/>
  <c r="I121" i="5"/>
  <c r="K121" i="5" s="1"/>
  <c r="I368" i="5"/>
  <c r="K368" i="5" s="1"/>
  <c r="I349" i="5"/>
  <c r="K349" i="5" s="1"/>
  <c r="O386" i="5"/>
  <c r="O385" i="5"/>
  <c r="Q385" i="5" s="1"/>
  <c r="J388" i="5" s="1"/>
  <c r="K388" i="5" s="1"/>
  <c r="J381" i="5" s="1"/>
  <c r="O367" i="5"/>
  <c r="I367" i="5"/>
  <c r="K367" i="5" s="1"/>
  <c r="O366" i="5"/>
  <c r="Q366" i="5" s="1"/>
  <c r="J369" i="5" s="1"/>
  <c r="K369" i="5" s="1"/>
  <c r="I350" i="5"/>
  <c r="O348" i="5"/>
  <c r="I348" i="5"/>
  <c r="K348" i="5" s="1"/>
  <c r="O347" i="5"/>
  <c r="Q347" i="5" s="1"/>
  <c r="J350" i="5" s="1"/>
  <c r="I331" i="5"/>
  <c r="O329" i="5"/>
  <c r="I329" i="5"/>
  <c r="K329" i="5" s="1"/>
  <c r="O328" i="5"/>
  <c r="Q328" i="5" s="1"/>
  <c r="J331" i="5" s="1"/>
  <c r="O310" i="5"/>
  <c r="O309" i="5"/>
  <c r="Q309" i="5" s="1"/>
  <c r="J312" i="5" s="1"/>
  <c r="K312" i="5" s="1"/>
  <c r="J305" i="5" s="1"/>
  <c r="I45" i="5"/>
  <c r="K45" i="5" s="1"/>
  <c r="I273" i="5"/>
  <c r="K273" i="5" s="1"/>
  <c r="I272" i="5"/>
  <c r="K272" i="5" s="1"/>
  <c r="I234" i="5"/>
  <c r="K234" i="5" s="1"/>
  <c r="I196" i="5"/>
  <c r="K196" i="5" s="1"/>
  <c r="I158" i="5"/>
  <c r="K158" i="5" s="1"/>
  <c r="I64" i="5"/>
  <c r="K64" i="5" s="1"/>
  <c r="I63" i="5"/>
  <c r="K63" i="5" s="1"/>
  <c r="I46" i="5"/>
  <c r="K46" i="5" s="1"/>
  <c r="I44" i="5"/>
  <c r="K44" i="5" s="1"/>
  <c r="I292" i="5"/>
  <c r="K292" i="5" s="1"/>
  <c r="I215" i="5"/>
  <c r="K215" i="5" s="1"/>
  <c r="I177" i="5"/>
  <c r="K177" i="5" s="1"/>
  <c r="I139" i="5"/>
  <c r="K139" i="5" s="1"/>
  <c r="I102" i="5"/>
  <c r="K102" i="5" s="1"/>
  <c r="I83" i="5"/>
  <c r="K83" i="5" s="1"/>
  <c r="O292" i="5"/>
  <c r="O273" i="5"/>
  <c r="I293" i="5"/>
  <c r="K293" i="5" s="1"/>
  <c r="O291" i="5"/>
  <c r="I291" i="5"/>
  <c r="K291" i="5" s="1"/>
  <c r="O272" i="5"/>
  <c r="O253" i="5"/>
  <c r="O252" i="5"/>
  <c r="Q252" i="5" s="1"/>
  <c r="J255" i="5" s="1"/>
  <c r="K255" i="5" s="1"/>
  <c r="J248" i="5" s="1"/>
  <c r="O234" i="5"/>
  <c r="O233" i="5"/>
  <c r="Q233" i="5" s="1"/>
  <c r="J236" i="5" s="1"/>
  <c r="K236" i="5" s="1"/>
  <c r="J229" i="5" s="1"/>
  <c r="O215" i="5"/>
  <c r="O214" i="5"/>
  <c r="Q214" i="5" s="1"/>
  <c r="J217" i="5" s="1"/>
  <c r="K217" i="5" s="1"/>
  <c r="J210" i="5" s="1"/>
  <c r="O196" i="5"/>
  <c r="O195" i="5"/>
  <c r="Q195" i="5" s="1"/>
  <c r="J198" i="5" s="1"/>
  <c r="K198" i="5" s="1"/>
  <c r="J191" i="5" s="1"/>
  <c r="O177" i="5"/>
  <c r="O176" i="5"/>
  <c r="Q176" i="5" s="1"/>
  <c r="J179" i="5" s="1"/>
  <c r="K179" i="5" s="1"/>
  <c r="J172" i="5" s="1"/>
  <c r="O158" i="5"/>
  <c r="O157" i="5"/>
  <c r="Q157" i="5" s="1"/>
  <c r="J160" i="5" s="1"/>
  <c r="K160" i="5" s="1"/>
  <c r="J153" i="5" s="1"/>
  <c r="O139" i="5"/>
  <c r="O138" i="5"/>
  <c r="Q138" i="5" s="1"/>
  <c r="J141" i="5" s="1"/>
  <c r="K141" i="5" s="1"/>
  <c r="J134" i="5" s="1"/>
  <c r="O120" i="5"/>
  <c r="I120" i="5"/>
  <c r="K120" i="5" s="1"/>
  <c r="J115" i="5" s="1"/>
  <c r="O119" i="5"/>
  <c r="Q119" i="5" s="1"/>
  <c r="J122" i="5" s="1"/>
  <c r="K122" i="5" s="1"/>
  <c r="O101" i="5"/>
  <c r="I101" i="5"/>
  <c r="K101" i="5" s="1"/>
  <c r="O100" i="5"/>
  <c r="Q100" i="5" s="1"/>
  <c r="J103" i="5" s="1"/>
  <c r="K103" i="5" s="1"/>
  <c r="I84" i="5"/>
  <c r="O82" i="5"/>
  <c r="I82" i="5"/>
  <c r="K82" i="5" s="1"/>
  <c r="O81" i="5"/>
  <c r="Q81" i="5" s="1"/>
  <c r="J84" i="5" s="1"/>
  <c r="O63" i="5"/>
  <c r="O62" i="5"/>
  <c r="Q62" i="5" s="1"/>
  <c r="J65" i="5" s="1"/>
  <c r="K65" i="5" s="1"/>
  <c r="J58" i="5" s="1"/>
  <c r="O45" i="5"/>
  <c r="O44" i="5"/>
  <c r="Q16" i="5"/>
  <c r="J39" i="5" l="1"/>
  <c r="K331" i="5"/>
  <c r="J324" i="5" s="1"/>
  <c r="K350" i="5"/>
  <c r="J343" i="5" s="1"/>
  <c r="J362" i="5"/>
  <c r="Q383" i="5"/>
  <c r="L381" i="5"/>
  <c r="N381" i="5" s="1"/>
  <c r="Q382" i="5"/>
  <c r="K381" i="5" s="1"/>
  <c r="Q364" i="5"/>
  <c r="L362" i="5"/>
  <c r="N362" i="5" s="1"/>
  <c r="Q363" i="5"/>
  <c r="K362" i="5" s="1"/>
  <c r="Q307" i="5"/>
  <c r="L305" i="5"/>
  <c r="N305" i="5" s="1"/>
  <c r="Q306" i="5"/>
  <c r="K305" i="5" s="1"/>
  <c r="J286" i="5"/>
  <c r="Q287" i="5" s="1"/>
  <c r="K286" i="5" s="1"/>
  <c r="J96" i="5"/>
  <c r="Q60" i="5"/>
  <c r="L58" i="5"/>
  <c r="N58" i="5" s="1"/>
  <c r="Q59" i="5"/>
  <c r="K58" i="5" s="1"/>
  <c r="Q98" i="5"/>
  <c r="L96" i="5"/>
  <c r="N96" i="5" s="1"/>
  <c r="Q97" i="5"/>
  <c r="K96" i="5" s="1"/>
  <c r="L286" i="5"/>
  <c r="N286" i="5" s="1"/>
  <c r="Q117" i="5"/>
  <c r="L115" i="5"/>
  <c r="N115" i="5" s="1"/>
  <c r="Q116" i="5"/>
  <c r="K115" i="5" s="1"/>
  <c r="Q136" i="5"/>
  <c r="L134" i="5"/>
  <c r="N134" i="5" s="1"/>
  <c r="Q135" i="5"/>
  <c r="K134" i="5" s="1"/>
  <c r="Q155" i="5"/>
  <c r="L153" i="5"/>
  <c r="N153" i="5" s="1"/>
  <c r="Q154" i="5"/>
  <c r="K153" i="5" s="1"/>
  <c r="Q174" i="5"/>
  <c r="L172" i="5"/>
  <c r="N172" i="5" s="1"/>
  <c r="Q173" i="5"/>
  <c r="K172" i="5" s="1"/>
  <c r="Q193" i="5"/>
  <c r="L191" i="5"/>
  <c r="N191" i="5" s="1"/>
  <c r="Q192" i="5"/>
  <c r="K191" i="5" s="1"/>
  <c r="Q212" i="5"/>
  <c r="L210" i="5"/>
  <c r="N210" i="5" s="1"/>
  <c r="Q211" i="5"/>
  <c r="K210" i="5" s="1"/>
  <c r="Q231" i="5"/>
  <c r="L229" i="5"/>
  <c r="N229" i="5" s="1"/>
  <c r="Q230" i="5"/>
  <c r="K229" i="5" s="1"/>
  <c r="Q250" i="5"/>
  <c r="L248" i="5"/>
  <c r="N248" i="5" s="1"/>
  <c r="Q249" i="5"/>
  <c r="K248" i="5" s="1"/>
  <c r="K84" i="5"/>
  <c r="J77" i="5" s="1"/>
  <c r="L267" i="5"/>
  <c r="N267" i="5" s="1"/>
  <c r="Q268" i="5"/>
  <c r="K267" i="5" s="1"/>
  <c r="Q269" i="5"/>
  <c r="L39" i="5"/>
  <c r="N39" i="5" s="1"/>
  <c r="Q40" i="5"/>
  <c r="K39" i="5" s="1"/>
  <c r="Q41" i="5"/>
  <c r="Q326" i="5" l="1"/>
  <c r="Q325" i="5"/>
  <c r="K324" i="5" s="1"/>
  <c r="L324" i="5"/>
  <c r="N324" i="5" s="1"/>
  <c r="L343" i="5"/>
  <c r="N343" i="5" s="1"/>
  <c r="Q345" i="5"/>
  <c r="Q344" i="5"/>
  <c r="K343" i="5" s="1"/>
  <c r="Q288" i="5"/>
  <c r="Q79" i="5"/>
  <c r="L77" i="5"/>
  <c r="N77" i="5" s="1"/>
  <c r="Q78" i="5"/>
  <c r="K77" i="5" s="1"/>
  <c r="D16" i="3" l="1"/>
  <c r="E108" i="15" l="1"/>
  <c r="E109" i="15"/>
  <c r="E110" i="15"/>
  <c r="E107" i="15"/>
  <c r="E98" i="15"/>
  <c r="E99" i="15"/>
  <c r="E100" i="15"/>
  <c r="E97" i="15"/>
  <c r="E88" i="15"/>
  <c r="E89" i="15"/>
  <c r="E90" i="15"/>
  <c r="E87" i="15"/>
  <c r="Q27" i="5"/>
  <c r="O24" i="5" s="1"/>
  <c r="H20" i="5"/>
  <c r="I26" i="5" s="1"/>
  <c r="K26" i="5" s="1"/>
  <c r="F18" i="15"/>
  <c r="F28" i="15"/>
  <c r="F38" i="15"/>
  <c r="F48" i="15"/>
  <c r="F58" i="15"/>
  <c r="F68" i="15"/>
  <c r="F78" i="15"/>
  <c r="F88" i="15"/>
  <c r="F98" i="15"/>
  <c r="F108" i="15"/>
  <c r="F118" i="15"/>
  <c r="F158" i="15"/>
  <c r="F128" i="15"/>
  <c r="F138" i="15"/>
  <c r="F148" i="15"/>
  <c r="F19" i="15"/>
  <c r="F29" i="15"/>
  <c r="F39" i="15"/>
  <c r="F49" i="15"/>
  <c r="F59" i="15"/>
  <c r="F69" i="15"/>
  <c r="F79" i="15"/>
  <c r="F89" i="15"/>
  <c r="F99" i="15"/>
  <c r="F109" i="15"/>
  <c r="F119" i="15"/>
  <c r="F159" i="15"/>
  <c r="F129" i="15"/>
  <c r="F139" i="15"/>
  <c r="F149" i="15"/>
  <c r="F20" i="15"/>
  <c r="F30" i="15"/>
  <c r="F40" i="15"/>
  <c r="F50" i="15"/>
  <c r="F60" i="15"/>
  <c r="F70" i="15"/>
  <c r="F80" i="15"/>
  <c r="F90" i="15"/>
  <c r="F100" i="15"/>
  <c r="F110" i="15"/>
  <c r="F120" i="15"/>
  <c r="F160" i="15"/>
  <c r="F130" i="15"/>
  <c r="F140" i="15"/>
  <c r="F150" i="15"/>
  <c r="F17" i="15"/>
  <c r="F27" i="15"/>
  <c r="F37" i="15"/>
  <c r="F47" i="15"/>
  <c r="F57" i="15"/>
  <c r="F67" i="15"/>
  <c r="F77" i="15"/>
  <c r="F87" i="15"/>
  <c r="F97" i="15"/>
  <c r="F107" i="15"/>
  <c r="F117" i="15"/>
  <c r="F157" i="15"/>
  <c r="F127" i="15"/>
  <c r="F137" i="15"/>
  <c r="F147" i="15"/>
  <c r="C108" i="15"/>
  <c r="C109" i="15"/>
  <c r="C110" i="15"/>
  <c r="C107" i="15"/>
  <c r="C98" i="15"/>
  <c r="C99" i="15"/>
  <c r="C100" i="15"/>
  <c r="C97" i="15"/>
  <c r="C88" i="15"/>
  <c r="C89" i="15"/>
  <c r="C90" i="15"/>
  <c r="C87" i="15"/>
  <c r="C80" i="15"/>
  <c r="C78" i="15"/>
  <c r="C79" i="15"/>
  <c r="C77" i="15"/>
  <c r="E112" i="15"/>
  <c r="F112" i="15"/>
  <c r="E113" i="15" s="1"/>
  <c r="D112" i="15"/>
  <c r="E102" i="15"/>
  <c r="F102" i="15"/>
  <c r="E103" i="15" s="1"/>
  <c r="C102" i="15"/>
  <c r="D102" i="15"/>
  <c r="E92" i="15"/>
  <c r="E93" i="15" s="1"/>
  <c r="F92" i="15"/>
  <c r="C92" i="15"/>
  <c r="D92" i="15"/>
  <c r="D22" i="3"/>
  <c r="D28" i="3"/>
  <c r="D34" i="3"/>
  <c r="D40" i="3"/>
  <c r="D70" i="3"/>
  <c r="D64" i="3"/>
  <c r="D58" i="3"/>
  <c r="F208" i="15"/>
  <c r="F210" i="15"/>
  <c r="F209" i="15"/>
  <c r="F207" i="15"/>
  <c r="E160" i="15"/>
  <c r="E158" i="15"/>
  <c r="E159" i="15"/>
  <c r="E157" i="15"/>
  <c r="E148" i="15"/>
  <c r="E149" i="15"/>
  <c r="E150" i="15"/>
  <c r="E147" i="15"/>
  <c r="E138" i="15"/>
  <c r="E139" i="15"/>
  <c r="E140" i="15"/>
  <c r="E137" i="15"/>
  <c r="E128" i="15"/>
  <c r="E129" i="15"/>
  <c r="E130" i="15"/>
  <c r="E127" i="15"/>
  <c r="C158" i="15"/>
  <c r="C159" i="15"/>
  <c r="C160" i="15"/>
  <c r="C157" i="15"/>
  <c r="C148" i="15"/>
  <c r="C149" i="15"/>
  <c r="C150" i="15"/>
  <c r="C147" i="15"/>
  <c r="C138" i="15"/>
  <c r="C139" i="15"/>
  <c r="C140" i="15"/>
  <c r="C137" i="15"/>
  <c r="C128" i="15"/>
  <c r="C129" i="15"/>
  <c r="C130" i="15"/>
  <c r="C127" i="15"/>
  <c r="E152" i="15"/>
  <c r="F152" i="15"/>
  <c r="E153" i="15"/>
  <c r="C152" i="15"/>
  <c r="D152" i="15"/>
  <c r="C153" i="15" s="1"/>
  <c r="E142" i="15"/>
  <c r="F142" i="15"/>
  <c r="E143" i="15" s="1"/>
  <c r="C142" i="15"/>
  <c r="D142" i="15"/>
  <c r="E132" i="15"/>
  <c r="F132" i="15"/>
  <c r="E133" i="15"/>
  <c r="C132" i="15"/>
  <c r="D132" i="15"/>
  <c r="C133" i="15" s="1"/>
  <c r="D46" i="3"/>
  <c r="D76" i="3"/>
  <c r="D52" i="3"/>
  <c r="D81" i="3"/>
  <c r="D86" i="3"/>
  <c r="D91" i="3"/>
  <c r="D96" i="3"/>
  <c r="I36" i="5"/>
  <c r="I35" i="5"/>
  <c r="I34" i="5"/>
  <c r="I33" i="5"/>
  <c r="I32" i="5"/>
  <c r="J99" i="3"/>
  <c r="E188" i="15"/>
  <c r="E189" i="15"/>
  <c r="E190" i="15"/>
  <c r="E187" i="15"/>
  <c r="E178" i="15"/>
  <c r="E179" i="15"/>
  <c r="E180" i="15"/>
  <c r="E177" i="15"/>
  <c r="E168" i="15"/>
  <c r="E169" i="15"/>
  <c r="E170" i="15"/>
  <c r="E167" i="15"/>
  <c r="E192" i="15"/>
  <c r="F192" i="15"/>
  <c r="E193" i="15" s="1"/>
  <c r="C192" i="15"/>
  <c r="D192" i="15"/>
  <c r="C193" i="15" s="1"/>
  <c r="E182" i="15"/>
  <c r="F182" i="15"/>
  <c r="E183" i="15"/>
  <c r="C182" i="15"/>
  <c r="D182" i="15"/>
  <c r="C183" i="15" s="1"/>
  <c r="E172" i="15"/>
  <c r="F172" i="15"/>
  <c r="E173" i="15" s="1"/>
  <c r="C172" i="15"/>
  <c r="D172" i="15"/>
  <c r="C173" i="15" s="1"/>
  <c r="I23" i="14"/>
  <c r="J23" i="14" s="1"/>
  <c r="C222" i="15"/>
  <c r="C208" i="15"/>
  <c r="C212" i="15" s="1"/>
  <c r="C213" i="15" s="1"/>
  <c r="C209" i="15"/>
  <c r="C210" i="15"/>
  <c r="C207" i="15"/>
  <c r="G23" i="4"/>
  <c r="E198" i="15" s="1"/>
  <c r="J28" i="4"/>
  <c r="E118" i="15"/>
  <c r="E122" i="15" s="1"/>
  <c r="E119" i="15"/>
  <c r="E120" i="15"/>
  <c r="E117" i="15"/>
  <c r="E78" i="15"/>
  <c r="E79" i="15"/>
  <c r="E80" i="15"/>
  <c r="E77" i="15"/>
  <c r="E68" i="15"/>
  <c r="E69" i="15"/>
  <c r="E70" i="15"/>
  <c r="E67" i="15"/>
  <c r="E58" i="15"/>
  <c r="E59" i="15"/>
  <c r="E60" i="15"/>
  <c r="E57" i="15"/>
  <c r="E48" i="15"/>
  <c r="E49" i="15"/>
  <c r="E50" i="15"/>
  <c r="E47" i="15"/>
  <c r="E38" i="15"/>
  <c r="E39" i="15"/>
  <c r="E40" i="15"/>
  <c r="E37" i="15"/>
  <c r="E28" i="15"/>
  <c r="E29" i="15"/>
  <c r="E30" i="15"/>
  <c r="E27" i="15"/>
  <c r="C118" i="15"/>
  <c r="C122" i="15" s="1"/>
  <c r="C123" i="15" s="1"/>
  <c r="C119" i="15"/>
  <c r="C120" i="15"/>
  <c r="C117" i="15"/>
  <c r="C68" i="15"/>
  <c r="C69" i="15"/>
  <c r="C70" i="15"/>
  <c r="C67" i="15"/>
  <c r="C58" i="15"/>
  <c r="C62" i="15" s="1"/>
  <c r="C63" i="15" s="1"/>
  <c r="C59" i="15"/>
  <c r="C60" i="15"/>
  <c r="C57" i="15"/>
  <c r="C48" i="15"/>
  <c r="C49" i="15"/>
  <c r="C50" i="15"/>
  <c r="C47" i="15"/>
  <c r="C38" i="15"/>
  <c r="C42" i="15" s="1"/>
  <c r="C43" i="15" s="1"/>
  <c r="C39" i="15"/>
  <c r="C40" i="15"/>
  <c r="C37" i="15"/>
  <c r="C28" i="15"/>
  <c r="C29" i="15"/>
  <c r="C30" i="15"/>
  <c r="C27" i="15"/>
  <c r="C18" i="15"/>
  <c r="C19" i="15"/>
  <c r="C20" i="15"/>
  <c r="C17" i="15"/>
  <c r="E18" i="15"/>
  <c r="E19" i="15"/>
  <c r="E20" i="15"/>
  <c r="E17" i="15"/>
  <c r="E82" i="15"/>
  <c r="F82" i="15"/>
  <c r="C82" i="15"/>
  <c r="D82" i="15"/>
  <c r="C83" i="15"/>
  <c r="F122" i="15"/>
  <c r="D122" i="15"/>
  <c r="E72" i="15"/>
  <c r="F72" i="15"/>
  <c r="C72" i="15"/>
  <c r="D72" i="15"/>
  <c r="C73" i="15"/>
  <c r="F62" i="15"/>
  <c r="D62" i="15"/>
  <c r="E52" i="15"/>
  <c r="F52" i="15"/>
  <c r="C52" i="15"/>
  <c r="D52" i="15"/>
  <c r="C53" i="15"/>
  <c r="F42" i="15"/>
  <c r="D42" i="15"/>
  <c r="G41" i="4"/>
  <c r="E217" i="15" s="1"/>
  <c r="E218" i="15"/>
  <c r="E220" i="15"/>
  <c r="F222" i="15"/>
  <c r="D222" i="15"/>
  <c r="C223" i="15" s="1"/>
  <c r="F212" i="15"/>
  <c r="D212" i="15"/>
  <c r="E197" i="15"/>
  <c r="E199" i="15"/>
  <c r="F202" i="15"/>
  <c r="C202" i="15"/>
  <c r="D202" i="15"/>
  <c r="C203" i="15" s="1"/>
  <c r="E162" i="15"/>
  <c r="F162" i="15"/>
  <c r="C162" i="15"/>
  <c r="D162" i="15"/>
  <c r="C163" i="15"/>
  <c r="F32" i="15"/>
  <c r="D32" i="15"/>
  <c r="E22" i="15"/>
  <c r="F22" i="15"/>
  <c r="C22" i="15"/>
  <c r="D22" i="15"/>
  <c r="C23" i="15"/>
  <c r="E5" i="15"/>
  <c r="B5" i="15"/>
  <c r="E5" i="3"/>
  <c r="C5" i="3"/>
  <c r="E5" i="4"/>
  <c r="B5" i="4"/>
  <c r="D8" i="4"/>
  <c r="F8" i="4"/>
  <c r="E5" i="7"/>
  <c r="C5" i="7"/>
  <c r="D8" i="7"/>
  <c r="F8" i="7"/>
  <c r="C5" i="5"/>
  <c r="K5" i="5"/>
  <c r="G8" i="5"/>
  <c r="J8" i="5"/>
  <c r="C32" i="15" l="1"/>
  <c r="C33" i="15" s="1"/>
  <c r="O26" i="5"/>
  <c r="I27" i="5"/>
  <c r="O25" i="5"/>
  <c r="I25" i="5"/>
  <c r="K25" i="5" s="1"/>
  <c r="E62" i="15"/>
  <c r="E42" i="15"/>
  <c r="E32" i="15"/>
  <c r="E33" i="15"/>
  <c r="E43" i="15"/>
  <c r="E63" i="15"/>
  <c r="E123" i="15"/>
  <c r="E23" i="15"/>
  <c r="E163" i="15"/>
  <c r="E200" i="15"/>
  <c r="E202" i="15" s="1"/>
  <c r="E203" i="15" s="1"/>
  <c r="E219" i="15"/>
  <c r="E222" i="15" s="1"/>
  <c r="E223" i="15" s="1"/>
  <c r="E53" i="15"/>
  <c r="C143" i="15"/>
  <c r="E230" i="15"/>
  <c r="E228" i="15"/>
  <c r="I24" i="5"/>
  <c r="K24" i="5" s="1"/>
  <c r="E227" i="15"/>
  <c r="E229" i="15"/>
  <c r="C93" i="15"/>
  <c r="E83" i="15"/>
  <c r="E73" i="15"/>
  <c r="D10" i="3"/>
  <c r="C227" i="15" s="1"/>
  <c r="C103" i="15"/>
  <c r="C112" i="15"/>
  <c r="C113" i="15" s="1"/>
  <c r="D56" i="3"/>
  <c r="D14" i="3"/>
  <c r="D74" i="3"/>
  <c r="D38" i="3"/>
  <c r="D26" i="3"/>
  <c r="D50" i="3"/>
  <c r="D44" i="3"/>
  <c r="D68" i="3"/>
  <c r="D62" i="3"/>
  <c r="D20" i="3"/>
  <c r="D32" i="3"/>
  <c r="E232" i="15"/>
  <c r="Q24" i="5" l="1"/>
  <c r="J27" i="5" s="1"/>
  <c r="K27" i="5" s="1"/>
  <c r="J20" i="5" s="1"/>
  <c r="C230" i="15"/>
  <c r="N10" i="4"/>
  <c r="G10" i="4"/>
  <c r="E237" i="15"/>
  <c r="C228" i="15"/>
  <c r="C229" i="15"/>
  <c r="E234" i="15"/>
  <c r="G12" i="4"/>
  <c r="E236" i="15"/>
  <c r="Q21" i="5" l="1"/>
  <c r="Q22" i="5"/>
  <c r="C232" i="15"/>
  <c r="G26" i="4"/>
  <c r="G15" i="4"/>
  <c r="K20" i="5" l="1"/>
  <c r="L20" i="5" s="1"/>
  <c r="N20" i="5" s="1"/>
  <c r="G12" i="5" s="1"/>
  <c r="G27" i="4"/>
  <c r="G30" i="4"/>
  <c r="G29" i="4"/>
  <c r="G31" i="4" l="1"/>
  <c r="G32" i="4" s="1"/>
  <c r="E210" i="15"/>
  <c r="E208" i="15" l="1"/>
  <c r="E209" i="15"/>
  <c r="E207" i="15"/>
  <c r="E212" i="15" s="1"/>
  <c r="E213" i="15" s="1"/>
  <c r="G43" i="4"/>
  <c r="G45" i="4" s="1"/>
  <c r="G11" i="5" s="1"/>
  <c r="L11" i="5" s="1"/>
  <c r="J15" i="5" s="1"/>
  <c r="F25" i="14" s="1"/>
  <c r="G35" i="4"/>
</calcChain>
</file>

<file path=xl/sharedStrings.xml><?xml version="1.0" encoding="utf-8"?>
<sst xmlns="http://schemas.openxmlformats.org/spreadsheetml/2006/main" count="1122" uniqueCount="270">
  <si>
    <t>Date</t>
  </si>
  <si>
    <t>Designated Responsible Party (If Applicable)</t>
  </si>
  <si>
    <t xml:space="preserve">Advertising  </t>
  </si>
  <si>
    <t xml:space="preserve">Criminal History Check </t>
  </si>
  <si>
    <t>Worker's comp or liability insurance</t>
  </si>
  <si>
    <t>Other - Specify</t>
  </si>
  <si>
    <t>Coverage Period From:</t>
  </si>
  <si>
    <t>To:</t>
  </si>
  <si>
    <t>*</t>
  </si>
  <si>
    <t>Change in Administrative Costs</t>
  </si>
  <si>
    <t>Change in Reimbursement Rate</t>
  </si>
  <si>
    <t>Change in Payment Option back to Agency Option</t>
  </si>
  <si>
    <t>General Information and Instructions for Use of Workbook</t>
  </si>
  <si>
    <t>Be sure to read any error messages carefully.  They give you instructions on how to correct data entry errors.</t>
  </si>
  <si>
    <t>Enter the appropriate information in the "Blue" cells (the cells with "dashed" lines around them).  Be sure the information you enter is accurate, as the budget calculations are based on the entries made in these cells.</t>
  </si>
  <si>
    <t>F.I.C.A.:</t>
  </si>
  <si>
    <t>Medicare:</t>
  </si>
  <si>
    <t xml:space="preserve">Equipment &amp; Supplies </t>
  </si>
  <si>
    <t xml:space="preserve">Copies &amp; Mailing </t>
  </si>
  <si>
    <t>Amount:</t>
  </si>
  <si>
    <t>Comments:</t>
  </si>
  <si>
    <t>CDS Agency Representative</t>
  </si>
  <si>
    <t>Initially and at Annual Reassessment</t>
  </si>
  <si>
    <t>Health Insurance Premium(s)</t>
  </si>
  <si>
    <t>Overtime</t>
  </si>
  <si>
    <t>Paid Holidays</t>
  </si>
  <si>
    <t>Vacation Pay</t>
  </si>
  <si>
    <t>Sick Leave</t>
  </si>
  <si>
    <t>Bonuses</t>
  </si>
  <si>
    <t>Termination of Services</t>
  </si>
  <si>
    <t>Consumer Name:</t>
  </si>
  <si>
    <t>Consumer Medicaid Number:</t>
  </si>
  <si>
    <r>
      <t xml:space="preserve">Effective / Coverage Period </t>
    </r>
    <r>
      <rPr>
        <b/>
        <sz val="8"/>
        <rFont val="Arial"/>
        <family val="2"/>
      </rPr>
      <t>(This does not guarantee eligibility for the entire period)</t>
    </r>
    <r>
      <rPr>
        <b/>
        <sz val="12"/>
        <rFont val="Arial"/>
        <family val="2"/>
      </rPr>
      <t>:</t>
    </r>
  </si>
  <si>
    <t>Use the "TAB" key to move between the "Blue" cells.  Entries may only be made in the "Blue" cells; all other cells are locked.</t>
  </si>
  <si>
    <t>Anytime Other Time Required by Program Policy</t>
  </si>
  <si>
    <t>Complete the Quarterly Report at least Quarterly (more frequently if required by Program Policy)</t>
  </si>
  <si>
    <t>Watch for "Pop-Up" information windows for many of the cells.  If the "Pop-Up" windows are covering the body of the budget, you may "drag and drop" them to a different area.</t>
  </si>
  <si>
    <t>Consumer Name</t>
  </si>
  <si>
    <t>Medicaid Number</t>
  </si>
  <si>
    <t>Available Amounts</t>
  </si>
  <si>
    <t>Pay Rate</t>
  </si>
  <si>
    <t>Wages</t>
  </si>
  <si>
    <t>Total Annual Wages</t>
  </si>
  <si>
    <t>Annual Taxes</t>
  </si>
  <si>
    <t>Annual Total</t>
  </si>
  <si>
    <t>Weeks</t>
  </si>
  <si>
    <t>Begin Date</t>
  </si>
  <si>
    <t>End Date</t>
  </si>
  <si>
    <t>Amount</t>
  </si>
  <si>
    <t>OT Pay Rate</t>
  </si>
  <si>
    <t>Other -Specify</t>
  </si>
  <si>
    <t>S.U.T.A. Rate</t>
  </si>
  <si>
    <t>Hourly Pay</t>
  </si>
  <si>
    <t>Other Compensation</t>
  </si>
  <si>
    <t>Number of Payments</t>
  </si>
  <si>
    <t>Notes</t>
  </si>
  <si>
    <t>Dollars Left in Budget:</t>
  </si>
  <si>
    <t>Within Total Budget for Consumer?</t>
  </si>
  <si>
    <t>THIS PAGE IS NOT CONSIDERED PART OF THE BUDGET</t>
  </si>
  <si>
    <t>You can use the keyboard to move between the pages in the workbook.  Press "CTRL" and "Page Down" at the same time to move to the next worksheet; Press "CTRL" and "Page Up" at the same time to move to the previous worksheet.</t>
  </si>
  <si>
    <t>Budget Calculations are:</t>
  </si>
  <si>
    <t>Funds Available for Taxable Compensation Costs</t>
  </si>
  <si>
    <t>Total Estimated Non-Taxable Compensation Costs:</t>
  </si>
  <si>
    <t>Total Available for Taxable Compensation:</t>
  </si>
  <si>
    <t>Total Taxable Compensation:</t>
  </si>
  <si>
    <t>Quarterly Report</t>
  </si>
  <si>
    <t>Quarterly Report Coverage Period From:</t>
  </si>
  <si>
    <t>Quarter Number:</t>
  </si>
  <si>
    <t>NOTE - All Budgeted Amounts on the Quarterly Report are Estimates</t>
  </si>
  <si>
    <t>CDS Agency Representative Signature</t>
  </si>
  <si>
    <t>Phone Number (with Area Code)</t>
  </si>
  <si>
    <t>CERTIFICATION:  By signature below I certify that the numbers entered into this quarterly report are accurate as reported to me.</t>
  </si>
  <si>
    <t>CDS Agency Representative Printed Name</t>
  </si>
  <si>
    <t>F.U.T.A. Max Wage:</t>
  </si>
  <si>
    <t>F.U.T.A.:</t>
  </si>
  <si>
    <t>Taxable Wage and Compensation Validation</t>
  </si>
  <si>
    <t>S.U.T.A. Max Wage:</t>
  </si>
  <si>
    <t>Change in Number of Authorized Units for Hourly Services</t>
  </si>
  <si>
    <t>Use of Respite Services</t>
  </si>
  <si>
    <t>Consumer's Address:</t>
  </si>
  <si>
    <t>Consumer's City, State, Zip Code:</t>
  </si>
  <si>
    <t>Consumer's Telephone Number:</t>
  </si>
  <si>
    <t>Yes</t>
  </si>
  <si>
    <t>No</t>
  </si>
  <si>
    <t>Employer (Consumer or Legally Authorized Representative)</t>
  </si>
  <si>
    <t>Service</t>
  </si>
  <si>
    <t>Total Annual CDS Budget</t>
  </si>
  <si>
    <t>Weeks Employed</t>
  </si>
  <si>
    <t>Amount Available for Employee Compensation Costs:</t>
  </si>
  <si>
    <t>Non-Taxable Employee Compensation Costs</t>
  </si>
  <si>
    <t>Be sure both the Employer (Consumer or Legal Guardian), Designated Responsible Party (if applicable), and the CDS Agency Representative sign Consumer Information &amp; Budget Approval Page of the workbook, and that the budget Calculations are listed as "VALID".</t>
  </si>
  <si>
    <t>Complete the entire Workbook for each Consumer at the following times (and when required by program policy):</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</si>
  <si>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</si>
  <si>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Total Tax:</t>
  </si>
  <si>
    <t>Submit a copy of the current Budget Workbook to the appropriate Case Manager/Service Coordinator initially, annually, and as required by program policy.</t>
  </si>
  <si>
    <t>DR's Name:</t>
  </si>
  <si>
    <t>LAR's Name:</t>
  </si>
  <si>
    <t>Consumer Information &amp; Budget Approval</t>
  </si>
  <si>
    <t>Authorized Units and Budget Calculations</t>
  </si>
  <si>
    <t>Taxable Wage and Compensation Costs</t>
  </si>
  <si>
    <t>Waiver Contract Area:</t>
  </si>
  <si>
    <t>WCA 1</t>
  </si>
  <si>
    <t>WCA 2</t>
  </si>
  <si>
    <t>WCA 3</t>
  </si>
  <si>
    <t>WCA 4</t>
  </si>
  <si>
    <t>WCA 5</t>
  </si>
  <si>
    <t>WCA 6</t>
  </si>
  <si>
    <t>WCA 7</t>
  </si>
  <si>
    <t>WCA 8</t>
  </si>
  <si>
    <t>WCA 9</t>
  </si>
  <si>
    <t>Hourly Respite</t>
  </si>
  <si>
    <t>Employee Hours, Pay Rates and Other Compensation</t>
  </si>
  <si>
    <t>Employee Name</t>
  </si>
  <si>
    <t>Minimum Employee Compensation %</t>
  </si>
  <si>
    <t>Total Hourly Respite Dollars</t>
  </si>
  <si>
    <t>NOTE - The consumer must not develop a regular employee schedule that contains fewer than or more than the weekly authorized units.</t>
  </si>
  <si>
    <t>Estimated Employer Related Support Services Purchases</t>
  </si>
  <si>
    <r>
      <t>Maximum</t>
    </r>
    <r>
      <rPr>
        <sz val="10"/>
        <rFont val="Arial"/>
      </rPr>
      <t xml:space="preserve"> Amount Available for Employer Related Support Services Purchases:</t>
    </r>
  </si>
  <si>
    <t>Total Estimated Employer Related Support Services Purchases:</t>
  </si>
  <si>
    <t>SCS Hourly Rate</t>
  </si>
  <si>
    <t>Available Support Consultation Services Hours:</t>
  </si>
  <si>
    <t>Estimated Support Consultation Services Costs</t>
  </si>
  <si>
    <t>Remaining</t>
  </si>
  <si>
    <t>Amount of ESS Available for Support Consultation:</t>
  </si>
  <si>
    <t>Support Consultation Services Hours Authorized by the IDT:</t>
  </si>
  <si>
    <t>Support Consultation Services Funded through ESS:</t>
  </si>
  <si>
    <t>Auth SCS Dollars</t>
  </si>
  <si>
    <t>Q1</t>
  </si>
  <si>
    <t>Q2</t>
  </si>
  <si>
    <t>Q3</t>
  </si>
  <si>
    <t>Q4</t>
  </si>
  <si>
    <t>Auth Units</t>
  </si>
  <si>
    <t>Auth Dollars</t>
  </si>
  <si>
    <t>Total</t>
  </si>
  <si>
    <t>Quarter 1</t>
  </si>
  <si>
    <t>Quarter 2</t>
  </si>
  <si>
    <t>Quarter 3</t>
  </si>
  <si>
    <t>Quarter 4</t>
  </si>
  <si>
    <t>TOTAL BUDGET REMAINING:</t>
  </si>
  <si>
    <t>TOTAL  BUDGET</t>
  </si>
  <si>
    <t>NOTE - The consumer must not develop a regular employee schedule 
that contains fewer than or more than the weekly authorized units.</t>
  </si>
  <si>
    <t>Percent of Budgeted Dollars Spent 
(negative amount indicates the consumer has overspent):</t>
  </si>
  <si>
    <t>Dollars Remaining 
(negative indicates the consumer has overspent):</t>
  </si>
  <si>
    <t>Billed Units</t>
  </si>
  <si>
    <t>Billed Dollars</t>
  </si>
  <si>
    <t>Change in Employee</t>
  </si>
  <si>
    <t>Change in Number of Hours Employee Works, Rate of Pay, Bonus, or Benefits</t>
  </si>
  <si>
    <t xml:space="preserve">Change in Employee Pay Rate or Benefits </t>
  </si>
  <si>
    <t>Employer Support Services &amp; Non-Taxable Costs</t>
  </si>
  <si>
    <t>Total Support Consultation Services Costs:</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</si>
  <si>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</si>
  <si>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</si>
  <si>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</si>
  <si>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</si>
  <si>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</si>
  <si>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</si>
  <si>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</si>
  <si>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</si>
  <si>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</si>
  <si>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</si>
  <si>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</si>
  <si>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</si>
  <si>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</si>
  <si>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</si>
  <si>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</si>
  <si>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</si>
  <si>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</si>
  <si>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</si>
  <si>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</si>
  <si>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</si>
  <si>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</si>
  <si>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</si>
  <si>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</si>
  <si>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</si>
  <si>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</si>
  <si>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</si>
  <si>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</si>
  <si>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</si>
  <si>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</si>
  <si>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</si>
  <si>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</si>
  <si>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</si>
  <si>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</si>
  <si>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</si>
  <si>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</si>
  <si>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</si>
  <si>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</si>
  <si>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</si>
  <si>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</si>
  <si>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</si>
  <si>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</si>
  <si>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</si>
  <si>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</si>
  <si>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r>
      <t xml:space="preserve">Texas Home Living
</t>
    </r>
    <r>
      <rPr>
        <sz val="12"/>
        <rFont val="Arial"/>
        <family val="2"/>
      </rPr>
      <t>Consumer Directed Services Budget</t>
    </r>
  </si>
  <si>
    <t>Day Habilitation</t>
  </si>
  <si>
    <t>Community Supports</t>
  </si>
  <si>
    <t>Authorized Day Habilitation Units</t>
  </si>
  <si>
    <t>Weekly Authorized Day Habilitation Units</t>
  </si>
  <si>
    <t>Supported Employment</t>
  </si>
  <si>
    <t>Employment Assistance</t>
  </si>
  <si>
    <t>Behavioral Supports</t>
  </si>
  <si>
    <t>Dietary</t>
  </si>
  <si>
    <t>Authorized Community Supports Hours</t>
  </si>
  <si>
    <t>Weekly Authorized Community Supports Hours</t>
  </si>
  <si>
    <t>Total Day Habilitiation Dollars</t>
  </si>
  <si>
    <t>Hourly Rate</t>
  </si>
  <si>
    <t>Daily Rate</t>
  </si>
  <si>
    <t>Authorized Dietary Hours</t>
  </si>
  <si>
    <t>Weekly Authorized Dietary Hours</t>
  </si>
  <si>
    <t>Total Hourly Dietary Dollars</t>
  </si>
  <si>
    <t>Authorized Behavioral Supports Hours</t>
  </si>
  <si>
    <t>Weekly Authorized Behavioral Supports Hours</t>
  </si>
  <si>
    <t>Total Behavioral Supports Dollars</t>
  </si>
  <si>
    <t>Authorized Employment Assistance Hours</t>
  </si>
  <si>
    <t>Weekly Authorized Employment Assistance Hours</t>
  </si>
  <si>
    <t>Total Employment Assistance Dollars</t>
  </si>
  <si>
    <t>Authorized Supported Employment Hours</t>
  </si>
  <si>
    <t>Weekly Authorized Supported Employment Hours</t>
  </si>
  <si>
    <t>Total Supported Employment Dollars</t>
  </si>
  <si>
    <t>Authorized Hourly Respite Units</t>
  </si>
  <si>
    <t>Weekly Authorized Hourly Respite Units</t>
  </si>
  <si>
    <t>Payment for Support Consultation Services above the 10% (if required by the IDT):</t>
  </si>
  <si>
    <t>Total Costs for ESS and Support Consultation Services:</t>
  </si>
  <si>
    <t>Employer Support Services</t>
  </si>
  <si>
    <t>Support Consultation Services</t>
  </si>
  <si>
    <t>Does the Consumer Have a  Designated Representative (DR) and/or Legally Authorized Representative (LAR)?</t>
  </si>
  <si>
    <t>Total Spent For ESS and Non-Taxable Costs</t>
  </si>
  <si>
    <t>Dental</t>
  </si>
  <si>
    <t>Adaptive Aids</t>
  </si>
  <si>
    <t>Annual Authorized Dollars</t>
  </si>
  <si>
    <r>
      <t xml:space="preserve">Total  Annual CDS Budget
</t>
    </r>
    <r>
      <rPr>
        <b/>
        <sz val="10"/>
        <rFont val="Arial"/>
        <family val="2"/>
      </rPr>
      <t>(including Dental, Adaptive Aids, and Minor Home Modifications)</t>
    </r>
    <r>
      <rPr>
        <b/>
        <sz val="12"/>
        <rFont val="Arial"/>
        <family val="2"/>
      </rPr>
      <t>:</t>
    </r>
  </si>
  <si>
    <t>Dental, AA, MHM:</t>
  </si>
  <si>
    <t>ESS Budget</t>
  </si>
  <si>
    <t>Minor Home Modifications</t>
  </si>
  <si>
    <r>
      <t xml:space="preserve">Amount Available for all Estimated
Employer Support Services Costs
</t>
    </r>
    <r>
      <rPr>
        <b/>
        <sz val="10"/>
        <rFont val="Arial"/>
        <family val="2"/>
      </rPr>
      <t>(excludes Dental, Adaptive Aids, and Minor Home Modifications)</t>
    </r>
    <r>
      <rPr>
        <b/>
        <sz val="14"/>
        <rFont val="Arial"/>
        <family val="2"/>
      </rPr>
      <t>:</t>
    </r>
  </si>
  <si>
    <t>Nursing RN</t>
  </si>
  <si>
    <t>Annual Authorized Hours</t>
  </si>
  <si>
    <t>Rate</t>
  </si>
  <si>
    <t>Total Nursing RN Dollars</t>
  </si>
  <si>
    <t>Nursing LVN</t>
  </si>
  <si>
    <t>Total Nursing LVN Dollars</t>
  </si>
  <si>
    <t>Specialized Nursing RN</t>
  </si>
  <si>
    <t>Total Specialized Nursing RN Dollars</t>
  </si>
  <si>
    <t>Specialized Nursing LVN</t>
  </si>
  <si>
    <t>Total Specialized Nursing LVN Dollars</t>
  </si>
  <si>
    <t>Hours per Week</t>
  </si>
  <si>
    <t>PT</t>
  </si>
  <si>
    <t>OT</t>
  </si>
  <si>
    <t>Audiology</t>
  </si>
  <si>
    <t>Speech</t>
  </si>
  <si>
    <t>Authorized PT Hours</t>
  </si>
  <si>
    <t>Weekly Authorized PT Hours</t>
  </si>
  <si>
    <t>Total PT Dollars</t>
  </si>
  <si>
    <t>Authorized OT Hours</t>
  </si>
  <si>
    <t>Weekly Authorized OT Hours</t>
  </si>
  <si>
    <t>Total OT/ Dollars</t>
  </si>
  <si>
    <t>Total Speech Dollars</t>
  </si>
  <si>
    <t>Weekly Authorized Speech Hours</t>
  </si>
  <si>
    <t>Authorized Speech Hours</t>
  </si>
  <si>
    <t>Total Audiology Dollars</t>
  </si>
  <si>
    <t>Weekly Authorized Audiology Hours</t>
  </si>
  <si>
    <t>Authorized Audiology Hours</t>
  </si>
  <si>
    <t>Physical Therapy</t>
  </si>
  <si>
    <t>Occupational Therapy</t>
  </si>
  <si>
    <t>Family Member?</t>
  </si>
  <si>
    <t>Exempt all taxes</t>
  </si>
  <si>
    <t>Exempt SUTA and FUTA</t>
  </si>
  <si>
    <t>Not exempt</t>
  </si>
  <si>
    <t>Family Exemption</t>
  </si>
  <si>
    <t>Household exemption eligible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</si>
</sst>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0.0000%"/>
  </numFmts>
  <fonts count="30" x14ac:knownFonts="1">
    <font>
      <sz val="10"/>
      <name val="Arial"/>
    </font>
    <font>
      <sz val="10"/>
      <name val="Arial"/>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sz val="11"/>
      <name val="Arial"/>
    </font>
    <font>
      <b/>
      <sz val="14"/>
      <name val="Arial"/>
      <family val="2"/>
    </font>
    <font>
      <b/>
      <i/>
      <sz val="12"/>
      <name val="Arial"/>
      <family val="2"/>
    </font>
    <font>
      <b/>
      <i/>
      <sz val="11"/>
      <name val="Arial"/>
      <family val="2"/>
    </font>
    <font>
      <sz val="8"/>
      <name val="Arial"/>
    </font>
    <font>
      <sz val="14"/>
      <name val="Arial"/>
    </font>
    <font>
      <sz val="12"/>
      <name val="Arial"/>
    </font>
    <font>
      <b/>
      <sz val="16"/>
      <name val="Arial"/>
    </font>
    <font>
      <b/>
      <sz val="14"/>
      <name val="Arial"/>
    </font>
    <font>
      <b/>
      <sz val="11"/>
      <name val="Arial"/>
    </font>
    <font>
      <i/>
      <sz val="9"/>
      <name val="Arial"/>
      <family val="2"/>
    </font>
    <font>
      <i/>
      <sz val="10"/>
      <name val="Arial"/>
      <family val="2"/>
    </font>
  </fonts>
  <fills count="12">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13"/>
        <bgColor indexed="64"/>
      </patternFill>
    </fill>
    <fill>
      <patternFill patternType="lightTrellis">
        <bgColor indexed="9"/>
      </patternFill>
    </fill>
    <fill>
      <patternFill patternType="solid">
        <fgColor indexed="9"/>
        <bgColor indexed="64"/>
      </patternFill>
    </fill>
    <fill>
      <patternFill patternType="lightTrellis"/>
    </fill>
    <fill>
      <patternFill patternType="solid">
        <fgColor indexed="42"/>
        <bgColor indexed="64"/>
      </patternFill>
    </fill>
    <fill>
      <patternFill patternType="solid">
        <fgColor indexed="22"/>
        <bgColor indexed="64"/>
      </patternFill>
    </fill>
  </fills>
  <borders count="123">
    <border>
      <left/>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DashDot">
        <color indexed="64"/>
      </left>
      <right/>
      <top/>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DashDot">
        <color indexed="64"/>
      </bottom>
      <diagonal/>
    </border>
    <border>
      <left/>
      <right style="medium">
        <color indexed="64"/>
      </right>
      <top/>
      <bottom style="mediumDashDot">
        <color indexed="64"/>
      </bottom>
      <diagonal/>
    </border>
    <border>
      <left style="medium">
        <color indexed="64"/>
      </left>
      <right style="thin">
        <color indexed="64"/>
      </right>
      <top style="mediumDashDot">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DashDot">
        <color indexed="64"/>
      </left>
      <right style="mediumDashDot">
        <color indexed="64"/>
      </right>
      <top style="mediumDashDot">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8"/>
      </left>
      <right style="thin">
        <color indexed="64"/>
      </right>
      <top style="medium">
        <color indexed="8"/>
      </top>
      <bottom style="medium">
        <color indexed="64"/>
      </bottom>
      <diagonal/>
    </border>
    <border>
      <left style="mediumDashDot">
        <color indexed="64"/>
      </left>
      <right/>
      <top style="mediumDashDot">
        <color indexed="64"/>
      </top>
      <bottom style="mediumDashDot">
        <color indexed="64"/>
      </bottom>
      <diagonal/>
    </border>
    <border>
      <left style="medium">
        <color indexed="64"/>
      </left>
      <right/>
      <top style="medium">
        <color indexed="64"/>
      </top>
      <bottom style="medium">
        <color indexed="64"/>
      </bottom>
      <diagonal/>
    </border>
    <border>
      <left/>
      <right style="mediumDashDot">
        <color indexed="64"/>
      </right>
      <top style="medium">
        <color indexed="64"/>
      </top>
      <bottom style="medium">
        <color indexed="64"/>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
        <color indexed="64"/>
      </bottom>
      <diagonal/>
    </border>
    <border>
      <left/>
      <right style="medium">
        <color indexed="64"/>
      </right>
      <top style="mediumDashDot">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style="medium">
        <color indexed="64"/>
      </left>
      <right/>
      <top style="mediumDashDot">
        <color indexed="64"/>
      </top>
      <bottom style="thin">
        <color indexed="64"/>
      </bottom>
      <diagonal/>
    </border>
    <border>
      <left/>
      <right/>
      <top style="mediumDashDot">
        <color indexed="64"/>
      </top>
      <bottom style="thin">
        <color indexed="64"/>
      </bottom>
      <diagonal/>
    </border>
    <border>
      <left/>
      <right style="medium">
        <color indexed="64"/>
      </right>
      <top style="mediumDashDot">
        <color indexed="64"/>
      </top>
      <bottom style="thin">
        <color indexed="64"/>
      </bottom>
      <diagonal/>
    </border>
    <border>
      <left style="medium">
        <color indexed="64"/>
      </left>
      <right/>
      <top style="mediumDashDot">
        <color indexed="64"/>
      </top>
      <bottom/>
      <diagonal/>
    </border>
    <border>
      <left style="medium">
        <color indexed="64"/>
      </left>
      <right/>
      <top style="mediumDashDot">
        <color indexed="64"/>
      </top>
      <bottom style="mediumDashDot">
        <color indexed="64"/>
      </bottom>
      <diagonal/>
    </border>
    <border>
      <left style="thin">
        <color indexed="64"/>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right style="mediumDashDot">
        <color indexed="64"/>
      </right>
      <top style="thin">
        <color indexed="64"/>
      </top>
      <bottom style="thin">
        <color indexed="64"/>
      </bottom>
      <diagonal/>
    </border>
    <border>
      <left style="medium">
        <color indexed="64"/>
      </left>
      <right/>
      <top style="mediumDashDot">
        <color indexed="64"/>
      </top>
      <bottom style="medium">
        <color indexed="64"/>
      </bottom>
      <diagonal/>
    </border>
    <border>
      <left/>
      <right/>
      <top style="mediumDashDot">
        <color indexed="64"/>
      </top>
      <bottom style="medium">
        <color indexed="64"/>
      </bottom>
      <diagonal/>
    </border>
    <border>
      <left style="mediumDashDot">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DashDot">
        <color indexed="64"/>
      </right>
      <top style="thin">
        <color indexed="64"/>
      </top>
      <bottom style="mediumDashDot">
        <color indexed="64"/>
      </bottom>
      <diagonal/>
    </border>
    <border>
      <left style="mediumDashDot">
        <color indexed="64"/>
      </left>
      <right/>
      <top style="mediumDashDot">
        <color indexed="64"/>
      </top>
      <bottom style="thin">
        <color indexed="64"/>
      </bottom>
      <diagonal/>
    </border>
    <border>
      <left/>
      <right style="thin">
        <color indexed="64"/>
      </right>
      <top style="mediumDashDot">
        <color indexed="64"/>
      </top>
      <bottom style="thin">
        <color indexed="64"/>
      </bottom>
      <diagonal/>
    </border>
    <border>
      <left style="medium">
        <color indexed="64"/>
      </left>
      <right/>
      <top style="thin">
        <color indexed="64"/>
      </top>
      <bottom style="mediumDashDot">
        <color indexed="64"/>
      </bottom>
      <diagonal/>
    </border>
    <border>
      <left/>
      <right style="medium">
        <color indexed="64"/>
      </right>
      <top style="thin">
        <color indexed="64"/>
      </top>
      <bottom style="mediumDashDot">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DashDot">
        <color indexed="64"/>
      </right>
      <top style="medium">
        <color indexed="64"/>
      </top>
      <bottom style="thin">
        <color indexed="64"/>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DashDot">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2">
    <xf numFmtId="0" fontId="0" fillId="0" borderId="0" xfId="0"/>
    <xf numFmtId="0" fontId="0" fillId="0" borderId="0" xfId="0" applyProtection="1"/>
    <xf numFmtId="0" fontId="6" fillId="0" borderId="0" xfId="0" applyFont="1" applyAlignment="1" applyProtection="1">
      <alignment horizontal="center"/>
    </xf>
    <xf numFmtId="0" fontId="7" fillId="0" borderId="0" xfId="0" applyFont="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0" borderId="0" xfId="0" applyFill="1" applyBorder="1" applyAlignment="1" applyProtection="1">
      <alignment horizontal="left"/>
    </xf>
    <xf numFmtId="0" fontId="0" fillId="0" borderId="0" xfId="0" applyBorder="1" applyAlignment="1" applyProtection="1">
      <alignment horizontal="left"/>
    </xf>
    <xf numFmtId="0" fontId="0" fillId="0" borderId="0" xfId="0" applyFill="1" applyBorder="1" applyProtection="1"/>
    <xf numFmtId="0" fontId="0" fillId="0" borderId="1" xfId="0"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right"/>
    </xf>
    <xf numFmtId="0" fontId="2" fillId="0" borderId="0" xfId="0" applyFont="1" applyProtection="1"/>
    <xf numFmtId="0" fontId="4" fillId="0" borderId="0" xfId="0" applyFont="1" applyProtection="1"/>
    <xf numFmtId="0" fontId="5" fillId="0" borderId="0" xfId="0" applyFont="1" applyProtection="1"/>
    <xf numFmtId="0" fontId="3" fillId="0" borderId="0" xfId="0" applyFont="1" applyAlignment="1" applyProtection="1">
      <alignment wrapText="1"/>
    </xf>
    <xf numFmtId="164" fontId="0" fillId="0" borderId="0" xfId="0" applyNumberFormat="1" applyAlignment="1" applyProtection="1">
      <alignment horizontal="center"/>
    </xf>
    <xf numFmtId="0" fontId="4" fillId="0" borderId="0" xfId="0" applyFont="1" applyBorder="1" applyAlignment="1" applyProtection="1">
      <alignment horizontal="center" wrapText="1"/>
    </xf>
    <xf numFmtId="0" fontId="9" fillId="0" borderId="0" xfId="0" applyFont="1" applyAlignment="1" applyProtection="1">
      <alignment horizontal="center"/>
    </xf>
    <xf numFmtId="0" fontId="9" fillId="0" borderId="1" xfId="0" applyFont="1" applyBorder="1" applyAlignment="1" applyProtection="1">
      <alignment horizontal="center"/>
    </xf>
    <xf numFmtId="0" fontId="8" fillId="0" borderId="0" xfId="0" applyFont="1" applyAlignment="1" applyProtection="1">
      <alignment horizontal="center"/>
    </xf>
    <xf numFmtId="0" fontId="8" fillId="0" borderId="0" xfId="0" applyFont="1" applyAlignment="1" applyProtection="1">
      <alignment horizontal="right"/>
    </xf>
    <xf numFmtId="14" fontId="9" fillId="0" borderId="0" xfId="0" applyNumberFormat="1" applyFont="1" applyBorder="1" applyAlignment="1" applyProtection="1">
      <alignment horizontal="center"/>
    </xf>
    <xf numFmtId="0" fontId="0" fillId="0" borderId="2" xfId="0" applyBorder="1" applyProtection="1"/>
    <xf numFmtId="0" fontId="0" fillId="0" borderId="0" xfId="0" applyAlignment="1" applyProtection="1">
      <alignment horizontal="right"/>
    </xf>
    <xf numFmtId="0" fontId="9" fillId="0" borderId="0" xfId="0" applyFont="1" applyBorder="1" applyAlignment="1" applyProtection="1">
      <alignment horizontal="center"/>
    </xf>
    <xf numFmtId="0" fontId="8" fillId="0" borderId="3" xfId="0" applyFont="1" applyBorder="1" applyAlignment="1" applyProtection="1">
      <alignment horizontal="center"/>
    </xf>
    <xf numFmtId="0" fontId="8" fillId="0" borderId="0" xfId="0" applyFont="1" applyBorder="1" applyAlignment="1" applyProtection="1">
      <alignment horizontal="center"/>
    </xf>
    <xf numFmtId="164" fontId="0" fillId="0" borderId="0" xfId="0" applyNumberFormat="1" applyBorder="1" applyProtection="1"/>
    <xf numFmtId="164" fontId="2" fillId="0" borderId="0" xfId="0" applyNumberFormat="1" applyFont="1" applyFill="1" applyBorder="1" applyProtection="1"/>
    <xf numFmtId="0" fontId="2" fillId="0" borderId="0" xfId="0" applyFont="1" applyFill="1" applyBorder="1" applyProtection="1"/>
    <xf numFmtId="164" fontId="4" fillId="0" borderId="0" xfId="0" applyNumberFormat="1" applyFont="1" applyFill="1" applyBorder="1" applyProtection="1"/>
    <xf numFmtId="14" fontId="7" fillId="2" borderId="4" xfId="0" applyNumberFormat="1"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14" fontId="9" fillId="0" borderId="1" xfId="0" applyNumberFormat="1" applyFont="1" applyBorder="1" applyAlignment="1" applyProtection="1">
      <alignment horizontal="center"/>
    </xf>
    <xf numFmtId="0" fontId="3" fillId="0" borderId="0" xfId="0" applyFont="1" applyFill="1" applyBorder="1" applyAlignment="1" applyProtection="1">
      <alignment horizontal="right"/>
    </xf>
    <xf numFmtId="0" fontId="7"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wrapText="1"/>
    </xf>
    <xf numFmtId="0" fontId="2" fillId="0" borderId="8" xfId="0" applyFont="1" applyBorder="1" applyAlignment="1">
      <alignment horizontal="center" vertical="center" wrapText="1"/>
    </xf>
    <xf numFmtId="164" fontId="7" fillId="0" borderId="9" xfId="0" applyNumberFormat="1" applyFont="1" applyBorder="1" applyAlignment="1" applyProtection="1">
      <alignment horizontal="right"/>
    </xf>
    <xf numFmtId="0" fontId="13" fillId="0" borderId="0" xfId="0" applyFont="1" applyProtection="1"/>
    <xf numFmtId="0" fontId="7" fillId="0" borderId="0" xfId="0" applyFont="1" applyFill="1" applyBorder="1" applyAlignment="1" applyProtection="1">
      <alignment horizontal="center"/>
    </xf>
    <xf numFmtId="0" fontId="12" fillId="0" borderId="0" xfId="0" applyFont="1" applyBorder="1" applyProtection="1"/>
    <xf numFmtId="164" fontId="7" fillId="0" borderId="10" xfId="0" applyNumberFormat="1" applyFont="1" applyBorder="1" applyProtection="1"/>
    <xf numFmtId="164" fontId="0" fillId="2" borderId="11" xfId="0" applyNumberFormat="1" applyFill="1" applyBorder="1" applyProtection="1">
      <protection locked="0"/>
    </xf>
    <xf numFmtId="164" fontId="0" fillId="2" borderId="12" xfId="0" applyNumberFormat="1" applyFill="1" applyBorder="1" applyProtection="1">
      <protection locked="0"/>
    </xf>
    <xf numFmtId="0" fontId="0" fillId="0" borderId="13" xfId="0" applyBorder="1" applyAlignment="1" applyProtection="1">
      <alignment horizontal="right"/>
    </xf>
    <xf numFmtId="164" fontId="0" fillId="2" borderId="12"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5" xfId="0" applyNumberFormat="1" applyFill="1" applyBorder="1" applyAlignment="1" applyProtection="1">
      <alignment horizontal="right"/>
      <protection locked="0"/>
    </xf>
    <xf numFmtId="0" fontId="13" fillId="0" borderId="0" xfId="0" applyFont="1" applyAlignment="1">
      <alignment horizontal="center"/>
    </xf>
    <xf numFmtId="0" fontId="0" fillId="0" borderId="0" xfId="0" applyAlignment="1" applyProtection="1">
      <alignment wrapText="1"/>
    </xf>
    <xf numFmtId="0" fontId="6" fillId="0" borderId="0" xfId="0" applyFont="1" applyAlignment="1" applyProtection="1">
      <alignment horizontal="center" wrapText="1"/>
    </xf>
    <xf numFmtId="0" fontId="2" fillId="0" borderId="0" xfId="0" applyFont="1" applyBorder="1" applyAlignment="1">
      <alignment horizontal="center" vertical="center"/>
    </xf>
    <xf numFmtId="0" fontId="2" fillId="0" borderId="0" xfId="0" applyFont="1" applyBorder="1" applyAlignment="1">
      <alignment wrapText="1"/>
    </xf>
    <xf numFmtId="0" fontId="7" fillId="0" borderId="0" xfId="0" applyFont="1" applyFill="1" applyBorder="1" applyProtection="1"/>
    <xf numFmtId="0" fontId="7" fillId="0" borderId="0" xfId="0" applyFont="1" applyBorder="1" applyProtection="1"/>
    <xf numFmtId="0" fontId="0" fillId="0" borderId="0" xfId="0" applyFill="1" applyProtection="1"/>
    <xf numFmtId="0" fontId="0" fillId="0" borderId="0" xfId="0" applyFill="1" applyAlignment="1" applyProtection="1">
      <alignment horizontal="right"/>
    </xf>
    <xf numFmtId="49" fontId="0" fillId="0" borderId="0" xfId="0" applyNumberFormat="1" applyFill="1" applyAlignment="1" applyProtection="1"/>
    <xf numFmtId="164" fontId="3" fillId="0" borderId="0" xfId="0" applyNumberFormat="1" applyFont="1" applyFill="1" applyBorder="1" applyProtection="1"/>
    <xf numFmtId="165" fontId="3" fillId="0" borderId="0" xfId="0" applyNumberFormat="1" applyFont="1" applyFill="1" applyBorder="1" applyProtection="1"/>
    <xf numFmtId="165" fontId="3" fillId="0" borderId="0" xfId="0" applyNumberFormat="1" applyFont="1" applyFill="1" applyBorder="1" applyAlignment="1" applyProtection="1">
      <alignment horizontal="right"/>
    </xf>
    <xf numFmtId="0" fontId="0" fillId="0" borderId="0" xfId="0" applyFill="1" applyBorder="1" applyAlignment="1" applyProtection="1">
      <alignment horizontal="center" wrapText="1"/>
    </xf>
    <xf numFmtId="0" fontId="7" fillId="0" borderId="0" xfId="0" applyFont="1" applyProtection="1"/>
    <xf numFmtId="0" fontId="0" fillId="0" borderId="0" xfId="0" applyFill="1" applyBorder="1" applyAlignment="1" applyProtection="1">
      <alignment horizontal="right"/>
    </xf>
    <xf numFmtId="2" fontId="0" fillId="2" borderId="4" xfId="0" applyNumberFormat="1" applyFill="1" applyBorder="1" applyProtection="1">
      <protection locked="0"/>
    </xf>
    <xf numFmtId="164" fontId="0" fillId="0" borderId="16" xfId="0" applyNumberFormat="1" applyBorder="1" applyProtection="1"/>
    <xf numFmtId="0" fontId="0" fillId="0" borderId="0" xfId="0" applyAlignment="1" applyProtection="1">
      <alignment horizontal="left"/>
    </xf>
    <xf numFmtId="4" fontId="0" fillId="0" borderId="0" xfId="0" applyNumberFormat="1" applyFill="1" applyProtection="1"/>
    <xf numFmtId="1" fontId="0" fillId="0" borderId="0" xfId="0" applyNumberFormat="1" applyProtection="1"/>
    <xf numFmtId="2" fontId="0" fillId="0" borderId="0" xfId="0" applyNumberFormat="1" applyProtection="1"/>
    <xf numFmtId="164" fontId="0" fillId="0" borderId="0" xfId="0" applyNumberFormat="1" applyProtection="1"/>
    <xf numFmtId="164" fontId="3" fillId="0" borderId="17" xfId="0" applyNumberFormat="1" applyFont="1" applyFill="1" applyBorder="1" applyAlignment="1" applyProtection="1">
      <alignment horizontal="left"/>
    </xf>
    <xf numFmtId="4" fontId="0" fillId="0" borderId="0" xfId="0" applyNumberFormat="1" applyFill="1" applyAlignment="1" applyProtection="1"/>
    <xf numFmtId="164" fontId="3" fillId="0" borderId="18" xfId="0" applyNumberFormat="1" applyFont="1" applyFill="1" applyBorder="1" applyAlignment="1" applyProtection="1">
      <alignment horizontal="center"/>
    </xf>
    <xf numFmtId="0" fontId="10" fillId="0" borderId="19" xfId="0" applyFont="1" applyBorder="1" applyAlignment="1" applyProtection="1">
      <alignment horizontal="center"/>
    </xf>
    <xf numFmtId="0" fontId="10" fillId="0" borderId="3" xfId="0" applyFont="1" applyBorder="1" applyAlignment="1" applyProtection="1">
      <alignment horizontal="center"/>
    </xf>
    <xf numFmtId="0" fontId="10" fillId="0" borderId="17" xfId="0" applyFont="1" applyBorder="1" applyAlignment="1" applyProtection="1">
      <alignment horizontal="center"/>
    </xf>
    <xf numFmtId="0" fontId="17" fillId="0" borderId="0" xfId="0" applyFont="1" applyBorder="1" applyAlignment="1" applyProtection="1">
      <alignment horizontal="center"/>
    </xf>
    <xf numFmtId="0" fontId="7" fillId="0" borderId="0" xfId="0" applyFont="1" applyFill="1" applyAlignment="1" applyProtection="1">
      <alignment horizontal="right"/>
    </xf>
    <xf numFmtId="0" fontId="8" fillId="0" borderId="2" xfId="0" applyFont="1" applyBorder="1" applyProtection="1"/>
    <xf numFmtId="0" fontId="0" fillId="0" borderId="20" xfId="0" applyBorder="1" applyProtection="1"/>
    <xf numFmtId="14" fontId="9" fillId="2" borderId="4" xfId="0" applyNumberFormat="1" applyFont="1" applyFill="1" applyBorder="1" applyAlignment="1" applyProtection="1">
      <alignment horizontal="center"/>
      <protection locked="0"/>
    </xf>
    <xf numFmtId="0" fontId="7" fillId="0" borderId="0" xfId="0" applyFont="1" applyBorder="1" applyAlignment="1" applyProtection="1">
      <alignment horizontal="right"/>
    </xf>
    <xf numFmtId="0" fontId="7" fillId="0" borderId="0" xfId="0" applyFont="1" applyFill="1" applyBorder="1" applyAlignment="1" applyProtection="1">
      <alignment horizontal="center"/>
      <protection locked="0"/>
    </xf>
    <xf numFmtId="0" fontId="7" fillId="0" borderId="0" xfId="0" applyFont="1" applyBorder="1" applyAlignment="1" applyProtection="1">
      <alignment horizontal="center" wrapText="1"/>
    </xf>
    <xf numFmtId="0" fontId="7" fillId="0" borderId="21" xfId="0" applyFont="1" applyFill="1" applyBorder="1" applyAlignment="1" applyProtection="1">
      <alignment horizontal="center"/>
    </xf>
    <xf numFmtId="1" fontId="3" fillId="0" borderId="0" xfId="0" applyNumberFormat="1" applyFont="1" applyFill="1" applyBorder="1" applyProtection="1"/>
    <xf numFmtId="164" fontId="0" fillId="0" borderId="0" xfId="0" applyNumberFormat="1" applyFill="1" applyAlignment="1" applyProtection="1">
      <alignment horizontal="right"/>
    </xf>
    <xf numFmtId="164" fontId="0" fillId="0" borderId="0" xfId="0" applyNumberFormat="1" applyFill="1" applyProtection="1"/>
    <xf numFmtId="164" fontId="7" fillId="0" borderId="9" xfId="0" applyNumberFormat="1" applyFont="1" applyBorder="1" applyProtection="1"/>
    <xf numFmtId="10" fontId="0" fillId="0" borderId="0" xfId="0" applyNumberFormat="1" applyFill="1" applyProtection="1"/>
    <xf numFmtId="0" fontId="6" fillId="0" borderId="0" xfId="0" applyFont="1" applyAlignment="1">
      <alignment horizontal="center" vertical="center" wrapText="1"/>
    </xf>
    <xf numFmtId="0" fontId="0" fillId="0" borderId="0" xfId="0" applyBorder="1" applyAlignment="1" applyProtection="1">
      <alignment horizontal="center" wrapText="1"/>
    </xf>
    <xf numFmtId="3" fontId="0" fillId="0" borderId="0" xfId="0" applyNumberFormat="1" applyFill="1" applyProtection="1"/>
    <xf numFmtId="164" fontId="0" fillId="0" borderId="22" xfId="0" applyNumberFormat="1" applyFill="1" applyBorder="1" applyAlignment="1" applyProtection="1">
      <alignment horizontal="center"/>
    </xf>
    <xf numFmtId="0" fontId="10" fillId="0" borderId="0" xfId="0" applyFont="1" applyBorder="1" applyAlignment="1" applyProtection="1">
      <alignment horizontal="center"/>
    </xf>
    <xf numFmtId="164" fontId="7" fillId="0" borderId="0" xfId="0" applyNumberFormat="1" applyFont="1" applyBorder="1" applyAlignment="1" applyProtection="1"/>
    <xf numFmtId="0" fontId="2" fillId="0" borderId="0" xfId="0" applyFont="1" applyBorder="1" applyAlignment="1" applyProtection="1">
      <alignment horizontal="center"/>
    </xf>
    <xf numFmtId="164" fontId="0" fillId="0" borderId="0" xfId="0" applyNumberFormat="1" applyFill="1" applyBorder="1" applyAlignment="1" applyProtection="1">
      <alignment horizontal="right"/>
    </xf>
    <xf numFmtId="14" fontId="0" fillId="3" borderId="23" xfId="0" applyNumberFormat="1" applyFill="1" applyBorder="1" applyProtection="1">
      <protection locked="0"/>
    </xf>
    <xf numFmtId="14" fontId="0" fillId="3" borderId="4" xfId="0" applyNumberFormat="1" applyFill="1" applyBorder="1" applyProtection="1">
      <protection locked="0"/>
    </xf>
    <xf numFmtId="165"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24" xfId="0" applyFill="1" applyBorder="1" applyProtection="1">
      <protection locked="0"/>
    </xf>
    <xf numFmtId="164" fontId="0" fillId="3" borderId="25" xfId="0" applyNumberFormat="1" applyFill="1" applyBorder="1" applyProtection="1">
      <protection locked="0"/>
    </xf>
    <xf numFmtId="0" fontId="0" fillId="3" borderId="26" xfId="0" applyFill="1" applyBorder="1" applyProtection="1">
      <protection locked="0"/>
    </xf>
    <xf numFmtId="164" fontId="0" fillId="3" borderId="27" xfId="0" applyNumberFormat="1" applyFill="1" applyBorder="1" applyProtection="1">
      <protection locked="0"/>
    </xf>
    <xf numFmtId="0" fontId="0" fillId="3" borderId="27" xfId="0" applyFill="1" applyBorder="1" applyProtection="1">
      <protection locked="0"/>
    </xf>
    <xf numFmtId="164" fontId="7" fillId="0" borderId="0" xfId="0" applyNumberFormat="1" applyFont="1" applyBorder="1" applyAlignment="1" applyProtection="1">
      <alignment horizontal="right"/>
    </xf>
    <xf numFmtId="164" fontId="0" fillId="2" borderId="14" xfId="0" applyNumberFormat="1" applyFill="1" applyBorder="1" applyProtection="1">
      <protection locked="0"/>
    </xf>
    <xf numFmtId="164" fontId="0" fillId="2" borderId="15" xfId="0" applyNumberFormat="1" applyFill="1" applyBorder="1" applyProtection="1">
      <protection locked="0"/>
    </xf>
    <xf numFmtId="10" fontId="3" fillId="0" borderId="0" xfId="0" applyNumberFormat="1" applyFont="1" applyBorder="1" applyProtection="1"/>
    <xf numFmtId="165" fontId="0" fillId="0" borderId="0" xfId="0" applyNumberFormat="1" applyProtection="1"/>
    <xf numFmtId="2" fontId="9" fillId="0" borderId="0" xfId="0" applyNumberFormat="1" applyFont="1" applyFill="1" applyBorder="1" applyProtection="1"/>
    <xf numFmtId="0" fontId="0" fillId="0" borderId="2" xfId="0" applyBorder="1" applyAlignment="1" applyProtection="1">
      <alignment horizontal="right"/>
    </xf>
    <xf numFmtId="0" fontId="0" fillId="0" borderId="3" xfId="0" applyBorder="1" applyAlignment="1" applyProtection="1">
      <alignment wrapText="1"/>
    </xf>
    <xf numFmtId="0" fontId="0" fillId="0" borderId="3" xfId="0" applyBorder="1" applyAlignment="1" applyProtection="1">
      <alignment horizontal="center" wrapText="1"/>
    </xf>
    <xf numFmtId="0" fontId="2" fillId="0" borderId="6" xfId="0" applyFont="1" applyFill="1" applyBorder="1" applyAlignment="1">
      <alignment horizontal="center" vertical="center"/>
    </xf>
    <xf numFmtId="0" fontId="0" fillId="0" borderId="0" xfId="0" applyFill="1"/>
    <xf numFmtId="0" fontId="2" fillId="0" borderId="28" xfId="0" applyFont="1" applyFill="1" applyBorder="1" applyAlignment="1">
      <alignment horizontal="center" vertical="center"/>
    </xf>
    <xf numFmtId="0" fontId="2" fillId="0" borderId="0" xfId="0" applyFont="1" applyFill="1" applyBorder="1"/>
    <xf numFmtId="0" fontId="2" fillId="0" borderId="29" xfId="0" applyFont="1" applyFill="1" applyBorder="1"/>
    <xf numFmtId="0" fontId="0" fillId="0" borderId="28" xfId="0" applyFill="1" applyBorder="1" applyAlignment="1">
      <alignment horizontal="center" vertical="center"/>
    </xf>
    <xf numFmtId="0" fontId="0" fillId="0" borderId="0" xfId="0" applyFill="1" applyBorder="1"/>
    <xf numFmtId="0" fontId="0" fillId="0" borderId="7" xfId="0" applyFill="1" applyBorder="1" applyAlignment="1">
      <alignment horizontal="center" vertical="center"/>
    </xf>
    <xf numFmtId="0" fontId="0" fillId="0" borderId="30" xfId="0" applyFill="1" applyBorder="1"/>
    <xf numFmtId="0" fontId="2" fillId="0" borderId="31" xfId="0" applyFont="1" applyFill="1" applyBorder="1"/>
    <xf numFmtId="0" fontId="2" fillId="0" borderId="32" xfId="0" applyFont="1" applyFill="1" applyBorder="1" applyAlignment="1">
      <alignment horizontal="center" vertical="center"/>
    </xf>
    <xf numFmtId="0" fontId="6" fillId="0" borderId="0" xfId="0" applyFont="1" applyAlignment="1" applyProtection="1">
      <alignment horizontal="center" vertical="center" wrapText="1"/>
    </xf>
    <xf numFmtId="164" fontId="0" fillId="0" borderId="29" xfId="0" applyNumberFormat="1" applyBorder="1" applyProtection="1"/>
    <xf numFmtId="49" fontId="0" fillId="0" borderId="0" xfId="0" applyNumberFormat="1" applyProtection="1"/>
    <xf numFmtId="0" fontId="0" fillId="0" borderId="15" xfId="0" applyBorder="1" applyAlignment="1" applyProtection="1">
      <alignment horizontal="right"/>
    </xf>
    <xf numFmtId="164" fontId="0" fillId="0" borderId="0" xfId="0" applyNumberFormat="1" applyFill="1" applyBorder="1" applyProtection="1"/>
    <xf numFmtId="0" fontId="0" fillId="0" borderId="0" xfId="0" applyAlignment="1" applyProtection="1">
      <alignment horizontal="center"/>
    </xf>
    <xf numFmtId="0" fontId="0" fillId="0" borderId="19" xfId="0" applyBorder="1" applyAlignment="1" applyProtection="1">
      <alignment horizontal="center" wrapText="1"/>
    </xf>
    <xf numFmtId="0" fontId="0" fillId="0" borderId="33" xfId="0" applyBorder="1" applyAlignment="1" applyProtection="1">
      <alignment horizontal="center" wrapText="1"/>
    </xf>
    <xf numFmtId="0" fontId="3" fillId="0" borderId="34" xfId="0" applyFont="1" applyBorder="1" applyAlignment="1" applyProtection="1">
      <alignment horizontal="center" wrapText="1"/>
    </xf>
    <xf numFmtId="0" fontId="0" fillId="0" borderId="34" xfId="0" applyBorder="1" applyAlignment="1" applyProtection="1">
      <alignment horizontal="center" wrapText="1"/>
    </xf>
    <xf numFmtId="0" fontId="0" fillId="0" borderId="35" xfId="0" applyBorder="1" applyAlignment="1" applyProtection="1">
      <alignment horizontal="center" wrapText="1"/>
    </xf>
    <xf numFmtId="2" fontId="0" fillId="0" borderId="36" xfId="0" applyNumberFormat="1" applyBorder="1" applyProtection="1"/>
    <xf numFmtId="164" fontId="0" fillId="0" borderId="37" xfId="0" applyNumberFormat="1" applyBorder="1" applyProtection="1"/>
    <xf numFmtId="164" fontId="0" fillId="0" borderId="38" xfId="0" applyNumberFormat="1" applyBorder="1" applyAlignment="1" applyProtection="1">
      <alignment horizontal="right"/>
    </xf>
    <xf numFmtId="165" fontId="0" fillId="0" borderId="0" xfId="0" applyNumberFormat="1" applyFill="1" applyBorder="1" applyProtection="1"/>
    <xf numFmtId="164" fontId="0" fillId="0" borderId="0" xfId="0" applyNumberFormat="1" applyBorder="1" applyAlignment="1" applyProtection="1">
      <alignment horizontal="right"/>
    </xf>
    <xf numFmtId="164" fontId="0" fillId="0" borderId="29" xfId="0" applyNumberFormat="1" applyBorder="1" applyAlignment="1" applyProtection="1">
      <alignment horizontal="right"/>
    </xf>
    <xf numFmtId="0" fontId="7" fillId="0" borderId="2" xfId="0" applyFont="1" applyBorder="1" applyProtection="1"/>
    <xf numFmtId="0" fontId="0" fillId="0" borderId="39" xfId="0" applyBorder="1" applyProtection="1"/>
    <xf numFmtId="0" fontId="0" fillId="0" borderId="40" xfId="0" applyBorder="1" applyAlignment="1" applyProtection="1">
      <alignment horizontal="center" wrapText="1"/>
    </xf>
    <xf numFmtId="0" fontId="0" fillId="0" borderId="41" xfId="0" applyBorder="1" applyAlignment="1" applyProtection="1">
      <alignment horizontal="center"/>
    </xf>
    <xf numFmtId="2" fontId="0" fillId="0" borderId="42" xfId="0" applyNumberFormat="1" applyFill="1" applyBorder="1" applyProtection="1"/>
    <xf numFmtId="0" fontId="0" fillId="4" borderId="43" xfId="0" applyFill="1" applyBorder="1" applyProtection="1"/>
    <xf numFmtId="164" fontId="0" fillId="0" borderId="44" xfId="0" applyNumberFormat="1" applyFill="1" applyBorder="1" applyProtection="1"/>
    <xf numFmtId="0" fontId="17" fillId="0" borderId="29" xfId="0" applyFont="1" applyBorder="1" applyAlignment="1" applyProtection="1">
      <alignment horizontal="center"/>
    </xf>
    <xf numFmtId="0" fontId="17" fillId="0" borderId="2" xfId="0" applyFont="1" applyBorder="1" applyAlignment="1" applyProtection="1">
      <alignment horizontal="center"/>
    </xf>
    <xf numFmtId="0" fontId="0" fillId="0" borderId="29" xfId="0" applyBorder="1" applyAlignment="1" applyProtection="1">
      <alignment horizontal="right"/>
    </xf>
    <xf numFmtId="0" fontId="0" fillId="5" borderId="33" xfId="0" applyFill="1" applyBorder="1" applyAlignment="1" applyProtection="1">
      <alignment horizontal="center"/>
    </xf>
    <xf numFmtId="0" fontId="0" fillId="5" borderId="33" xfId="0" applyFill="1" applyBorder="1" applyAlignment="1" applyProtection="1">
      <alignment horizontal="center" wrapText="1"/>
    </xf>
    <xf numFmtId="0" fontId="0" fillId="0" borderId="35" xfId="0" applyBorder="1" applyAlignment="1" applyProtection="1">
      <alignment horizontal="center"/>
    </xf>
    <xf numFmtId="0" fontId="0" fillId="0" borderId="20" xfId="0" applyBorder="1" applyAlignment="1" applyProtection="1">
      <alignment horizontal="right"/>
    </xf>
    <xf numFmtId="164" fontId="0" fillId="0" borderId="38" xfId="0" applyNumberFormat="1" applyBorder="1" applyProtection="1"/>
    <xf numFmtId="164" fontId="0" fillId="0" borderId="1" xfId="0" applyNumberFormat="1" applyBorder="1" applyAlignment="1" applyProtection="1">
      <alignment horizontal="right"/>
    </xf>
    <xf numFmtId="0" fontId="0" fillId="0" borderId="0" xfId="0" applyProtection="1">
      <protection locked="0"/>
    </xf>
    <xf numFmtId="164" fontId="0" fillId="2" borderId="4" xfId="0" applyNumberFormat="1" applyFill="1" applyBorder="1" applyProtection="1">
      <protection locked="0"/>
    </xf>
    <xf numFmtId="164" fontId="18" fillId="0" borderId="0" xfId="0" applyNumberFormat="1" applyFont="1" applyBorder="1" applyAlignment="1" applyProtection="1">
      <alignment horizontal="center"/>
    </xf>
    <xf numFmtId="164" fontId="7" fillId="0" borderId="9" xfId="0" applyNumberFormat="1" applyFont="1" applyBorder="1" applyAlignment="1" applyProtection="1">
      <alignment horizontal="center" vertical="center"/>
    </xf>
    <xf numFmtId="164" fontId="7" fillId="0" borderId="45" xfId="0" applyNumberFormat="1" applyFont="1" applyBorder="1" applyAlignment="1" applyProtection="1">
      <alignment horizontal="right"/>
    </xf>
    <xf numFmtId="164" fontId="9" fillId="0" borderId="10" xfId="0" applyNumberFormat="1" applyFont="1" applyBorder="1" applyAlignment="1" applyProtection="1">
      <alignment horizontal="right"/>
    </xf>
    <xf numFmtId="0" fontId="7" fillId="0" borderId="2" xfId="0" applyFont="1" applyBorder="1" applyAlignment="1" applyProtection="1">
      <alignment horizontal="right"/>
    </xf>
    <xf numFmtId="164" fontId="7" fillId="0" borderId="29" xfId="0" applyNumberFormat="1" applyFont="1" applyBorder="1" applyAlignment="1" applyProtection="1">
      <alignment horizontal="right"/>
    </xf>
    <xf numFmtId="4" fontId="7" fillId="0" borderId="46" xfId="0" applyNumberFormat="1" applyFont="1" applyBorder="1" applyAlignment="1" applyProtection="1">
      <alignment horizontal="right"/>
    </xf>
    <xf numFmtId="164" fontId="9" fillId="0" borderId="10" xfId="0" applyNumberFormat="1" applyFont="1" applyBorder="1" applyProtection="1"/>
    <xf numFmtId="4" fontId="7" fillId="2" borderId="4" xfId="0" applyNumberFormat="1" applyFont="1" applyFill="1" applyBorder="1" applyAlignment="1" applyProtection="1">
      <alignment horizontal="right"/>
      <protection locked="0"/>
    </xf>
    <xf numFmtId="164" fontId="21" fillId="0" borderId="9" xfId="0" applyNumberFormat="1" applyFont="1" applyFill="1" applyBorder="1" applyAlignment="1" applyProtection="1">
      <alignment horizontal="right"/>
    </xf>
    <xf numFmtId="0" fontId="9" fillId="0" borderId="0" xfId="0" applyFont="1" applyFill="1" applyBorder="1" applyAlignment="1" applyProtection="1">
      <alignment horizontal="right"/>
    </xf>
    <xf numFmtId="0" fontId="0" fillId="0" borderId="17" xfId="0" applyBorder="1"/>
    <xf numFmtId="0" fontId="0" fillId="0" borderId="29" xfId="0" applyBorder="1"/>
    <xf numFmtId="0" fontId="0" fillId="0" borderId="0" xfId="0" applyFill="1" applyBorder="1" applyAlignment="1">
      <alignment horizontal="center"/>
    </xf>
    <xf numFmtId="0" fontId="0" fillId="0" borderId="38" xfId="0" applyBorder="1"/>
    <xf numFmtId="0" fontId="0" fillId="0" borderId="47" xfId="0" applyFill="1" applyBorder="1"/>
    <xf numFmtId="0" fontId="24" fillId="0" borderId="2" xfId="0" applyFont="1" applyBorder="1" applyProtection="1"/>
    <xf numFmtId="0" fontId="24" fillId="0" borderId="29" xfId="0" applyFont="1" applyBorder="1"/>
    <xf numFmtId="0" fontId="24" fillId="0" borderId="0" xfId="0" applyFont="1" applyFill="1"/>
    <xf numFmtId="0" fontId="24" fillId="0" borderId="0" xfId="0" applyFont="1"/>
    <xf numFmtId="0" fontId="23" fillId="0" borderId="2" xfId="0" applyFont="1" applyBorder="1" applyProtection="1"/>
    <xf numFmtId="0" fontId="23" fillId="0" borderId="29" xfId="0" applyFont="1" applyBorder="1"/>
    <xf numFmtId="0" fontId="23" fillId="0" borderId="0" xfId="0" applyFont="1" applyFill="1"/>
    <xf numFmtId="0" fontId="23" fillId="0" borderId="0" xfId="0" applyFont="1"/>
    <xf numFmtId="0" fontId="18" fillId="0" borderId="48" xfId="0" applyFont="1" applyFill="1" applyBorder="1" applyAlignment="1" applyProtection="1">
      <alignment horizontal="center"/>
    </xf>
    <xf numFmtId="0" fontId="18" fillId="0" borderId="49" xfId="0" applyFont="1" applyFill="1" applyBorder="1" applyAlignment="1" applyProtection="1">
      <alignment horizontal="center"/>
    </xf>
    <xf numFmtId="0" fontId="18" fillId="0" borderId="50" xfId="0" applyFont="1" applyFill="1" applyBorder="1" applyAlignment="1" applyProtection="1">
      <alignment horizontal="center"/>
    </xf>
    <xf numFmtId="0" fontId="18" fillId="0" borderId="51" xfId="0" applyFont="1" applyFill="1" applyBorder="1" applyAlignment="1" applyProtection="1">
      <alignment horizontal="center"/>
    </xf>
    <xf numFmtId="0" fontId="18" fillId="0" borderId="52" xfId="0" applyFont="1" applyFill="1" applyBorder="1" applyAlignment="1" applyProtection="1">
      <alignment horizontal="center"/>
    </xf>
    <xf numFmtId="0" fontId="18" fillId="0" borderId="53" xfId="0" applyFont="1" applyFill="1" applyBorder="1" applyAlignment="1" applyProtection="1">
      <alignment horizontal="center"/>
    </xf>
    <xf numFmtId="0" fontId="18" fillId="2" borderId="4" xfId="0" applyFont="1" applyFill="1" applyBorder="1" applyAlignment="1" applyProtection="1">
      <alignment horizontal="center"/>
      <protection locked="0"/>
    </xf>
    <xf numFmtId="164" fontId="18" fillId="0" borderId="54" xfId="0" applyNumberFormat="1" applyFont="1" applyFill="1" applyBorder="1" applyAlignment="1" applyProtection="1">
      <alignment horizontal="center"/>
    </xf>
    <xf numFmtId="164" fontId="18" fillId="0" borderId="55" xfId="0" applyNumberFormat="1" applyFont="1" applyFill="1" applyBorder="1" applyAlignment="1" applyProtection="1">
      <alignment horizontal="center"/>
    </xf>
    <xf numFmtId="0" fontId="18" fillId="0" borderId="56" xfId="0" applyFont="1" applyFill="1" applyBorder="1" applyAlignment="1" applyProtection="1">
      <alignment horizontal="center"/>
    </xf>
    <xf numFmtId="0" fontId="18" fillId="2" borderId="57" xfId="0" applyFont="1" applyFill="1" applyBorder="1" applyAlignment="1" applyProtection="1">
      <alignment horizontal="center"/>
      <protection locked="0"/>
    </xf>
    <xf numFmtId="0" fontId="27" fillId="0" borderId="58" xfId="0" applyFont="1" applyFill="1" applyBorder="1" applyAlignment="1" applyProtection="1">
      <alignment horizontal="center"/>
    </xf>
    <xf numFmtId="0" fontId="27" fillId="0" borderId="49" xfId="0" applyFont="1" applyFill="1" applyBorder="1" applyAlignment="1" applyProtection="1">
      <alignment horizontal="center"/>
    </xf>
    <xf numFmtId="164" fontId="27" fillId="0" borderId="49" xfId="0" applyNumberFormat="1" applyFont="1" applyFill="1" applyBorder="1" applyAlignment="1" applyProtection="1">
      <alignment horizontal="center"/>
    </xf>
    <xf numFmtId="164" fontId="27" fillId="0" borderId="45" xfId="0" applyNumberFormat="1" applyFont="1" applyFill="1" applyBorder="1" applyAlignment="1" applyProtection="1">
      <alignment horizontal="center"/>
    </xf>
    <xf numFmtId="0" fontId="27" fillId="0" borderId="59" xfId="0" applyFont="1" applyFill="1" applyBorder="1" applyAlignment="1" applyProtection="1">
      <alignment horizontal="center"/>
    </xf>
    <xf numFmtId="0" fontId="27" fillId="0" borderId="60" xfId="0" applyFont="1" applyFill="1" applyBorder="1" applyAlignment="1" applyProtection="1">
      <alignment horizontal="center"/>
    </xf>
    <xf numFmtId="164" fontId="27" fillId="0" borderId="60" xfId="0" applyNumberFormat="1" applyFont="1" applyFill="1" applyBorder="1" applyAlignment="1" applyProtection="1">
      <alignment horizontal="center"/>
    </xf>
    <xf numFmtId="164" fontId="27" fillId="0" borderId="61" xfId="0" applyNumberFormat="1" applyFont="1" applyFill="1" applyBorder="1" applyAlignment="1" applyProtection="1">
      <alignment horizontal="center"/>
    </xf>
    <xf numFmtId="0" fontId="18" fillId="0" borderId="62" xfId="0" applyFont="1" applyFill="1" applyBorder="1" applyAlignment="1" applyProtection="1">
      <alignment horizontal="center"/>
    </xf>
    <xf numFmtId="0" fontId="27" fillId="0" borderId="63" xfId="0" applyFont="1" applyFill="1" applyBorder="1" applyAlignment="1" applyProtection="1">
      <alignment horizontal="center"/>
    </xf>
    <xf numFmtId="0" fontId="7" fillId="0" borderId="0" xfId="0" applyFont="1" applyFill="1" applyAlignment="1">
      <alignment horizontal="center"/>
    </xf>
    <xf numFmtId="0" fontId="11" fillId="0" borderId="0" xfId="0" applyFont="1" applyFill="1" applyAlignment="1">
      <alignment horizontal="center"/>
    </xf>
    <xf numFmtId="0" fontId="3"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3" fillId="0" borderId="0" xfId="0" applyFont="1" applyFill="1" applyBorder="1" applyAlignment="1">
      <alignment horizontal="right"/>
    </xf>
    <xf numFmtId="0" fontId="2" fillId="0" borderId="0" xfId="0" applyFont="1" applyFill="1" applyBorder="1" applyAlignment="1">
      <alignment horizontal="center"/>
    </xf>
    <xf numFmtId="0" fontId="3" fillId="0" borderId="0" xfId="0" applyFont="1" applyFill="1" applyBorder="1" applyAlignment="1">
      <alignment horizontal="left"/>
    </xf>
    <xf numFmtId="0" fontId="18" fillId="0" borderId="64" xfId="0" applyFont="1" applyFill="1" applyBorder="1" applyAlignment="1" applyProtection="1">
      <alignment horizontal="right"/>
    </xf>
    <xf numFmtId="0" fontId="8" fillId="0" borderId="64" xfId="0" applyFont="1" applyFill="1" applyBorder="1" applyAlignment="1" applyProtection="1">
      <alignment horizontal="right"/>
    </xf>
    <xf numFmtId="0" fontId="18" fillId="0" borderId="65" xfId="0" applyFont="1" applyFill="1" applyBorder="1" applyAlignment="1" applyProtection="1">
      <alignment horizontal="right"/>
    </xf>
    <xf numFmtId="0" fontId="18" fillId="0" borderId="59" xfId="0" applyFont="1" applyFill="1" applyBorder="1" applyAlignment="1" applyProtection="1">
      <alignment horizontal="right"/>
    </xf>
    <xf numFmtId="0" fontId="18" fillId="0" borderId="0" xfId="0" applyFont="1" applyFill="1" applyBorder="1" applyAlignment="1" applyProtection="1">
      <alignment horizontal="right"/>
    </xf>
    <xf numFmtId="0" fontId="3" fillId="0" borderId="0" xfId="0" applyFont="1" applyFill="1" applyProtection="1"/>
    <xf numFmtId="0" fontId="0" fillId="0" borderId="0" xfId="0" applyFill="1" applyBorder="1" applyAlignment="1">
      <alignment wrapText="1"/>
    </xf>
    <xf numFmtId="8" fontId="0" fillId="0" borderId="0" xfId="0" applyNumberFormat="1" applyFill="1" applyBorder="1" applyAlignment="1">
      <alignment horizontal="center" wrapText="1"/>
    </xf>
    <xf numFmtId="14" fontId="7" fillId="0" borderId="3" xfId="0" applyNumberFormat="1" applyFont="1" applyFill="1" applyBorder="1" applyAlignment="1" applyProtection="1">
      <alignment horizontal="right"/>
    </xf>
    <xf numFmtId="164" fontId="0" fillId="6" borderId="0" xfId="0" applyNumberFormat="1" applyFill="1" applyProtection="1"/>
    <xf numFmtId="0" fontId="9" fillId="0" borderId="0" xfId="0" applyFont="1" applyProtection="1"/>
    <xf numFmtId="164" fontId="10" fillId="0" borderId="9" xfId="0" applyNumberFormat="1" applyFont="1" applyBorder="1" applyAlignment="1" applyProtection="1">
      <alignment horizontal="center"/>
    </xf>
    <xf numFmtId="0" fontId="27" fillId="0" borderId="0" xfId="0" applyFont="1" applyFill="1" applyBorder="1" applyAlignment="1" applyProtection="1">
      <alignment horizontal="center"/>
    </xf>
    <xf numFmtId="164" fontId="27" fillId="0" borderId="0" xfId="0" applyNumberFormat="1" applyFont="1" applyFill="1" applyBorder="1" applyAlignment="1" applyProtection="1">
      <alignment horizontal="center"/>
    </xf>
    <xf numFmtId="0" fontId="18" fillId="7" borderId="49" xfId="0" applyFont="1" applyFill="1" applyBorder="1" applyAlignment="1" applyProtection="1">
      <alignment horizontal="center"/>
    </xf>
    <xf numFmtId="0" fontId="18" fillId="7" borderId="50" xfId="0" applyFont="1" applyFill="1" applyBorder="1" applyAlignment="1" applyProtection="1">
      <alignment horizontal="center"/>
    </xf>
    <xf numFmtId="0" fontId="18" fillId="7" borderId="53" xfId="0" applyFont="1" applyFill="1" applyBorder="1" applyAlignment="1" applyProtection="1">
      <alignment horizontal="center"/>
    </xf>
    <xf numFmtId="0" fontId="18" fillId="7" borderId="14" xfId="0" applyFont="1" applyFill="1" applyBorder="1" applyAlignment="1" applyProtection="1">
      <alignment horizontal="center"/>
    </xf>
    <xf numFmtId="164" fontId="18" fillId="2" borderId="4" xfId="0" applyNumberFormat="1" applyFont="1" applyFill="1" applyBorder="1" applyAlignment="1" applyProtection="1">
      <alignment horizontal="center"/>
      <protection locked="0"/>
    </xf>
    <xf numFmtId="0" fontId="18" fillId="7" borderId="66" xfId="0" applyFont="1" applyFill="1" applyBorder="1" applyAlignment="1" applyProtection="1">
      <alignment horizontal="center"/>
    </xf>
    <xf numFmtId="0" fontId="18" fillId="7" borderId="60" xfId="0" applyFont="1" applyFill="1" applyBorder="1" applyAlignment="1" applyProtection="1">
      <alignment horizontal="center"/>
    </xf>
    <xf numFmtId="0" fontId="18" fillId="0" borderId="44" xfId="0" applyFont="1" applyFill="1" applyBorder="1" applyAlignment="1" applyProtection="1">
      <alignment horizontal="center"/>
    </xf>
    <xf numFmtId="164" fontId="18" fillId="8" borderId="45" xfId="0" applyNumberFormat="1" applyFont="1" applyFill="1" applyBorder="1" applyAlignment="1" applyProtection="1">
      <alignment horizontal="center"/>
    </xf>
    <xf numFmtId="0" fontId="18" fillId="0" borderId="22" xfId="0" applyFont="1" applyFill="1" applyBorder="1" applyAlignment="1" applyProtection="1">
      <alignment horizontal="center"/>
    </xf>
    <xf numFmtId="0" fontId="18" fillId="7" borderId="14" xfId="0" applyFont="1" applyFill="1" applyBorder="1" applyAlignment="1" applyProtection="1">
      <alignment horizontal="center"/>
      <protection locked="0"/>
    </xf>
    <xf numFmtId="0" fontId="18" fillId="7" borderId="60" xfId="0" applyFont="1" applyFill="1" applyBorder="1" applyAlignment="1" applyProtection="1">
      <alignment horizontal="center"/>
      <protection locked="0"/>
    </xf>
    <xf numFmtId="0" fontId="0" fillId="4" borderId="49" xfId="0" applyFill="1" applyBorder="1" applyProtection="1"/>
    <xf numFmtId="164" fontId="9" fillId="0" borderId="0" xfId="0" applyNumberFormat="1" applyFont="1" applyFill="1" applyBorder="1" applyProtection="1"/>
    <xf numFmtId="164" fontId="9" fillId="0" borderId="9" xfId="0" applyNumberFormat="1" applyFont="1" applyFill="1" applyBorder="1" applyAlignment="1" applyProtection="1">
      <alignment horizontal="right"/>
    </xf>
    <xf numFmtId="164" fontId="7" fillId="0" borderId="0" xfId="0" applyNumberFormat="1" applyFont="1" applyBorder="1" applyProtection="1"/>
    <xf numFmtId="0" fontId="2" fillId="0" borderId="0" xfId="0" applyFont="1" applyFill="1" applyProtection="1"/>
    <xf numFmtId="44" fontId="0" fillId="0" borderId="0" xfId="1" applyFont="1" applyProtection="1"/>
    <xf numFmtId="0" fontId="18" fillId="9" borderId="49" xfId="0" applyFont="1" applyFill="1" applyBorder="1" applyAlignment="1" applyProtection="1">
      <alignment horizontal="center"/>
    </xf>
    <xf numFmtId="0" fontId="18" fillId="9" borderId="53" xfId="0" applyFont="1" applyFill="1" applyBorder="1" applyAlignment="1" applyProtection="1">
      <alignment horizontal="center"/>
    </xf>
    <xf numFmtId="0" fontId="18" fillId="9" borderId="50" xfId="0" applyFont="1" applyFill="1" applyBorder="1" applyAlignment="1" applyProtection="1">
      <alignment horizontal="center"/>
    </xf>
    <xf numFmtId="0" fontId="18" fillId="9" borderId="14" xfId="0" applyFont="1" applyFill="1" applyBorder="1" applyAlignment="1" applyProtection="1">
      <alignment horizontal="center"/>
      <protection locked="0"/>
    </xf>
    <xf numFmtId="0" fontId="18" fillId="9" borderId="60" xfId="0" applyFont="1" applyFill="1" applyBorder="1" applyAlignment="1" applyProtection="1">
      <alignment horizontal="center"/>
      <protection locked="0"/>
    </xf>
    <xf numFmtId="164" fontId="0" fillId="4" borderId="37" xfId="0" applyNumberFormat="1" applyFill="1" applyBorder="1" applyProtection="1"/>
    <xf numFmtId="2" fontId="0" fillId="0" borderId="60" xfId="0" applyNumberFormat="1" applyFill="1" applyBorder="1" applyProtection="1"/>
    <xf numFmtId="164" fontId="0" fillId="0" borderId="60" xfId="0" applyNumberFormat="1" applyFill="1" applyBorder="1" applyProtection="1"/>
    <xf numFmtId="164" fontId="0" fillId="0" borderId="61" xfId="0" applyNumberFormat="1" applyFill="1" applyBorder="1" applyProtection="1"/>
    <xf numFmtId="0" fontId="0" fillId="0" borderId="0" xfId="0" applyFill="1" applyAlignment="1" applyProtection="1"/>
    <xf numFmtId="0" fontId="0" fillId="0" borderId="67" xfId="0" applyBorder="1" applyAlignment="1" applyProtection="1">
      <alignment horizontal="center" wrapText="1"/>
    </xf>
    <xf numFmtId="0" fontId="0" fillId="0" borderId="0" xfId="0" applyNumberFormat="1" applyFill="1" applyProtection="1"/>
    <xf numFmtId="2" fontId="0" fillId="0" borderId="0" xfId="0" applyNumberFormat="1" applyFill="1" applyProtection="1"/>
    <xf numFmtId="164" fontId="3" fillId="0" borderId="37" xfId="0" applyNumberFormat="1" applyFont="1" applyBorder="1" applyAlignment="1" applyProtection="1">
      <alignment horizontal="right"/>
    </xf>
    <xf numFmtId="0" fontId="0" fillId="0" borderId="0" xfId="0" applyFill="1" applyBorder="1" applyAlignment="1" applyProtection="1">
      <alignment horizontal="right" vertical="top"/>
    </xf>
    <xf numFmtId="0" fontId="0" fillId="0" borderId="0" xfId="0" applyFill="1" applyBorder="1" applyAlignment="1" applyProtection="1">
      <alignment horizontal="right"/>
      <protection locked="0"/>
    </xf>
    <xf numFmtId="164" fontId="0" fillId="0" borderId="0" xfId="0" applyNumberFormat="1" applyFill="1" applyBorder="1" applyProtection="1">
      <protection locked="0"/>
    </xf>
    <xf numFmtId="0" fontId="0" fillId="0" borderId="0" xfId="0" applyFill="1" applyBorder="1" applyProtection="1">
      <protection locked="0"/>
    </xf>
    <xf numFmtId="0" fontId="0" fillId="0" borderId="1" xfId="0" applyFill="1" applyBorder="1" applyProtection="1"/>
    <xf numFmtId="164" fontId="0" fillId="0" borderId="1" xfId="0" applyNumberFormat="1" applyFill="1" applyBorder="1" applyAlignment="1" applyProtection="1">
      <alignment horizontal="right"/>
    </xf>
    <xf numFmtId="0" fontId="0" fillId="0" borderId="0" xfId="0" applyFill="1" applyBorder="1" applyAlignment="1" applyProtection="1">
      <alignment horizontal="center" wrapText="1"/>
    </xf>
    <xf numFmtId="0" fontId="0" fillId="0" borderId="2" xfId="0" applyBorder="1" applyAlignment="1" applyProtection="1">
      <alignment horizontal="right"/>
    </xf>
    <xf numFmtId="0" fontId="0" fillId="0" borderId="2" xfId="0" applyBorder="1" applyProtection="1"/>
    <xf numFmtId="0" fontId="0" fillId="0" borderId="0" xfId="0" applyBorder="1" applyProtection="1"/>
    <xf numFmtId="0" fontId="0" fillId="0" borderId="20" xfId="0" applyBorder="1" applyAlignment="1" applyProtection="1">
      <alignment horizontal="right"/>
    </xf>
    <xf numFmtId="0" fontId="0" fillId="0" borderId="0" xfId="0" applyBorder="1" applyAlignment="1" applyProtection="1">
      <alignment horizontal="center" wrapText="1"/>
    </xf>
    <xf numFmtId="0" fontId="2" fillId="0" borderId="75" xfId="0" applyFont="1" applyFill="1" applyBorder="1" applyAlignment="1">
      <alignment wrapText="1"/>
    </xf>
    <xf numFmtId="0" fontId="2" fillId="0" borderId="76" xfId="0" applyFont="1" applyFill="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2" fillId="0" borderId="77" xfId="0" applyFont="1" applyFill="1" applyBorder="1" applyAlignment="1">
      <alignment wrapText="1"/>
    </xf>
    <xf numFmtId="0" fontId="2" fillId="0" borderId="78" xfId="0" applyFont="1" applyFill="1" applyBorder="1" applyAlignment="1">
      <alignment wrapText="1"/>
    </xf>
    <xf numFmtId="0" fontId="14" fillId="0" borderId="0" xfId="0" applyFont="1" applyAlignment="1">
      <alignment horizontal="center"/>
    </xf>
    <xf numFmtId="0" fontId="6" fillId="0" borderId="0" xfId="0" applyFont="1" applyAlignment="1">
      <alignment horizontal="center" vertical="center" wrapText="1"/>
    </xf>
    <xf numFmtId="0" fontId="7" fillId="0" borderId="0" xfId="0" applyFont="1" applyAlignment="1">
      <alignment horizontal="center"/>
    </xf>
    <xf numFmtId="0" fontId="11" fillId="0" borderId="0" xfId="0" applyFont="1" applyAlignment="1">
      <alignment horizontal="center"/>
    </xf>
    <xf numFmtId="0" fontId="2" fillId="0" borderId="73" xfId="0" applyFont="1" applyBorder="1" applyAlignment="1">
      <alignment wrapText="1"/>
    </xf>
    <xf numFmtId="0" fontId="2" fillId="0" borderId="74" xfId="0" applyFont="1" applyBorder="1" applyAlignment="1">
      <alignment wrapText="1"/>
    </xf>
    <xf numFmtId="0" fontId="12" fillId="0" borderId="69" xfId="0" applyFont="1" applyFill="1" applyBorder="1" applyAlignment="1" applyProtection="1">
      <alignment vertical="center" wrapText="1"/>
    </xf>
    <xf numFmtId="0" fontId="12" fillId="0" borderId="36" xfId="0" applyFont="1" applyFill="1" applyBorder="1" applyAlignment="1" applyProtection="1">
      <alignment vertical="center" wrapText="1"/>
    </xf>
    <xf numFmtId="0" fontId="12" fillId="0" borderId="35" xfId="0" applyFont="1" applyFill="1" applyBorder="1" applyAlignment="1" applyProtection="1">
      <alignment vertical="center" wrapText="1"/>
    </xf>
    <xf numFmtId="0" fontId="7" fillId="2" borderId="68" xfId="0" applyFont="1" applyFill="1" applyBorder="1" applyAlignment="1" applyProtection="1">
      <alignment horizontal="center"/>
      <protection locked="0"/>
    </xf>
    <xf numFmtId="0" fontId="7" fillId="2" borderId="23"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7" fillId="0" borderId="69" xfId="0" applyFont="1" applyBorder="1" applyAlignment="1" applyProtection="1">
      <alignment horizontal="right"/>
    </xf>
    <xf numFmtId="0" fontId="7" fillId="0" borderId="36" xfId="0" applyFont="1" applyBorder="1" applyAlignment="1" applyProtection="1">
      <alignment horizontal="right"/>
    </xf>
    <xf numFmtId="0" fontId="7" fillId="10" borderId="69" xfId="0" applyFont="1" applyFill="1" applyBorder="1" applyAlignment="1" applyProtection="1">
      <alignment horizontal="center"/>
    </xf>
    <xf numFmtId="0" fontId="7" fillId="10" borderId="35" xfId="0" applyFont="1" applyFill="1" applyBorder="1" applyAlignment="1" applyProtection="1">
      <alignment horizontal="center"/>
    </xf>
    <xf numFmtId="0" fontId="7" fillId="0" borderId="19" xfId="0" applyFont="1" applyBorder="1" applyAlignment="1" applyProtection="1">
      <alignment horizontal="right" wrapText="1"/>
    </xf>
    <xf numFmtId="0" fontId="7" fillId="0" borderId="3" xfId="0" applyFont="1" applyBorder="1" applyAlignment="1" applyProtection="1">
      <alignment horizontal="right" wrapText="1"/>
    </xf>
    <xf numFmtId="0" fontId="7" fillId="0" borderId="17" xfId="0" applyFont="1" applyBorder="1" applyAlignment="1" applyProtection="1">
      <alignment horizontal="right" wrapText="1"/>
    </xf>
    <xf numFmtId="0" fontId="7" fillId="0" borderId="20" xfId="0" applyFont="1" applyBorder="1" applyAlignment="1" applyProtection="1">
      <alignment horizontal="right" wrapText="1"/>
    </xf>
    <xf numFmtId="0" fontId="7" fillId="0" borderId="1" xfId="0" applyFont="1" applyBorder="1" applyAlignment="1" applyProtection="1">
      <alignment horizontal="right" wrapText="1"/>
    </xf>
    <xf numFmtId="0" fontId="7" fillId="0" borderId="69" xfId="0" applyFont="1" applyBorder="1" applyAlignment="1" applyProtection="1">
      <alignment horizontal="right" wrapText="1"/>
    </xf>
    <xf numFmtId="0" fontId="7" fillId="0" borderId="36" xfId="0" applyFont="1" applyBorder="1" applyAlignment="1" applyProtection="1">
      <alignment horizontal="right" wrapText="1"/>
    </xf>
    <xf numFmtId="0" fontId="7" fillId="0" borderId="70" xfId="0" applyFont="1" applyBorder="1" applyAlignment="1" applyProtection="1">
      <alignment horizontal="right"/>
    </xf>
    <xf numFmtId="0" fontId="7" fillId="0" borderId="70" xfId="0" applyFont="1" applyBorder="1" applyAlignment="1" applyProtection="1">
      <alignment horizontal="right" wrapText="1"/>
    </xf>
    <xf numFmtId="14" fontId="7" fillId="2" borderId="68" xfId="0" applyNumberFormat="1" applyFont="1" applyFill="1" applyBorder="1" applyAlignment="1" applyProtection="1">
      <alignment horizontal="center"/>
      <protection locked="0"/>
    </xf>
    <xf numFmtId="14" fontId="7" fillId="2" borderId="24" xfId="0" applyNumberFormat="1" applyFont="1" applyFill="1" applyBorder="1" applyAlignment="1" applyProtection="1">
      <alignment horizontal="center"/>
      <protection locked="0"/>
    </xf>
    <xf numFmtId="0" fontId="7" fillId="2" borderId="68" xfId="0" applyFont="1" applyFill="1" applyBorder="1" applyAlignment="1" applyProtection="1">
      <alignment horizontal="center" wrapText="1"/>
      <protection locked="0"/>
    </xf>
    <xf numFmtId="0" fontId="7" fillId="2" borderId="23" xfId="0" applyFont="1" applyFill="1" applyBorder="1" applyAlignment="1" applyProtection="1">
      <alignment horizontal="center" wrapText="1"/>
      <protection locked="0"/>
    </xf>
    <xf numFmtId="0" fontId="7" fillId="2" borderId="24" xfId="0" applyFont="1" applyFill="1" applyBorder="1" applyAlignment="1" applyProtection="1">
      <alignment horizontal="center" wrapText="1"/>
      <protection locked="0"/>
    </xf>
    <xf numFmtId="0" fontId="6" fillId="0" borderId="0" xfId="0" applyFont="1" applyAlignment="1" applyProtection="1">
      <alignment horizontal="center" vertical="center" wrapText="1"/>
    </xf>
    <xf numFmtId="0" fontId="7" fillId="0" borderId="0" xfId="0" applyFont="1" applyAlignment="1" applyProtection="1">
      <alignment horizontal="center"/>
    </xf>
    <xf numFmtId="0" fontId="9" fillId="0" borderId="1" xfId="0" applyFont="1" applyBorder="1" applyAlignment="1" applyProtection="1">
      <alignment horizontal="center"/>
    </xf>
    <xf numFmtId="0" fontId="8" fillId="0" borderId="0" xfId="0" applyFont="1" applyAlignment="1" applyProtection="1">
      <alignment horizontal="center"/>
    </xf>
    <xf numFmtId="0" fontId="3" fillId="2" borderId="79" xfId="0" applyFont="1" applyFill="1" applyBorder="1" applyAlignment="1" applyProtection="1">
      <alignment horizontal="left" vertical="top" wrapText="1"/>
      <protection locked="0"/>
    </xf>
    <xf numFmtId="0" fontId="3" fillId="2" borderId="80" xfId="0" applyFont="1" applyFill="1" applyBorder="1" applyAlignment="1" applyProtection="1">
      <alignment horizontal="left" vertical="top" wrapText="1"/>
      <protection locked="0"/>
    </xf>
    <xf numFmtId="0" fontId="3" fillId="2" borderId="81"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82" xfId="0" applyFont="1" applyFill="1" applyBorder="1" applyAlignment="1" applyProtection="1">
      <alignment horizontal="left" vertical="top" wrapText="1"/>
      <protection locked="0"/>
    </xf>
    <xf numFmtId="0" fontId="3" fillId="2" borderId="83"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26" xfId="0" applyFont="1" applyFill="1" applyBorder="1" applyAlignment="1" applyProtection="1">
      <alignment horizontal="left" vertical="top" wrapText="1"/>
      <protection locked="0"/>
    </xf>
    <xf numFmtId="164" fontId="18" fillId="0" borderId="69" xfId="0" applyNumberFormat="1" applyFont="1" applyBorder="1" applyAlignment="1" applyProtection="1">
      <alignment horizontal="center"/>
    </xf>
    <xf numFmtId="164" fontId="18" fillId="0" borderId="36" xfId="0" applyNumberFormat="1" applyFont="1" applyBorder="1" applyAlignment="1" applyProtection="1">
      <alignment horizontal="center"/>
    </xf>
    <xf numFmtId="164" fontId="18" fillId="0" borderId="35" xfId="0" applyNumberFormat="1" applyFont="1" applyBorder="1" applyAlignment="1" applyProtection="1">
      <alignment horizontal="center"/>
    </xf>
    <xf numFmtId="164" fontId="18" fillId="0" borderId="89" xfId="0" applyNumberFormat="1" applyFont="1" applyBorder="1" applyAlignment="1" applyProtection="1">
      <alignment horizontal="center"/>
    </xf>
    <xf numFmtId="164" fontId="18" fillId="0" borderId="80" xfId="0" applyNumberFormat="1" applyFont="1" applyBorder="1" applyAlignment="1" applyProtection="1">
      <alignment horizontal="center"/>
    </xf>
    <xf numFmtId="164" fontId="18" fillId="0" borderId="76" xfId="0" applyNumberFormat="1" applyFont="1" applyBorder="1" applyAlignment="1" applyProtection="1">
      <alignment horizontal="center"/>
    </xf>
    <xf numFmtId="2" fontId="8" fillId="2" borderId="90" xfId="0" applyNumberFormat="1" applyFont="1" applyFill="1" applyBorder="1" applyAlignment="1" applyProtection="1">
      <alignment horizontal="center"/>
      <protection locked="0"/>
    </xf>
    <xf numFmtId="2" fontId="8" fillId="2" borderId="23" xfId="0" applyNumberFormat="1" applyFont="1" applyFill="1" applyBorder="1" applyAlignment="1" applyProtection="1">
      <alignment horizontal="center"/>
      <protection locked="0"/>
    </xf>
    <xf numFmtId="2" fontId="8" fillId="2" borderId="72" xfId="0" applyNumberFormat="1" applyFont="1" applyFill="1" applyBorder="1" applyAlignment="1" applyProtection="1">
      <alignment horizontal="center"/>
      <protection locked="0"/>
    </xf>
    <xf numFmtId="0" fontId="18" fillId="0" borderId="19" xfId="0" applyFont="1" applyBorder="1" applyAlignment="1" applyProtection="1">
      <alignment horizontal="center"/>
    </xf>
    <xf numFmtId="0" fontId="18" fillId="0" borderId="3" xfId="0" applyFont="1" applyBorder="1" applyAlignment="1" applyProtection="1">
      <alignment horizontal="center"/>
    </xf>
    <xf numFmtId="0" fontId="18" fillId="0" borderId="17" xfId="0" applyFont="1" applyBorder="1" applyAlignment="1" applyProtection="1">
      <alignment horizontal="center"/>
    </xf>
    <xf numFmtId="0" fontId="2" fillId="0" borderId="0" xfId="0" applyFont="1" applyFill="1" applyAlignment="1" applyProtection="1">
      <alignment horizontal="center" wrapText="1"/>
    </xf>
    <xf numFmtId="0" fontId="18" fillId="2" borderId="68" xfId="0" applyFont="1" applyFill="1" applyBorder="1" applyAlignment="1" applyProtection="1">
      <alignment horizontal="center"/>
      <protection locked="0"/>
    </xf>
    <xf numFmtId="0" fontId="18" fillId="2" borderId="23" xfId="0" applyFont="1" applyFill="1" applyBorder="1" applyAlignment="1" applyProtection="1">
      <alignment horizontal="center"/>
      <protection locked="0"/>
    </xf>
    <xf numFmtId="0" fontId="18" fillId="2" borderId="24" xfId="0" applyFont="1" applyFill="1" applyBorder="1" applyAlignment="1" applyProtection="1">
      <alignment horizontal="center"/>
      <protection locked="0"/>
    </xf>
    <xf numFmtId="2" fontId="8" fillId="8" borderId="86" xfId="0" applyNumberFormat="1" applyFont="1" applyFill="1" applyBorder="1" applyAlignment="1" applyProtection="1">
      <alignment horizontal="center"/>
    </xf>
    <xf numFmtId="2" fontId="8" fillId="8" borderId="87" xfId="0" applyNumberFormat="1" applyFont="1" applyFill="1" applyBorder="1" applyAlignment="1" applyProtection="1">
      <alignment horizontal="center"/>
    </xf>
    <xf numFmtId="2" fontId="8" fillId="8" borderId="88" xfId="0" applyNumberFormat="1" applyFont="1" applyFill="1" applyBorder="1" applyAlignment="1" applyProtection="1">
      <alignment horizontal="center"/>
    </xf>
    <xf numFmtId="164" fontId="18" fillId="0" borderId="20" xfId="0" applyNumberFormat="1" applyFont="1" applyBorder="1" applyAlignment="1" applyProtection="1">
      <alignment horizontal="center"/>
    </xf>
    <xf numFmtId="164" fontId="18" fillId="0" borderId="1" xfId="0" applyNumberFormat="1" applyFont="1" applyBorder="1" applyAlignment="1" applyProtection="1">
      <alignment horizontal="center"/>
    </xf>
    <xf numFmtId="164" fontId="18" fillId="0" borderId="38" xfId="0" applyNumberFormat="1" applyFont="1" applyBorder="1" applyAlignment="1" applyProtection="1">
      <alignment horizontal="center"/>
    </xf>
    <xf numFmtId="0" fontId="18" fillId="0" borderId="84" xfId="0" applyFont="1" applyBorder="1" applyAlignment="1" applyProtection="1">
      <alignment horizontal="center"/>
    </xf>
    <xf numFmtId="0" fontId="18" fillId="0" borderId="85" xfId="0" applyFont="1" applyBorder="1" applyAlignment="1" applyProtection="1">
      <alignment horizontal="center"/>
    </xf>
    <xf numFmtId="0" fontId="18" fillId="0" borderId="74" xfId="0" applyFont="1" applyBorder="1" applyAlignment="1" applyProtection="1">
      <alignment horizontal="center"/>
    </xf>
    <xf numFmtId="164" fontId="18" fillId="2" borderId="68" xfId="0" applyNumberFormat="1" applyFont="1" applyFill="1" applyBorder="1" applyAlignment="1" applyProtection="1">
      <alignment horizontal="center"/>
      <protection locked="0"/>
    </xf>
    <xf numFmtId="164" fontId="18" fillId="2" borderId="23" xfId="0" applyNumberFormat="1" applyFont="1" applyFill="1" applyBorder="1" applyAlignment="1" applyProtection="1">
      <alignment horizontal="center"/>
      <protection locked="0"/>
    </xf>
    <xf numFmtId="164" fontId="18" fillId="2" borderId="24" xfId="0" applyNumberFormat="1" applyFont="1" applyFill="1" applyBorder="1" applyAlignment="1" applyProtection="1">
      <alignment horizontal="center"/>
      <protection locked="0"/>
    </xf>
    <xf numFmtId="0" fontId="8" fillId="0" borderId="84" xfId="0" applyFont="1" applyBorder="1" applyAlignment="1" applyProtection="1">
      <alignment horizontal="center"/>
    </xf>
    <xf numFmtId="0" fontId="8" fillId="0" borderId="85" xfId="0" applyFont="1" applyBorder="1" applyAlignment="1" applyProtection="1">
      <alignment horizontal="center"/>
    </xf>
    <xf numFmtId="0" fontId="8" fillId="0" borderId="74" xfId="0" applyFont="1" applyBorder="1" applyAlignment="1" applyProtection="1">
      <alignment horizontal="center"/>
    </xf>
    <xf numFmtId="164" fontId="8" fillId="2" borderId="68" xfId="0" applyNumberFormat="1" applyFont="1" applyFill="1" applyBorder="1" applyAlignment="1" applyProtection="1">
      <alignment horizontal="center"/>
      <protection locked="0"/>
    </xf>
    <xf numFmtId="164" fontId="8" fillId="2" borderId="23" xfId="0" applyNumberFormat="1" applyFont="1" applyFill="1" applyBorder="1" applyAlignment="1" applyProtection="1">
      <alignment horizontal="center"/>
      <protection locked="0"/>
    </xf>
    <xf numFmtId="164" fontId="8" fillId="2" borderId="24" xfId="0" applyNumberFormat="1" applyFont="1" applyFill="1" applyBorder="1" applyAlignment="1" applyProtection="1">
      <alignment horizontal="center"/>
      <protection locked="0"/>
    </xf>
    <xf numFmtId="0" fontId="0" fillId="0" borderId="0" xfId="0" applyFill="1" applyBorder="1" applyAlignment="1" applyProtection="1">
      <alignment horizontal="center" wrapText="1"/>
    </xf>
    <xf numFmtId="0" fontId="0" fillId="0" borderId="0" xfId="0" applyFill="1" applyAlignment="1" applyProtection="1">
      <alignment horizontal="center" wrapText="1"/>
    </xf>
    <xf numFmtId="0" fontId="0" fillId="0" borderId="65" xfId="0" applyBorder="1" applyProtection="1"/>
    <xf numFmtId="0" fontId="0" fillId="0" borderId="93" xfId="0" applyBorder="1" applyProtection="1"/>
    <xf numFmtId="0" fontId="7" fillId="0" borderId="35" xfId="0" applyFont="1" applyBorder="1" applyAlignment="1" applyProtection="1">
      <alignment horizontal="right" wrapText="1"/>
    </xf>
    <xf numFmtId="0" fontId="0" fillId="2" borderId="53" xfId="0" applyFill="1" applyBorder="1" applyProtection="1">
      <protection locked="0"/>
    </xf>
    <xf numFmtId="0" fontId="0" fillId="2" borderId="54" xfId="0" applyFill="1" applyBorder="1" applyProtection="1">
      <protection locked="0"/>
    </xf>
    <xf numFmtId="0" fontId="0" fillId="2" borderId="105" xfId="0" applyFill="1" applyBorder="1" applyProtection="1">
      <protection locked="0"/>
    </xf>
    <xf numFmtId="0" fontId="0" fillId="2" borderId="91" xfId="0" applyFill="1" applyBorder="1" applyProtection="1">
      <protection locked="0"/>
    </xf>
    <xf numFmtId="0" fontId="0" fillId="2" borderId="87" xfId="0" applyFill="1" applyBorder="1" applyProtection="1">
      <protection locked="0"/>
    </xf>
    <xf numFmtId="0" fontId="0" fillId="2" borderId="88" xfId="0" applyFill="1" applyBorder="1" applyProtection="1">
      <protection locked="0"/>
    </xf>
    <xf numFmtId="0" fontId="2" fillId="0" borderId="19" xfId="0" applyFont="1" applyBorder="1" applyAlignment="1" applyProtection="1">
      <alignment horizontal="right"/>
    </xf>
    <xf numFmtId="0" fontId="2" fillId="0" borderId="3" xfId="0" applyFont="1" applyBorder="1" applyAlignment="1" applyProtection="1">
      <alignment horizontal="right"/>
    </xf>
    <xf numFmtId="0" fontId="0" fillId="0" borderId="2" xfId="0" applyBorder="1" applyAlignment="1" applyProtection="1">
      <alignment horizontal="right"/>
    </xf>
    <xf numFmtId="0" fontId="0" fillId="0" borderId="110" xfId="0" applyBorder="1" applyAlignment="1" applyProtection="1">
      <alignment horizontal="right"/>
    </xf>
    <xf numFmtId="0" fontId="20" fillId="0" borderId="69" xfId="0" applyFont="1" applyFill="1" applyBorder="1" applyAlignment="1" applyProtection="1">
      <alignment horizontal="center"/>
    </xf>
    <xf numFmtId="0" fontId="20" fillId="0" borderId="36" xfId="0" applyFont="1" applyFill="1" applyBorder="1" applyAlignment="1" applyProtection="1">
      <alignment horizontal="center"/>
    </xf>
    <xf numFmtId="0" fontId="20" fillId="0" borderId="35" xfId="0" applyFont="1" applyFill="1" applyBorder="1" applyAlignment="1" applyProtection="1">
      <alignment horizontal="center"/>
    </xf>
    <xf numFmtId="14" fontId="9" fillId="0" borderId="1" xfId="0" applyNumberFormat="1" applyFont="1" applyBorder="1" applyAlignment="1" applyProtection="1">
      <alignment horizontal="center"/>
    </xf>
    <xf numFmtId="0" fontId="3" fillId="0" borderId="106" xfId="0" applyFont="1" applyFill="1" applyBorder="1" applyAlignment="1" applyProtection="1">
      <alignment horizontal="right"/>
    </xf>
    <xf numFmtId="0" fontId="3" fillId="0" borderId="107" xfId="0" applyFont="1" applyFill="1" applyBorder="1" applyAlignment="1" applyProtection="1">
      <alignment horizontal="right"/>
    </xf>
    <xf numFmtId="0" fontId="3" fillId="0" borderId="108" xfId="0" applyFont="1" applyFill="1" applyBorder="1" applyAlignment="1" applyProtection="1">
      <alignment horizontal="right"/>
    </xf>
    <xf numFmtId="0" fontId="9" fillId="0" borderId="69" xfId="0" applyFont="1" applyBorder="1" applyAlignment="1" applyProtection="1">
      <alignment horizontal="right"/>
    </xf>
    <xf numFmtId="0" fontId="9" fillId="0" borderId="36" xfId="0" applyFont="1" applyBorder="1" applyAlignment="1" applyProtection="1">
      <alignment horizontal="right"/>
    </xf>
    <xf numFmtId="0" fontId="9" fillId="0" borderId="35" xfId="0" applyFont="1" applyBorder="1" applyAlignment="1" applyProtection="1">
      <alignment horizontal="right"/>
    </xf>
    <xf numFmtId="0" fontId="20" fillId="0" borderId="106" xfId="0" applyFont="1" applyBorder="1" applyAlignment="1" applyProtection="1">
      <alignment horizontal="center"/>
    </xf>
    <xf numFmtId="0" fontId="20" fillId="0" borderId="107" xfId="0" applyFont="1" applyBorder="1" applyAlignment="1" applyProtection="1">
      <alignment horizontal="center"/>
    </xf>
    <xf numFmtId="0" fontId="20" fillId="0" borderId="109" xfId="0" applyFont="1" applyBorder="1" applyAlignment="1" applyProtection="1">
      <alignment horizontal="center"/>
    </xf>
    <xf numFmtId="0" fontId="29" fillId="0" borderId="69" xfId="0" applyFont="1" applyFill="1" applyBorder="1" applyAlignment="1" applyProtection="1">
      <alignment horizontal="right"/>
    </xf>
    <xf numFmtId="0" fontId="29" fillId="0" borderId="36" xfId="0" applyFont="1" applyFill="1" applyBorder="1" applyAlignment="1" applyProtection="1">
      <alignment horizontal="right"/>
    </xf>
    <xf numFmtId="0" fontId="29" fillId="0" borderId="35" xfId="0" applyFont="1" applyFill="1" applyBorder="1" applyAlignment="1" applyProtection="1">
      <alignment horizontal="right"/>
    </xf>
    <xf numFmtId="0" fontId="0" fillId="2" borderId="103" xfId="0" applyFill="1" applyBorder="1" applyProtection="1">
      <protection locked="0"/>
    </xf>
    <xf numFmtId="0" fontId="0" fillId="2" borderId="97" xfId="0" applyFill="1" applyBorder="1" applyProtection="1">
      <protection locked="0"/>
    </xf>
    <xf numFmtId="0" fontId="3" fillId="0" borderId="48" xfId="0" applyFont="1" applyBorder="1" applyAlignment="1" applyProtection="1">
      <alignment horizontal="right"/>
    </xf>
    <xf numFmtId="0" fontId="3" fillId="0" borderId="49" xfId="0" applyFont="1" applyBorder="1" applyAlignment="1" applyProtection="1">
      <alignment horizontal="right"/>
    </xf>
    <xf numFmtId="0" fontId="3" fillId="0" borderId="52" xfId="0" applyFont="1" applyBorder="1" applyAlignment="1" applyProtection="1">
      <alignment horizontal="right"/>
    </xf>
    <xf numFmtId="0" fontId="3" fillId="0" borderId="14" xfId="0" applyFont="1" applyBorder="1" applyAlignment="1" applyProtection="1">
      <alignment horizontal="right"/>
    </xf>
    <xf numFmtId="0" fontId="0" fillId="0" borderId="98" xfId="0" applyBorder="1" applyAlignment="1" applyProtection="1">
      <alignment horizontal="right"/>
    </xf>
    <xf numFmtId="0" fontId="0" fillId="0" borderId="99" xfId="0" applyBorder="1" applyAlignment="1" applyProtection="1">
      <alignment horizontal="right"/>
    </xf>
    <xf numFmtId="0" fontId="0" fillId="0" borderId="104" xfId="0" applyBorder="1" applyAlignment="1" applyProtection="1">
      <alignment horizontal="right"/>
    </xf>
    <xf numFmtId="0" fontId="19" fillId="0" borderId="69"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0" fontId="0" fillId="2" borderId="86" xfId="0" applyFill="1" applyBorder="1" applyProtection="1">
      <protection locked="0"/>
    </xf>
    <xf numFmtId="0" fontId="0" fillId="2" borderId="102" xfId="0" applyFill="1" applyBorder="1" applyProtection="1">
      <protection locked="0"/>
    </xf>
    <xf numFmtId="0" fontId="3" fillId="0" borderId="56" xfId="0" applyFont="1" applyBorder="1" applyAlignment="1" applyProtection="1">
      <alignment horizontal="right"/>
    </xf>
    <xf numFmtId="0" fontId="3" fillId="0" borderId="13" xfId="0" applyFont="1" applyBorder="1" applyAlignment="1" applyProtection="1">
      <alignment horizontal="right"/>
    </xf>
    <xf numFmtId="0" fontId="3" fillId="0" borderId="66" xfId="0" applyFont="1" applyBorder="1" applyAlignment="1" applyProtection="1">
      <alignment horizontal="right"/>
    </xf>
    <xf numFmtId="0" fontId="8" fillId="0" borderId="3" xfId="0" applyFont="1" applyBorder="1" applyAlignment="1" applyProtection="1">
      <alignment horizontal="center"/>
    </xf>
    <xf numFmtId="0" fontId="0" fillId="2" borderId="93" xfId="0" applyFill="1" applyBorder="1" applyProtection="1">
      <protection locked="0"/>
    </xf>
    <xf numFmtId="0" fontId="0" fillId="2" borderId="101" xfId="0" applyFill="1" applyBorder="1" applyProtection="1">
      <protection locked="0"/>
    </xf>
    <xf numFmtId="0" fontId="0" fillId="0" borderId="103" xfId="0" applyBorder="1" applyProtection="1"/>
    <xf numFmtId="0" fontId="0" fillId="0" borderId="100" xfId="0" applyBorder="1" applyProtection="1"/>
    <xf numFmtId="164" fontId="0" fillId="0" borderId="98" xfId="0" applyNumberFormat="1" applyFill="1" applyBorder="1" applyAlignment="1" applyProtection="1">
      <alignment horizontal="right"/>
    </xf>
    <xf numFmtId="164" fontId="0" fillId="0" borderId="99" xfId="0" applyNumberFormat="1" applyFill="1" applyBorder="1" applyAlignment="1" applyProtection="1">
      <alignment horizontal="right"/>
    </xf>
    <xf numFmtId="164" fontId="0" fillId="0" borderId="104" xfId="0" applyNumberFormat="1" applyFill="1" applyBorder="1" applyAlignment="1" applyProtection="1">
      <alignment horizontal="right"/>
    </xf>
    <xf numFmtId="0" fontId="0" fillId="2" borderId="98" xfId="0" applyFill="1" applyBorder="1" applyProtection="1">
      <protection locked="0"/>
    </xf>
    <xf numFmtId="0" fontId="0" fillId="2" borderId="99" xfId="0" applyFill="1" applyBorder="1" applyProtection="1">
      <protection locked="0"/>
    </xf>
    <xf numFmtId="0" fontId="0" fillId="2" borderId="104" xfId="0" applyFill="1" applyBorder="1" applyProtection="1">
      <protection locked="0"/>
    </xf>
    <xf numFmtId="0" fontId="9" fillId="0" borderId="20" xfId="0" applyFont="1" applyBorder="1" applyAlignment="1" applyProtection="1">
      <alignment horizontal="right"/>
    </xf>
    <xf numFmtId="0" fontId="9" fillId="0" borderId="1" xfId="0" applyFont="1" applyBorder="1" applyAlignment="1" applyProtection="1">
      <alignment horizontal="right"/>
    </xf>
    <xf numFmtId="0" fontId="9" fillId="0" borderId="38" xfId="0" applyFont="1" applyBorder="1" applyAlignment="1" applyProtection="1">
      <alignment horizontal="right"/>
    </xf>
    <xf numFmtId="0" fontId="0" fillId="0" borderId="58" xfId="0" applyBorder="1" applyAlignment="1" applyProtection="1">
      <alignment horizontal="right"/>
    </xf>
    <xf numFmtId="0" fontId="0" fillId="0" borderId="22" xfId="0" applyBorder="1" applyAlignment="1" applyProtection="1">
      <alignment horizontal="right"/>
    </xf>
    <xf numFmtId="0" fontId="10" fillId="0" borderId="69" xfId="0" applyFont="1" applyFill="1" applyBorder="1" applyAlignment="1" applyProtection="1">
      <alignment horizontal="center"/>
    </xf>
    <xf numFmtId="0" fontId="10" fillId="0" borderId="36" xfId="0" applyFont="1" applyFill="1" applyBorder="1" applyAlignment="1" applyProtection="1">
      <alignment horizontal="center"/>
    </xf>
    <xf numFmtId="0" fontId="10" fillId="0" borderId="35" xfId="0" applyFont="1" applyFill="1" applyBorder="1" applyAlignment="1" applyProtection="1">
      <alignment horizontal="center"/>
    </xf>
    <xf numFmtId="0" fontId="0" fillId="2" borderId="92" xfId="0" applyFill="1" applyBorder="1" applyProtection="1">
      <protection locked="0"/>
    </xf>
    <xf numFmtId="0" fontId="16" fillId="0" borderId="19" xfId="0" applyFont="1" applyFill="1" applyBorder="1" applyAlignment="1" applyProtection="1">
      <alignment horizontal="right"/>
    </xf>
    <xf numFmtId="0" fontId="16" fillId="0" borderId="3" xfId="0" applyFont="1" applyFill="1" applyBorder="1" applyAlignment="1" applyProtection="1">
      <alignment horizontal="right"/>
    </xf>
    <xf numFmtId="0" fontId="10" fillId="0" borderId="69" xfId="0" applyFont="1" applyBorder="1" applyAlignment="1" applyProtection="1">
      <alignment horizontal="center"/>
    </xf>
    <xf numFmtId="0" fontId="10" fillId="0" borderId="36" xfId="0" applyFont="1" applyBorder="1" applyAlignment="1" applyProtection="1">
      <alignment horizontal="center"/>
    </xf>
    <xf numFmtId="0" fontId="7" fillId="0" borderId="94" xfId="0" applyFont="1" applyBorder="1" applyAlignment="1" applyProtection="1">
      <alignment horizontal="right"/>
    </xf>
    <xf numFmtId="0" fontId="7" fillId="0" borderId="95" xfId="0" applyFont="1" applyBorder="1" applyAlignment="1" applyProtection="1">
      <alignment horizontal="right"/>
    </xf>
    <xf numFmtId="0" fontId="7" fillId="0" borderId="78" xfId="0" applyFont="1" applyBorder="1" applyAlignment="1" applyProtection="1">
      <alignment horizontal="right"/>
    </xf>
    <xf numFmtId="0" fontId="0" fillId="2" borderId="96" xfId="0" applyFill="1" applyBorder="1" applyProtection="1">
      <protection locked="0"/>
    </xf>
    <xf numFmtId="0" fontId="0" fillId="2" borderId="100" xfId="0" applyFill="1" applyBorder="1" applyProtection="1">
      <protection locked="0"/>
    </xf>
    <xf numFmtId="0" fontId="7" fillId="0" borderId="69" xfId="0" applyFont="1" applyBorder="1" applyAlignment="1" applyProtection="1">
      <alignment horizontal="center"/>
    </xf>
    <xf numFmtId="0" fontId="7" fillId="0" borderId="36" xfId="0" applyFont="1" applyBorder="1" applyAlignment="1" applyProtection="1">
      <alignment horizontal="center"/>
    </xf>
    <xf numFmtId="0" fontId="7" fillId="0" borderId="35" xfId="0" applyFont="1" applyBorder="1" applyAlignment="1" applyProtection="1">
      <alignment horizontal="center"/>
    </xf>
    <xf numFmtId="0" fontId="3" fillId="2" borderId="83" xfId="0" applyFont="1" applyFill="1" applyBorder="1" applyAlignment="1" applyProtection="1">
      <alignment horizontal="right"/>
      <protection locked="0"/>
    </xf>
    <xf numFmtId="0" fontId="0" fillId="2" borderId="26" xfId="0" applyFill="1" applyBorder="1" applyAlignment="1" applyProtection="1">
      <alignment horizontal="right"/>
      <protection locked="0"/>
    </xf>
    <xf numFmtId="0" fontId="0" fillId="2" borderId="68" xfId="0" applyFill="1" applyBorder="1" applyAlignment="1" applyProtection="1">
      <alignment horizontal="right"/>
      <protection locked="0"/>
    </xf>
    <xf numFmtId="0" fontId="0" fillId="2" borderId="24" xfId="0" applyFill="1" applyBorder="1" applyAlignment="1" applyProtection="1">
      <alignment horizontal="right"/>
      <protection locked="0"/>
    </xf>
    <xf numFmtId="0" fontId="0" fillId="5" borderId="103" xfId="0" applyFill="1" applyBorder="1" applyAlignment="1" applyProtection="1">
      <alignment horizontal="right"/>
    </xf>
    <xf numFmtId="0" fontId="0" fillId="5" borderId="100" xfId="0" applyFill="1" applyBorder="1" applyAlignment="1" applyProtection="1">
      <alignment horizontal="right"/>
    </xf>
    <xf numFmtId="0" fontId="0" fillId="5" borderId="65" xfId="0" applyFill="1" applyBorder="1" applyAlignment="1" applyProtection="1">
      <alignment horizontal="right"/>
    </xf>
    <xf numFmtId="0" fontId="0" fillId="5" borderId="93" xfId="0" applyFill="1" applyBorder="1" applyAlignment="1" applyProtection="1">
      <alignment horizontal="right"/>
    </xf>
    <xf numFmtId="0" fontId="3" fillId="0" borderId="69" xfId="0" applyFont="1" applyBorder="1" applyAlignment="1">
      <alignment horizontal="center"/>
    </xf>
    <xf numFmtId="0" fontId="3" fillId="0" borderId="36" xfId="0" applyFont="1" applyBorder="1" applyAlignment="1">
      <alignment horizontal="center"/>
    </xf>
    <xf numFmtId="0" fontId="3" fillId="0" borderId="35" xfId="0" applyFont="1" applyBorder="1" applyAlignment="1">
      <alignment horizontal="center"/>
    </xf>
    <xf numFmtId="0" fontId="0" fillId="3" borderId="68" xfId="0" applyFill="1" applyBorder="1" applyAlignment="1" applyProtection="1">
      <alignment horizontal="right"/>
      <protection locked="0"/>
    </xf>
    <xf numFmtId="0" fontId="0" fillId="3" borderId="23" xfId="0" applyFill="1" applyBorder="1" applyAlignment="1" applyProtection="1">
      <alignment horizontal="right"/>
      <protection locked="0"/>
    </xf>
    <xf numFmtId="0" fontId="0" fillId="3" borderId="24" xfId="0" applyFill="1" applyBorder="1" applyAlignment="1" applyProtection="1">
      <alignment horizontal="right"/>
      <protection locked="0"/>
    </xf>
    <xf numFmtId="0" fontId="0" fillId="0" borderId="2" xfId="0" applyBorder="1" applyProtection="1"/>
    <xf numFmtId="0" fontId="0" fillId="0" borderId="0" xfId="0" applyBorder="1" applyProtection="1"/>
    <xf numFmtId="0" fontId="0" fillId="0" borderId="29" xfId="0" applyBorder="1" applyProtection="1"/>
    <xf numFmtId="0" fontId="0" fillId="3" borderId="112" xfId="0" applyFill="1" applyBorder="1" applyAlignment="1" applyProtection="1">
      <alignment horizontal="right"/>
      <protection locked="0"/>
    </xf>
    <xf numFmtId="0" fontId="0" fillId="3" borderId="113" xfId="0" applyFill="1" applyBorder="1" applyAlignment="1" applyProtection="1">
      <alignment horizontal="right"/>
      <protection locked="0"/>
    </xf>
    <xf numFmtId="0" fontId="0" fillId="0" borderId="19" xfId="0" applyFill="1" applyBorder="1" applyAlignment="1" applyProtection="1">
      <alignment horizontal="right" vertical="top"/>
    </xf>
    <xf numFmtId="0" fontId="0" fillId="0" borderId="2" xfId="0" applyFill="1" applyBorder="1" applyAlignment="1" applyProtection="1">
      <alignment horizontal="right" vertical="top"/>
    </xf>
    <xf numFmtId="0" fontId="0" fillId="0" borderId="20" xfId="0" applyFill="1" applyBorder="1" applyAlignment="1" applyProtection="1">
      <alignment horizontal="right" vertical="top"/>
    </xf>
    <xf numFmtId="14" fontId="0" fillId="3" borderId="23" xfId="0" applyNumberFormat="1" applyFill="1" applyBorder="1" applyAlignment="1" applyProtection="1">
      <alignment horizontal="center"/>
      <protection locked="0"/>
    </xf>
    <xf numFmtId="14" fontId="0" fillId="3" borderId="24" xfId="0" applyNumberFormat="1" applyFill="1" applyBorder="1" applyAlignment="1" applyProtection="1">
      <alignment horizontal="center"/>
      <protection locked="0"/>
    </xf>
    <xf numFmtId="0" fontId="0" fillId="0" borderId="64" xfId="0" applyBorder="1" applyAlignment="1" applyProtection="1">
      <alignment horizontal="center"/>
    </xf>
    <xf numFmtId="0" fontId="0" fillId="0" borderId="42" xfId="0" applyBorder="1" applyAlignment="1" applyProtection="1">
      <alignment horizontal="center"/>
    </xf>
    <xf numFmtId="0" fontId="0" fillId="0" borderId="20" xfId="0" applyBorder="1" applyAlignment="1" applyProtection="1">
      <alignment horizontal="right"/>
    </xf>
    <xf numFmtId="0" fontId="0" fillId="0" borderId="1" xfId="0" applyBorder="1" applyAlignment="1" applyProtection="1">
      <alignment horizontal="right"/>
    </xf>
    <xf numFmtId="0" fontId="17" fillId="0" borderId="0" xfId="0" applyFont="1" applyBorder="1" applyAlignment="1" applyProtection="1">
      <alignment horizontal="center" wrapText="1"/>
    </xf>
    <xf numFmtId="2" fontId="13" fillId="0" borderId="1" xfId="0" applyNumberFormat="1" applyFont="1" applyBorder="1" applyProtection="1"/>
    <xf numFmtId="2" fontId="13" fillId="0" borderId="114" xfId="0" applyNumberFormat="1" applyFont="1" applyBorder="1" applyProtection="1"/>
    <xf numFmtId="0" fontId="0" fillId="5" borderId="64" xfId="0" applyFill="1" applyBorder="1" applyAlignment="1" applyProtection="1">
      <alignment horizontal="right"/>
    </xf>
    <xf numFmtId="0" fontId="0" fillId="5" borderId="111" xfId="0" applyFill="1" applyBorder="1" applyAlignment="1" applyProtection="1">
      <alignment horizontal="right"/>
    </xf>
    <xf numFmtId="0" fontId="3" fillId="0" borderId="59" xfId="0" applyFont="1" applyFill="1" applyBorder="1" applyAlignment="1" applyProtection="1">
      <alignment horizontal="right"/>
    </xf>
    <xf numFmtId="0" fontId="3" fillId="0" borderId="116" xfId="0" applyFont="1" applyFill="1" applyBorder="1" applyAlignment="1" applyProtection="1">
      <alignment horizontal="right"/>
    </xf>
    <xf numFmtId="0" fontId="7" fillId="0" borderId="117"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18"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164" fontId="7" fillId="0" borderId="17" xfId="0" applyNumberFormat="1" applyFont="1" applyFill="1" applyBorder="1" applyAlignment="1" applyProtection="1">
      <alignment horizontal="center" vertical="center"/>
    </xf>
    <xf numFmtId="164" fontId="7" fillId="0" borderId="38" xfId="0" applyNumberFormat="1" applyFont="1" applyFill="1" applyBorder="1" applyAlignment="1" applyProtection="1">
      <alignment horizontal="center" vertical="center"/>
    </xf>
    <xf numFmtId="0" fontId="3" fillId="0" borderId="0" xfId="0" applyFont="1" applyBorder="1" applyAlignment="1" applyProtection="1">
      <alignment horizontal="right"/>
    </xf>
    <xf numFmtId="0" fontId="10" fillId="0" borderId="35" xfId="0" applyFont="1" applyBorder="1" applyAlignment="1" applyProtection="1">
      <alignment horizontal="center"/>
    </xf>
    <xf numFmtId="0" fontId="0" fillId="0" borderId="58" xfId="0" applyFill="1" applyBorder="1" applyAlignment="1" applyProtection="1">
      <alignment horizontal="right"/>
    </xf>
    <xf numFmtId="0" fontId="0" fillId="0" borderId="115" xfId="0" applyFill="1" applyBorder="1" applyAlignment="1" applyProtection="1">
      <alignment horizontal="right"/>
    </xf>
    <xf numFmtId="0" fontId="6" fillId="0" borderId="3"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9"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right"/>
    </xf>
    <xf numFmtId="0" fontId="18" fillId="11" borderId="69" xfId="0" applyFont="1" applyFill="1" applyBorder="1" applyAlignment="1" applyProtection="1">
      <alignment horizontal="center"/>
    </xf>
    <xf numFmtId="0" fontId="18" fillId="11" borderId="36" xfId="0" applyFont="1" applyFill="1" applyBorder="1" applyAlignment="1" applyProtection="1">
      <alignment horizontal="center"/>
    </xf>
    <xf numFmtId="0" fontId="18" fillId="11" borderId="35" xfId="0" applyFont="1" applyFill="1" applyBorder="1" applyAlignment="1" applyProtection="1">
      <alignment horizontal="center"/>
    </xf>
    <xf numFmtId="0" fontId="19" fillId="0" borderId="69" xfId="0" applyFont="1" applyFill="1" applyBorder="1" applyAlignment="1" applyProtection="1">
      <alignment horizontal="center"/>
    </xf>
    <xf numFmtId="0" fontId="19" fillId="0" borderId="36" xfId="0" applyFont="1" applyFill="1" applyBorder="1" applyAlignment="1" applyProtection="1">
      <alignment horizontal="center"/>
    </xf>
    <xf numFmtId="0" fontId="19" fillId="0" borderId="35" xfId="0" applyFont="1" applyFill="1" applyBorder="1" applyAlignment="1" applyProtection="1">
      <alignment horizontal="center"/>
    </xf>
    <xf numFmtId="0" fontId="18" fillId="11" borderId="1" xfId="0" applyFont="1" applyFill="1" applyBorder="1" applyAlignment="1" applyProtection="1">
      <alignment horizontal="center"/>
    </xf>
    <xf numFmtId="0" fontId="18" fillId="11" borderId="38" xfId="0" applyFont="1" applyFill="1" applyBorder="1" applyAlignment="1" applyProtection="1">
      <alignment horizontal="center"/>
    </xf>
    <xf numFmtId="0" fontId="26" fillId="0" borderId="59" xfId="0" applyFont="1" applyFill="1" applyBorder="1" applyAlignment="1" applyProtection="1">
      <alignment horizontal="center" wrapText="1"/>
    </xf>
    <xf numFmtId="0" fontId="26" fillId="0" borderId="116" xfId="0" applyFont="1" applyFill="1" applyBorder="1" applyAlignment="1" applyProtection="1">
      <alignment horizontal="center" wrapText="1"/>
    </xf>
    <xf numFmtId="0" fontId="19" fillId="0" borderId="3" xfId="0" applyFont="1" applyFill="1" applyBorder="1" applyAlignment="1" applyProtection="1">
      <alignment horizontal="center"/>
    </xf>
    <xf numFmtId="0" fontId="26" fillId="0" borderId="64" xfId="0" applyFont="1" applyFill="1" applyBorder="1" applyAlignment="1" applyProtection="1">
      <alignment horizontal="center" wrapText="1"/>
    </xf>
    <xf numFmtId="0" fontId="26" fillId="0" borderId="122" xfId="0" applyFont="1" applyFill="1" applyBorder="1" applyAlignment="1" applyProtection="1">
      <alignment horizontal="center" wrapText="1"/>
    </xf>
    <xf numFmtId="164" fontId="25" fillId="0" borderId="43" xfId="0" applyNumberFormat="1" applyFont="1" applyFill="1" applyBorder="1" applyAlignment="1" applyProtection="1">
      <alignment horizontal="center" vertical="center"/>
    </xf>
    <xf numFmtId="164" fontId="25" fillId="0" borderId="44" xfId="0" applyNumberFormat="1" applyFont="1" applyFill="1" applyBorder="1" applyAlignment="1" applyProtection="1">
      <alignment horizontal="center" vertical="center"/>
    </xf>
    <xf numFmtId="0" fontId="18" fillId="0" borderId="3" xfId="0" applyFont="1" applyFill="1" applyBorder="1" applyAlignment="1" applyProtection="1">
      <alignment horizontal="center"/>
    </xf>
    <xf numFmtId="0" fontId="18" fillId="0" borderId="17" xfId="0" applyFont="1" applyFill="1" applyBorder="1" applyAlignment="1" applyProtection="1">
      <alignment horizontal="center"/>
    </xf>
    <xf numFmtId="2" fontId="9" fillId="0" borderId="0" xfId="0" applyNumberFormat="1" applyFont="1" applyFill="1" applyBorder="1" applyProtection="1"/>
    <xf numFmtId="0" fontId="6" fillId="0" borderId="69" xfId="0" applyFont="1" applyFill="1" applyBorder="1" applyAlignment="1" applyProtection="1">
      <alignment horizontal="center"/>
    </xf>
    <xf numFmtId="0" fontId="6" fillId="0" borderId="36" xfId="0" applyFont="1" applyFill="1" applyBorder="1" applyAlignment="1" applyProtection="1">
      <alignment horizontal="center"/>
    </xf>
    <xf numFmtId="0" fontId="6" fillId="0" borderId="35" xfId="0" applyFont="1" applyFill="1" applyBorder="1" applyAlignment="1" applyProtection="1">
      <alignment horizontal="center"/>
    </xf>
    <xf numFmtId="0" fontId="18" fillId="0" borderId="43" xfId="0" applyFont="1" applyFill="1" applyBorder="1" applyAlignment="1" applyProtection="1">
      <alignment horizontal="center"/>
    </xf>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3" xfId="0" applyBorder="1" applyAlignment="1" applyProtection="1">
      <alignment horizontal="center" vertical="top" wrapText="1"/>
    </xf>
    <xf numFmtId="0" fontId="0" fillId="0" borderId="0" xfId="0" applyBorder="1" applyAlignment="1" applyProtection="1">
      <alignment horizontal="center" vertical="top" wrapText="1"/>
    </xf>
    <xf numFmtId="49" fontId="7" fillId="2" borderId="79" xfId="0" applyNumberFormat="1" applyFont="1" applyFill="1" applyBorder="1" applyProtection="1">
      <protection locked="0"/>
    </xf>
    <xf numFmtId="49" fontId="7" fillId="2" borderId="81" xfId="0" applyNumberFormat="1" applyFont="1" applyFill="1" applyBorder="1" applyProtection="1">
      <protection locked="0"/>
    </xf>
    <xf numFmtId="49" fontId="7" fillId="2" borderId="119" xfId="0" applyNumberFormat="1" applyFont="1" applyFill="1" applyBorder="1" applyProtection="1">
      <protection locked="0"/>
    </xf>
    <xf numFmtId="49" fontId="7" fillId="2" borderId="27" xfId="0" applyNumberFormat="1" applyFont="1" applyFill="1" applyBorder="1" applyProtection="1">
      <protection locked="0"/>
    </xf>
    <xf numFmtId="49" fontId="0" fillId="2" borderId="79" xfId="0" applyNumberFormat="1" applyFill="1" applyBorder="1" applyAlignment="1" applyProtection="1">
      <alignment horizontal="center"/>
      <protection locked="0"/>
    </xf>
    <xf numFmtId="49" fontId="0" fillId="2" borderId="81" xfId="0" applyNumberFormat="1" applyFill="1" applyBorder="1" applyAlignment="1" applyProtection="1">
      <alignment horizontal="center"/>
      <protection locked="0"/>
    </xf>
    <xf numFmtId="49" fontId="0" fillId="2" borderId="119" xfId="0" applyNumberFormat="1" applyFill="1" applyBorder="1" applyAlignment="1" applyProtection="1">
      <alignment horizontal="center"/>
      <protection locked="0"/>
    </xf>
    <xf numFmtId="49" fontId="0" fillId="2" borderId="27" xfId="0" applyNumberFormat="1" applyFill="1" applyBorder="1" applyAlignment="1" applyProtection="1">
      <alignment horizontal="center"/>
      <protection locked="0"/>
    </xf>
    <xf numFmtId="0" fontId="0" fillId="0" borderId="0" xfId="0" applyBorder="1" applyAlignment="1" applyProtection="1">
      <alignment horizontal="center" wrapText="1"/>
    </xf>
    <xf numFmtId="164" fontId="27" fillId="0" borderId="120" xfId="0" applyNumberFormat="1" applyFont="1" applyFill="1" applyBorder="1" applyAlignment="1" applyProtection="1">
      <alignment horizontal="center"/>
    </xf>
    <xf numFmtId="164" fontId="27" fillId="0" borderId="121" xfId="0" applyNumberFormat="1" applyFont="1" applyFill="1" applyBorder="1" applyAlignment="1" applyProtection="1">
      <alignment horizontal="center"/>
    </xf>
    <xf numFmtId="0" fontId="27" fillId="11" borderId="69" xfId="0" applyFont="1" applyFill="1" applyBorder="1" applyAlignment="1" applyProtection="1">
      <alignment horizontal="center"/>
    </xf>
    <xf numFmtId="0" fontId="27" fillId="11" borderId="36" xfId="0" applyFont="1" applyFill="1" applyBorder="1" applyAlignment="1" applyProtection="1">
      <alignment horizontal="center"/>
    </xf>
    <xf numFmtId="0" fontId="27" fillId="11" borderId="35" xfId="0" applyFont="1" applyFill="1" applyBorder="1" applyAlignment="1" applyProtection="1">
      <alignment horizontal="center"/>
    </xf>
    <xf numFmtId="0" fontId="27" fillId="0" borderId="20" xfId="0" applyFont="1" applyFill="1" applyBorder="1" applyAlignment="1" applyProtection="1">
      <alignment horizontal="right" vertical="center"/>
    </xf>
    <xf numFmtId="0" fontId="27" fillId="0" borderId="1" xfId="0" applyFont="1" applyFill="1" applyBorder="1" applyAlignment="1" applyProtection="1">
      <alignment horizontal="right" vertical="center"/>
    </xf>
    <xf numFmtId="0" fontId="27" fillId="0" borderId="37" xfId="0" applyFont="1" applyFill="1" applyBorder="1" applyAlignment="1" applyProtection="1">
      <alignment horizontal="right" vertical="center"/>
    </xf>
    <xf numFmtId="10" fontId="25" fillId="0" borderId="60" xfId="0" applyNumberFormat="1" applyFont="1" applyFill="1" applyBorder="1" applyAlignment="1" applyProtection="1">
      <alignment horizontal="center" vertical="center"/>
    </xf>
    <xf numFmtId="10" fontId="25" fillId="0" borderId="61" xfId="0" applyNumberFormat="1" applyFont="1" applyFill="1" applyBorder="1" applyAlignment="1" applyProtection="1">
      <alignment horizontal="center" vertical="center"/>
    </xf>
    <xf numFmtId="0" fontId="17" fillId="0" borderId="1" xfId="0" applyFont="1" applyBorder="1" applyAlignment="1" applyProtection="1">
      <alignment horizontal="center" wrapText="1"/>
    </xf>
    <xf numFmtId="164" fontId="27" fillId="0" borderId="108" xfId="0" applyNumberFormat="1" applyFont="1" applyFill="1" applyBorder="1" applyAlignment="1" applyProtection="1">
      <alignment horizontal="center" vertical="center"/>
    </xf>
    <xf numFmtId="164" fontId="27" fillId="0" borderId="35" xfId="0" applyNumberFormat="1" applyFont="1" applyFill="1" applyBorder="1" applyAlignment="1" applyProtection="1">
      <alignment horizontal="center" vertical="center"/>
    </xf>
    <xf numFmtId="0" fontId="18" fillId="11" borderId="19" xfId="0" applyFont="1" applyFill="1" applyBorder="1" applyAlignment="1" applyProtection="1">
      <alignment horizontal="center"/>
    </xf>
    <xf numFmtId="0" fontId="18" fillId="11" borderId="3" xfId="0" applyFont="1" applyFill="1" applyBorder="1" applyAlignment="1" applyProtection="1">
      <alignment horizontal="center"/>
    </xf>
    <xf numFmtId="0" fontId="18" fillId="11" borderId="17" xfId="0" applyFont="1" applyFill="1" applyBorder="1" applyAlignment="1" applyProtection="1">
      <alignment horizontal="center"/>
    </xf>
    <xf numFmtId="164" fontId="18" fillId="0" borderId="14" xfId="0" applyNumberFormat="1" applyFont="1" applyFill="1" applyBorder="1" applyAlignment="1" applyProtection="1">
      <alignment horizontal="center"/>
    </xf>
    <xf numFmtId="164" fontId="18" fillId="0" borderId="55" xfId="0" applyNumberFormat="1" applyFont="1" applyFill="1" applyBorder="1" applyAlignment="1" applyProtection="1">
      <alignment horizontal="center"/>
    </xf>
    <xf numFmtId="164" fontId="18" fillId="0" borderId="13" xfId="0" applyNumberFormat="1" applyFont="1" applyFill="1" applyBorder="1" applyAlignment="1" applyProtection="1">
      <alignment horizontal="center"/>
    </xf>
    <xf numFmtId="0" fontId="9" fillId="0" borderId="0" xfId="0" applyFont="1" applyAlignment="1" applyProtection="1">
      <alignment horizontal="center"/>
    </xf>
    <xf numFmtId="0" fontId="6" fillId="0" borderId="0" xfId="0" applyFont="1" applyFill="1" applyAlignment="1" applyProtection="1">
      <alignment horizontal="center" vertical="center" wrapText="1"/>
    </xf>
    <xf numFmtId="0" fontId="7" fillId="0" borderId="0" xfId="0" applyFont="1" applyFill="1" applyAlignment="1">
      <alignment horizontal="center"/>
    </xf>
    <xf numFmtId="0" fontId="11" fillId="0" borderId="0" xfId="0" applyFont="1" applyFill="1" applyAlignment="1">
      <alignment horizontal="center"/>
    </xf>
    <xf numFmtId="0" fontId="2" fillId="0" borderId="0" xfId="0" applyFont="1" applyFill="1" applyBorder="1"/>
    <xf numFmtId="0" fontId="29" fillId="0" borderId="0" xfId="0" applyFont="1" applyFill="1" applyBorder="1"/>
    <xf numFmtId="0" fontId="2" fillId="0" borderId="0" xfId="0" applyFont="1" applyFill="1" applyBorder="1" applyAlignment="1">
      <alignment horizontal="left" vertical="center" wrapText="1"/>
    </xf>
    <xf numFmtId="0" fontId="2" fillId="0" borderId="0" xfId="0" applyFont="1" applyFill="1" applyBorder="1" applyAlignment="1">
      <alignment horizontal="left"/>
    </xf>
    <xf numFmtId="0" fontId="29" fillId="0" borderId="0" xfId="0" applyFont="1" applyFill="1" applyBorder="1" applyAlignment="1">
      <alignment horizontal="left" vertical="center" wrapText="1"/>
    </xf>
    <xf numFmtId="0" fontId="28" fillId="0" borderId="0"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ds.state.tx.us/Users/Momo/AppData/Local/Microsoft/Windows/Temporary%20Internet%20Files/Content.IE5/2EPWMK58/HCS%20CDS%20Budget%20Workbook%201-11-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amp; Non-Taxable"/>
      <sheetName val="Taxable Wage &amp; Compensation"/>
      <sheetName val="Quarterly Report"/>
      <sheetName val="Definitions"/>
    </sheetNames>
    <sheetDataSet>
      <sheetData sheetId="0"/>
      <sheetData sheetId="1"/>
      <sheetData sheetId="2"/>
      <sheetData sheetId="3"/>
      <sheetData sheetId="4">
        <row r="26">
          <cell r="J26">
            <v>15.37</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zoomScale="75" zoomScaleNormal="75" workbookViewId="0">
      <selection activeCell="B3" sqref="B3:D3"/>
    </sheetView>
  </sheetViews>
  <sheetFormatPr defaultRowHeight="12.75" x14ac:dyDescent="0.2"/>
  <cols>
    <col min="1" max="1" width="8.85546875" customWidth="1"/>
    <col min="2" max="3" width="3.140625" customWidth="1"/>
    <col min="4" max="4" width="77.28515625" customWidth="1"/>
    <col min="5" max="5" width="9.42578125" customWidth="1"/>
  </cols>
  <sheetData>
    <row r="2" spans="2:7" ht="18" x14ac:dyDescent="0.25">
      <c r="B2" s="287"/>
      <c r="C2" s="287"/>
      <c r="D2" s="287"/>
      <c r="E2" s="54"/>
    </row>
    <row r="3" spans="2:7" ht="39.75" customHeight="1" x14ac:dyDescent="0.2">
      <c r="B3" s="288" t="s">
        <v>193</v>
      </c>
      <c r="C3" s="288"/>
      <c r="D3" s="288"/>
      <c r="E3" s="97"/>
      <c r="F3" s="97"/>
      <c r="G3" s="97"/>
    </row>
    <row r="4" spans="2:7" ht="15.75" x14ac:dyDescent="0.25">
      <c r="B4" s="289" t="s">
        <v>12</v>
      </c>
      <c r="C4" s="289"/>
      <c r="D4" s="289"/>
      <c r="E4" s="37"/>
    </row>
    <row r="5" spans="2:7" ht="15.75" x14ac:dyDescent="0.25">
      <c r="B5" s="37"/>
      <c r="C5" s="37"/>
      <c r="D5" s="37"/>
    </row>
    <row r="6" spans="2:7" ht="15.75" x14ac:dyDescent="0.25">
      <c r="B6" s="290" t="s">
        <v>58</v>
      </c>
      <c r="C6" s="290"/>
      <c r="D6" s="290"/>
    </row>
    <row r="7" spans="2:7" ht="13.5" thickBot="1" x14ac:dyDescent="0.25"/>
    <row r="8" spans="2:7" s="41" customFormat="1" ht="50.25" customHeight="1" thickBot="1" x14ac:dyDescent="0.25">
      <c r="B8" s="42" t="s">
        <v>8</v>
      </c>
      <c r="C8" s="291" t="s">
        <v>14</v>
      </c>
      <c r="D8" s="292"/>
    </row>
    <row r="9" spans="2:7" ht="36" customHeight="1" thickBot="1" x14ac:dyDescent="0.25">
      <c r="B9" s="38" t="s">
        <v>8</v>
      </c>
      <c r="C9" s="283" t="s">
        <v>33</v>
      </c>
      <c r="D9" s="284"/>
    </row>
    <row r="10" spans="2:7" ht="48" customHeight="1" thickBot="1" x14ac:dyDescent="0.25">
      <c r="B10" s="39" t="s">
        <v>8</v>
      </c>
      <c r="C10" s="283" t="s">
        <v>59</v>
      </c>
      <c r="D10" s="284"/>
    </row>
    <row r="11" spans="2:7" ht="48" customHeight="1" thickBot="1" x14ac:dyDescent="0.25">
      <c r="B11" s="38" t="s">
        <v>8</v>
      </c>
      <c r="C11" s="283" t="s">
        <v>36</v>
      </c>
      <c r="D11" s="284"/>
    </row>
    <row r="12" spans="2:7" ht="32.25" customHeight="1" thickBot="1" x14ac:dyDescent="0.25">
      <c r="B12" s="38" t="s">
        <v>8</v>
      </c>
      <c r="C12" s="283" t="s">
        <v>13</v>
      </c>
      <c r="D12" s="284"/>
    </row>
    <row r="13" spans="2:7" s="124" customFormat="1" ht="30" customHeight="1" x14ac:dyDescent="0.2">
      <c r="B13" s="123" t="s">
        <v>8</v>
      </c>
      <c r="C13" s="281" t="s">
        <v>91</v>
      </c>
      <c r="D13" s="282"/>
    </row>
    <row r="14" spans="2:7" s="124" customFormat="1" x14ac:dyDescent="0.2">
      <c r="B14" s="125"/>
      <c r="C14" s="126"/>
      <c r="D14" s="127" t="s">
        <v>22</v>
      </c>
    </row>
    <row r="15" spans="2:7" s="124" customFormat="1" x14ac:dyDescent="0.2">
      <c r="B15" s="125"/>
      <c r="C15" s="126"/>
      <c r="D15" s="127" t="s">
        <v>29</v>
      </c>
    </row>
    <row r="16" spans="2:7" s="124" customFormat="1" x14ac:dyDescent="0.2">
      <c r="B16" s="125"/>
      <c r="C16" s="126"/>
      <c r="D16" s="127" t="s">
        <v>145</v>
      </c>
    </row>
    <row r="17" spans="2:4" s="124" customFormat="1" x14ac:dyDescent="0.2">
      <c r="B17" s="125"/>
      <c r="C17" s="126"/>
      <c r="D17" s="127" t="s">
        <v>146</v>
      </c>
    </row>
    <row r="18" spans="2:4" s="124" customFormat="1" x14ac:dyDescent="0.2">
      <c r="B18" s="128"/>
      <c r="C18" s="129"/>
      <c r="D18" s="127" t="s">
        <v>147</v>
      </c>
    </row>
    <row r="19" spans="2:4" s="124" customFormat="1" x14ac:dyDescent="0.2">
      <c r="B19" s="128"/>
      <c r="C19" s="129"/>
      <c r="D19" s="127" t="s">
        <v>10</v>
      </c>
    </row>
    <row r="20" spans="2:4" s="124" customFormat="1" x14ac:dyDescent="0.2">
      <c r="B20" s="128"/>
      <c r="C20" s="129"/>
      <c r="D20" s="127" t="s">
        <v>9</v>
      </c>
    </row>
    <row r="21" spans="2:4" s="124" customFormat="1" x14ac:dyDescent="0.2">
      <c r="B21" s="128"/>
      <c r="C21" s="129"/>
      <c r="D21" s="127" t="s">
        <v>11</v>
      </c>
    </row>
    <row r="22" spans="2:4" s="124" customFormat="1" x14ac:dyDescent="0.2">
      <c r="B22" s="128"/>
      <c r="C22" s="129"/>
      <c r="D22" s="127" t="s">
        <v>77</v>
      </c>
    </row>
    <row r="23" spans="2:4" s="124" customFormat="1" x14ac:dyDescent="0.2">
      <c r="B23" s="128"/>
      <c r="C23" s="129"/>
      <c r="D23" s="127" t="s">
        <v>78</v>
      </c>
    </row>
    <row r="24" spans="2:4" s="124" customFormat="1" ht="13.5" thickBot="1" x14ac:dyDescent="0.25">
      <c r="B24" s="130"/>
      <c r="C24" s="131"/>
      <c r="D24" s="132" t="s">
        <v>34</v>
      </c>
    </row>
    <row r="25" spans="2:4" ht="28.5" customHeight="1" thickBot="1" x14ac:dyDescent="0.25">
      <c r="B25" s="40"/>
      <c r="C25" s="283" t="s">
        <v>35</v>
      </c>
      <c r="D25" s="284"/>
    </row>
    <row r="26" spans="2:4" ht="59.25" customHeight="1" thickBot="1" x14ac:dyDescent="0.25">
      <c r="B26" s="38" t="s">
        <v>8</v>
      </c>
      <c r="C26" s="283" t="s">
        <v>90</v>
      </c>
      <c r="D26" s="284"/>
    </row>
    <row r="27" spans="2:4" s="124" customFormat="1" ht="32.25" customHeight="1" thickBot="1" x14ac:dyDescent="0.25">
      <c r="B27" s="133" t="s">
        <v>8</v>
      </c>
      <c r="C27" s="285" t="s">
        <v>94</v>
      </c>
      <c r="D27" s="286"/>
    </row>
    <row r="28" spans="2:4" ht="26.25" customHeight="1" x14ac:dyDescent="0.2">
      <c r="B28" s="57"/>
      <c r="C28" s="58"/>
      <c r="D28" s="58"/>
    </row>
    <row r="29" spans="2:4" ht="26.25" customHeight="1" x14ac:dyDescent="0.2">
      <c r="B29" s="57"/>
      <c r="C29" s="58"/>
      <c r="D29" s="58"/>
    </row>
  </sheetData>
  <sheetProtection password="E7F0" sheet="1" objects="1" scenarios="1"/>
  <customSheetViews>
    <customSheetView guid="{454ECA60-FBCC-11D6-AB9B-00C04F5868C8}" scale="75" showPageBreaks="1" printArea="1" showRuler="0">
      <selection activeCell="G3" sqref="G3"/>
      <pageMargins left="0.2" right="0.2" top="0.75" bottom="0.25" header="0" footer="0.25"/>
      <printOptions horizontalCentered="1"/>
      <pageSetup orientation="portrait" r:id="rId1"/>
      <headerFooter alignWithMargins="0">
        <oddHeader>&amp;L&amp;8Texas Department
of Human Services&amp;R&amp;8Form  1546
January 2002</oddHeader>
      </headerFooter>
    </customSheetView>
    <customSheetView guid="{346F6C38-467E-4277-A934-45FBB069E11D}" scale="135" showRuler="0" topLeftCell="B11">
      <selection activeCell="C23" sqref="C23"/>
      <pageMargins left="0.2" right="0.2" top="0.75" bottom="0.25" header="0" footer="0.25"/>
      <printOptions horizontalCentered="1"/>
      <pageSetup orientation="portrait" r:id="rId2"/>
      <headerFooter alignWithMargins="0">
        <oddHeader>&amp;L&amp;8Texas Department
of Human Services&amp;R&amp;8Form  1546
January 2002</oddHeader>
      </headerFooter>
    </customSheetView>
  </customSheetViews>
  <mergeCells count="13">
    <mergeCell ref="B2:D2"/>
    <mergeCell ref="B3:D3"/>
    <mergeCell ref="B4:D4"/>
    <mergeCell ref="C12:D12"/>
    <mergeCell ref="B6:D6"/>
    <mergeCell ref="C11:D11"/>
    <mergeCell ref="C8:D8"/>
    <mergeCell ref="C13:D13"/>
    <mergeCell ref="C10:D10"/>
    <mergeCell ref="C9:D9"/>
    <mergeCell ref="C27:D27"/>
    <mergeCell ref="C26:D26"/>
    <mergeCell ref="C25:D25"/>
  </mergeCells>
  <phoneticPr fontId="0" type="noConversion"/>
  <dataValidations xWindow="497" yWindow="143" count="1">
    <dataValidation allowBlank="1" showInputMessage="1" showErrorMessage="1" promptTitle="Information Only Page" prompt="This page is for Information only.  It contains instructions for how and when to complete the budget workbook.  It is not a part of the Consumer's budget." sqref="B2:D2"/>
  </dataValidations>
  <printOptions horizontalCentered="1"/>
  <pageMargins left="0.2" right="0.2" top="0.75" bottom="0.25" header="0" footer="0.25"/>
  <pageSetup orientation="portrait" r:id="rId3"/>
  <headerFooter alignWithMargins="0">
    <oddHeader>&amp;L&amp;8Texas Department of 
Aging and Disability Services&amp;R&amp;8TxHmL CDS Budget
June 2010</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zoomScale="75" zoomScaleNormal="75" workbookViewId="0">
      <selection activeCell="F24" sqref="F24"/>
    </sheetView>
  </sheetViews>
  <sheetFormatPr defaultRowHeight="12.75" x14ac:dyDescent="0.2"/>
  <cols>
    <col min="1" max="1" width="4.140625" style="1" customWidth="1"/>
    <col min="2" max="2" width="44.85546875" style="1" customWidth="1"/>
    <col min="3" max="3" width="3.140625" style="1" customWidth="1"/>
    <col min="4" max="4" width="28.28515625" style="1" customWidth="1"/>
    <col min="5" max="5" width="1.5703125" style="1" customWidth="1"/>
    <col min="6" max="6" width="14.42578125" style="1" customWidth="1"/>
    <col min="7" max="7" width="3.140625" style="1" customWidth="1"/>
    <col min="8" max="8" width="4.140625" style="1" hidden="1" customWidth="1"/>
    <col min="9" max="9" width="14.5703125" style="1" hidden="1" customWidth="1"/>
    <col min="10" max="10" width="10.140625" style="1" hidden="1" customWidth="1"/>
    <col min="11" max="11" width="21.85546875" style="1" hidden="1" customWidth="1"/>
    <col min="12" max="16384" width="9.140625" style="1"/>
  </cols>
  <sheetData>
    <row r="1" spans="2:11" ht="11.1" customHeight="1" x14ac:dyDescent="0.2"/>
    <row r="2" spans="2:11" s="55" customFormat="1" ht="39.75" customHeight="1" x14ac:dyDescent="0.3">
      <c r="B2" s="317" t="s">
        <v>193</v>
      </c>
      <c r="C2" s="317"/>
      <c r="D2" s="317"/>
      <c r="E2" s="317"/>
      <c r="F2" s="317"/>
      <c r="G2" s="317"/>
      <c r="H2" s="56"/>
    </row>
    <row r="3" spans="2:11" ht="15.75" customHeight="1" x14ac:dyDescent="0.25">
      <c r="B3" s="318" t="s">
        <v>97</v>
      </c>
      <c r="C3" s="318"/>
      <c r="D3" s="318"/>
      <c r="E3" s="318"/>
      <c r="F3" s="318"/>
      <c r="G3" s="318"/>
      <c r="H3" s="3"/>
    </row>
    <row r="4" spans="2:11" ht="11.1" customHeight="1" thickBot="1" x14ac:dyDescent="0.3">
      <c r="B4" s="3"/>
      <c r="C4" s="3"/>
      <c r="D4" s="3"/>
      <c r="E4" s="3"/>
      <c r="F4" s="3"/>
      <c r="G4" s="3"/>
      <c r="H4" s="3"/>
    </row>
    <row r="5" spans="2:11" s="44" customFormat="1" ht="16.5" customHeight="1" thickBot="1" x14ac:dyDescent="0.3">
      <c r="B5" s="299" t="s">
        <v>30</v>
      </c>
      <c r="C5" s="310"/>
      <c r="D5" s="296"/>
      <c r="E5" s="297"/>
      <c r="F5" s="297"/>
      <c r="G5" s="298"/>
      <c r="H5" s="45"/>
      <c r="I5" s="44" t="s">
        <v>101</v>
      </c>
      <c r="K5" s="72"/>
    </row>
    <row r="6" spans="2:11" ht="11.25" customHeight="1" thickBot="1" x14ac:dyDescent="0.25">
      <c r="B6" s="5"/>
      <c r="C6" s="4"/>
      <c r="D6" s="6"/>
      <c r="E6" s="6"/>
      <c r="F6" s="6"/>
      <c r="G6" s="6"/>
      <c r="H6" s="7"/>
      <c r="I6" s="44" t="s">
        <v>102</v>
      </c>
    </row>
    <row r="7" spans="2:11" s="44" customFormat="1" ht="16.5" customHeight="1" thickBot="1" x14ac:dyDescent="0.3">
      <c r="B7" s="299" t="s">
        <v>31</v>
      </c>
      <c r="C7" s="300"/>
      <c r="D7" s="34"/>
      <c r="E7" s="91"/>
      <c r="F7" s="45"/>
      <c r="G7" s="60"/>
      <c r="I7" s="44" t="s">
        <v>103</v>
      </c>
    </row>
    <row r="8" spans="2:11" s="44" customFormat="1" ht="11.25" customHeight="1" thickBot="1" x14ac:dyDescent="0.3">
      <c r="B8" s="88"/>
      <c r="C8" s="88"/>
      <c r="D8" s="45"/>
      <c r="E8" s="45"/>
      <c r="F8" s="45"/>
      <c r="G8" s="60"/>
      <c r="I8" s="44" t="s">
        <v>104</v>
      </c>
    </row>
    <row r="9" spans="2:11" s="44" customFormat="1" ht="16.5" customHeight="1" thickBot="1" x14ac:dyDescent="0.3">
      <c r="B9" s="299" t="s">
        <v>79</v>
      </c>
      <c r="C9" s="310"/>
      <c r="D9" s="296"/>
      <c r="E9" s="297"/>
      <c r="F9" s="297"/>
      <c r="G9" s="298"/>
      <c r="I9" s="44" t="s">
        <v>105</v>
      </c>
    </row>
    <row r="10" spans="2:11" s="44" customFormat="1" ht="11.25" customHeight="1" thickBot="1" x14ac:dyDescent="0.3">
      <c r="B10" s="88"/>
      <c r="C10" s="88"/>
      <c r="D10" s="45"/>
      <c r="E10" s="45"/>
      <c r="F10" s="45"/>
      <c r="G10" s="60"/>
      <c r="I10" s="44" t="s">
        <v>106</v>
      </c>
    </row>
    <row r="11" spans="2:11" s="44" customFormat="1" ht="16.5" customHeight="1" thickBot="1" x14ac:dyDescent="0.3">
      <c r="B11" s="299" t="s">
        <v>80</v>
      </c>
      <c r="C11" s="310"/>
      <c r="D11" s="296"/>
      <c r="E11" s="297"/>
      <c r="F11" s="297"/>
      <c r="G11" s="298"/>
      <c r="I11" s="44" t="s">
        <v>107</v>
      </c>
    </row>
    <row r="12" spans="2:11" s="44" customFormat="1" ht="11.25" customHeight="1" thickBot="1" x14ac:dyDescent="0.3">
      <c r="B12" s="88"/>
      <c r="C12" s="88"/>
      <c r="D12" s="45"/>
      <c r="E12" s="45"/>
      <c r="F12" s="45"/>
      <c r="G12" s="60"/>
      <c r="I12" s="44" t="s">
        <v>108</v>
      </c>
    </row>
    <row r="13" spans="2:11" s="44" customFormat="1" ht="17.25" customHeight="1" thickBot="1" x14ac:dyDescent="0.3">
      <c r="B13" s="299" t="s">
        <v>81</v>
      </c>
      <c r="C13" s="300"/>
      <c r="D13" s="34"/>
      <c r="E13" s="45"/>
      <c r="F13" s="45"/>
      <c r="G13" s="60"/>
      <c r="I13" s="44" t="s">
        <v>109</v>
      </c>
    </row>
    <row r="14" spans="2:11" s="44" customFormat="1" ht="11.25" customHeight="1" thickBot="1" x14ac:dyDescent="0.3">
      <c r="B14" s="88"/>
      <c r="C14" s="88"/>
      <c r="D14" s="45"/>
      <c r="E14" s="45"/>
      <c r="F14" s="45"/>
      <c r="G14" s="60"/>
    </row>
    <row r="15" spans="2:11" s="44" customFormat="1" ht="16.5" customHeight="1" thickBot="1" x14ac:dyDescent="0.3">
      <c r="B15" s="299" t="s">
        <v>100</v>
      </c>
      <c r="C15" s="310"/>
      <c r="D15" s="34"/>
      <c r="E15" s="45"/>
      <c r="F15" s="45"/>
      <c r="G15" s="60"/>
    </row>
    <row r="16" spans="2:11" s="44" customFormat="1" ht="11.25" customHeight="1" thickBot="1" x14ac:dyDescent="0.3">
      <c r="B16" s="88"/>
      <c r="C16" s="88"/>
      <c r="D16" s="45"/>
      <c r="E16" s="45"/>
      <c r="F16" s="45"/>
      <c r="G16" s="60"/>
    </row>
    <row r="17" spans="2:11" s="44" customFormat="1" ht="16.5" customHeight="1" thickBot="1" x14ac:dyDescent="0.3">
      <c r="B17" s="303" t="s">
        <v>225</v>
      </c>
      <c r="C17" s="304"/>
      <c r="D17" s="305"/>
      <c r="E17" s="90"/>
      <c r="F17" s="90"/>
      <c r="G17" s="90"/>
      <c r="I17" s="44" t="s">
        <v>82</v>
      </c>
    </row>
    <row r="18" spans="2:11" s="44" customFormat="1" ht="16.5" customHeight="1" thickBot="1" x14ac:dyDescent="0.3">
      <c r="B18" s="306"/>
      <c r="C18" s="307"/>
      <c r="D18" s="307"/>
      <c r="E18" s="314"/>
      <c r="F18" s="315"/>
      <c r="G18" s="316"/>
      <c r="I18" s="44" t="s">
        <v>83</v>
      </c>
    </row>
    <row r="19" spans="2:11" ht="11.25" customHeight="1" thickBot="1" x14ac:dyDescent="0.25">
      <c r="I19" s="44"/>
    </row>
    <row r="20" spans="2:11" s="44" customFormat="1" ht="16.5" customHeight="1" thickBot="1" x14ac:dyDescent="0.3">
      <c r="B20" s="308" t="s">
        <v>96</v>
      </c>
      <c r="C20" s="309"/>
      <c r="D20" s="314"/>
      <c r="E20" s="315"/>
      <c r="F20" s="315"/>
      <c r="G20" s="316"/>
    </row>
    <row r="21" spans="2:11" s="44" customFormat="1" ht="16.5" customHeight="1" thickBot="1" x14ac:dyDescent="0.3">
      <c r="B21" s="308" t="s">
        <v>95</v>
      </c>
      <c r="C21" s="309"/>
      <c r="D21" s="314"/>
      <c r="E21" s="315"/>
      <c r="F21" s="315"/>
      <c r="G21" s="316"/>
    </row>
    <row r="22" spans="2:11" ht="10.5" customHeight="1" thickBot="1" x14ac:dyDescent="0.25">
      <c r="B22" s="12"/>
      <c r="C22" s="36"/>
      <c r="D22" s="46"/>
      <c r="E22" s="12"/>
      <c r="F22" s="12"/>
      <c r="G22" s="11"/>
      <c r="H22" s="4"/>
      <c r="I22" s="63"/>
      <c r="K22" s="63"/>
    </row>
    <row r="23" spans="2:11" ht="36.75" customHeight="1" thickBot="1" x14ac:dyDescent="0.3">
      <c r="B23" s="308" t="s">
        <v>32</v>
      </c>
      <c r="C23" s="311"/>
      <c r="D23" s="33"/>
      <c r="E23" s="231"/>
      <c r="F23" s="312"/>
      <c r="G23" s="313"/>
      <c r="H23" s="4"/>
      <c r="I23" s="92">
        <f>(F23-D23)+1</f>
        <v>1</v>
      </c>
      <c r="J23" s="99">
        <f>IF(OR(I23=366,I23=365),52,(ROUNDUP(I23/7,0)))</f>
        <v>1</v>
      </c>
      <c r="K23" s="63"/>
    </row>
    <row r="24" spans="2:11" ht="10.5" customHeight="1" thickBot="1" x14ac:dyDescent="0.25">
      <c r="B24" s="13"/>
      <c r="D24" s="14"/>
      <c r="E24" s="14"/>
      <c r="H24" s="15"/>
      <c r="I24" s="63"/>
      <c r="J24" s="78"/>
      <c r="K24" s="63"/>
    </row>
    <row r="25" spans="2:11" ht="16.5" customHeight="1" thickBot="1" x14ac:dyDescent="0.3">
      <c r="B25" s="299" t="s">
        <v>60</v>
      </c>
      <c r="C25" s="300"/>
      <c r="D25" s="300"/>
      <c r="E25" s="300"/>
      <c r="F25" s="301" t="str">
        <f>IF((('Taxable Wage &amp; Compensation'!J15="Yes")),"VALID","INVALID")</f>
        <v>VALID</v>
      </c>
      <c r="G25" s="302"/>
      <c r="H25" s="15"/>
      <c r="I25" s="63"/>
      <c r="J25" s="78"/>
      <c r="K25" s="63"/>
    </row>
    <row r="26" spans="2:11" ht="72.75" customHeight="1" thickBot="1" x14ac:dyDescent="0.25">
      <c r="B26" s="293" t="s">
        <v>92</v>
      </c>
      <c r="C26" s="294"/>
      <c r="D26" s="294"/>
      <c r="E26" s="294"/>
      <c r="F26" s="294"/>
      <c r="G26" s="295"/>
      <c r="H26" s="15"/>
      <c r="I26" s="74"/>
      <c r="J26" s="75"/>
    </row>
    <row r="27" spans="2:11" x14ac:dyDescent="0.2">
      <c r="B27" s="16"/>
      <c r="C27" s="16"/>
      <c r="D27" s="16"/>
      <c r="E27" s="16"/>
      <c r="F27" s="16"/>
      <c r="G27" s="16"/>
      <c r="H27" s="15"/>
    </row>
    <row r="28" spans="2:11" x14ac:dyDescent="0.2">
      <c r="B28" s="16"/>
      <c r="C28" s="16"/>
      <c r="D28" s="16"/>
      <c r="E28" s="16"/>
      <c r="F28" s="16"/>
      <c r="G28" s="16"/>
      <c r="H28" s="15"/>
    </row>
    <row r="29" spans="2:11" ht="13.5" thickBot="1" x14ac:dyDescent="0.25">
      <c r="B29" s="9"/>
      <c r="C29" s="9"/>
      <c r="D29" s="4"/>
      <c r="E29" s="9"/>
      <c r="F29" s="9"/>
      <c r="G29" s="17"/>
      <c r="H29" s="4"/>
    </row>
    <row r="30" spans="2:11" x14ac:dyDescent="0.2">
      <c r="B30" s="1" t="s">
        <v>84</v>
      </c>
      <c r="E30" s="1" t="s">
        <v>0</v>
      </c>
      <c r="G30" s="17"/>
    </row>
    <row r="31" spans="2:11" x14ac:dyDescent="0.2">
      <c r="G31" s="17"/>
    </row>
    <row r="32" spans="2:11" ht="12.75" customHeight="1" x14ac:dyDescent="0.2">
      <c r="G32" s="17"/>
      <c r="H32" s="18"/>
    </row>
    <row r="33" spans="2:8" ht="13.5" thickBot="1" x14ac:dyDescent="0.25">
      <c r="B33" s="9"/>
      <c r="C33" s="9"/>
      <c r="D33" s="4"/>
      <c r="E33" s="9"/>
      <c r="F33" s="9"/>
      <c r="G33" s="17"/>
      <c r="H33" s="18"/>
    </row>
    <row r="34" spans="2:8" x14ac:dyDescent="0.2">
      <c r="B34" s="1" t="s">
        <v>1</v>
      </c>
      <c r="E34" s="1" t="s">
        <v>0</v>
      </c>
      <c r="G34" s="17"/>
      <c r="H34" s="18"/>
    </row>
    <row r="35" spans="2:8" ht="12.75" customHeight="1" x14ac:dyDescent="0.2">
      <c r="G35" s="17"/>
      <c r="H35" s="18"/>
    </row>
    <row r="36" spans="2:8" ht="12.75" customHeight="1" x14ac:dyDescent="0.2">
      <c r="G36" s="17"/>
      <c r="H36" s="18"/>
    </row>
    <row r="37" spans="2:8" ht="13.5" thickBot="1" x14ac:dyDescent="0.25">
      <c r="B37" s="9"/>
      <c r="C37" s="9"/>
      <c r="D37" s="4"/>
      <c r="E37" s="9"/>
      <c r="F37" s="9"/>
      <c r="G37" s="17"/>
      <c r="H37" s="18"/>
    </row>
    <row r="38" spans="2:8" x14ac:dyDescent="0.2">
      <c r="B38" s="1" t="s">
        <v>21</v>
      </c>
      <c r="E38" s="1" t="s">
        <v>0</v>
      </c>
      <c r="G38" s="17"/>
    </row>
    <row r="39" spans="2:8" x14ac:dyDescent="0.2">
      <c r="G39" s="17"/>
    </row>
    <row r="40" spans="2:8" x14ac:dyDescent="0.2">
      <c r="B40" s="55"/>
      <c r="D40" s="55"/>
    </row>
  </sheetData>
  <sheetProtection password="E7F0" sheet="1" objects="1" scenarios="1"/>
  <mergeCells count="22">
    <mergeCell ref="B2:G2"/>
    <mergeCell ref="B3:G3"/>
    <mergeCell ref="B9:C9"/>
    <mergeCell ref="D20:G20"/>
    <mergeCell ref="E18:G18"/>
    <mergeCell ref="B5:C5"/>
    <mergeCell ref="D5:G5"/>
    <mergeCell ref="B7:C7"/>
    <mergeCell ref="B26:G26"/>
    <mergeCell ref="D9:G9"/>
    <mergeCell ref="D11:G11"/>
    <mergeCell ref="B13:C13"/>
    <mergeCell ref="F25:G25"/>
    <mergeCell ref="B25:E25"/>
    <mergeCell ref="B17:D18"/>
    <mergeCell ref="B20:C20"/>
    <mergeCell ref="B15:C15"/>
    <mergeCell ref="B11:C11"/>
    <mergeCell ref="B23:C23"/>
    <mergeCell ref="F23:G23"/>
    <mergeCell ref="B21:C21"/>
    <mergeCell ref="D21:G21"/>
  </mergeCells>
  <phoneticPr fontId="0" type="noConversion"/>
  <dataValidations count="14">
    <dataValidation type="custom" errorStyle="warning" allowBlank="1" showInputMessage="1" showErrorMessage="1" errorTitle="Coverage Period In Error" error="You have entered a coverage period range other than 1 year/52 weeks.  Please verify the dates and re-enter if in error." promptTitle="Coverage Period - End Date" prompt="Enter the end date of the budget." sqref="F23:G23">
      <formula1>IF(J23=52,F23,FALSE)</formula1>
    </dataValidation>
    <dataValidation allowBlank="1" showInputMessage="1" showErrorMessage="1" error="Blah_x000a_" sqref="B46"/>
    <dataValidation showInputMessage="1" promptTitle="Coverage Period - From Date" prompt="Enter the effective date for this Budget Workbook." sqref="D23"/>
    <dataValidation type="custom" allowBlank="1" showInputMessage="1" showErrorMessage="1" sqref="B41">
      <formula1>IF(OR(Program="CBA",Program="CLASS",Program="DB-MD",Program="HMO",Program="MDCP PAS and Respite",(AND(Program="PHC/CA/FC Priority",#REF!&gt;2184)),(AND(Program="PHC/CA/FC Non-Priority",#REF!&gt;2600)),(AND(Program=LOOKUP(Program,I22:K23),#REF!&gt;2705))),,#REF!)</formula1>
    </dataValidation>
    <dataValidation type="textLength" operator="equal" showInputMessage="1" showErrorMessage="1" errorTitle="Incorrect Medicaid Number" error="Medicaid Numbers are 9 digits in length.  Please verify the number and re-enter." promptTitle="Consumer Medicaid Number" prompt="Enter the Consumer's Medicaid Number as it appears in DADS Records." sqref="D16">
      <formula1>9</formula1>
    </dataValidation>
    <dataValidation allowBlank="1" showInputMessage="1" promptTitle="Consumer's Name" prompt="Enter the Consumer's Name as it appears in DADS Records." sqref="D5:G5"/>
    <dataValidation allowBlank="1" showInputMessage="1" showErrorMessage="1" promptTitle="Consumer's Address" prompt="Enter the Consumer's Address as it appears in DADS Records." sqref="D9:G9"/>
    <dataValidation allowBlank="1" showInputMessage="1" showErrorMessage="1" promptTitle="Consumer's City, State, Zip Code" prompt="Enter the Consumer's Address as it appears in DADS Records." sqref="D11:G11"/>
    <dataValidation allowBlank="1" showInputMessage="1" showErrorMessage="1" promptTitle="Consumer's Telephone Number" prompt="Enter the Consumer's Telephone Number as it appears in DADS Records." sqref="D13"/>
    <dataValidation type="textLength" operator="equal" showInputMessage="1" showErrorMessage="1" errorTitle="Incorrect Medicaid Number" error="Medicaid Numbers are 9 digits in length.  Please verify the number and re-enter." promptTitle="Consumer's Medicaid Number" prompt="Enter the Consumer's Medicaid Number as it appears in DADS Records." sqref="D7">
      <formula1>9</formula1>
    </dataValidation>
    <dataValidation type="list" allowBlank="1" showInputMessage="1" showErrorMessage="1" promptTitle="Waiver Contract Area" prompt="Select the Waiver Contract Area the Consumer lives in from the list." sqref="D15">
      <formula1>$I$5:$I$13</formula1>
    </dataValidation>
    <dataValidation type="list" errorStyle="warning" allowBlank="1" showInputMessage="1" promptTitle="LAR / DR" prompt="Does the Consumer have a Designated Responsible Party or Legally Authorizied Representative?" sqref="E18:G18">
      <formula1>$I$17:$I$18</formula1>
    </dataValidation>
    <dataValidation type="custom" errorStyle="warning" allowBlank="1" showInputMessage="1" errorTitle="No DR / LAR" error="You have indicated there is not an LAR or DR. If there is not an LAR, leave this cell blank; Otherwise, change the LAR / DR cell to &quot;Yes.&quot;" promptTitle="LAR's Name" prompt="Enter the name of the Consumer's Legally Authorized Representative, if applicable." sqref="D20:G20">
      <formula1>IF(E18="Yes",D20,FALSE)</formula1>
    </dataValidation>
    <dataValidation type="custom" errorStyle="warning" allowBlank="1" showInputMessage="1" errorTitle="No LAR / DR" error="You have indicated there is not an LAR or DR. If there is not a DR, leave this cell blank; Otherwise, change the LAR / DR cell to &quot;Yes.&quot;" promptTitle="DR's Name" prompt="Enter the name of the Consumer's Designated Responsible Party, if applicable." sqref="D21:G21">
      <formula1>IF(E19="Yes",D21,FALSE)</formula1>
    </dataValidation>
  </dataValidations>
  <pageMargins left="0.75" right="0.75" top="1" bottom="1" header="0.5" footer="0.5"/>
  <pageSetup scale="86" orientation="portrait" r:id="rId1"/>
  <headerFooter alignWithMargins="0">
    <oddHeader>&amp;L&amp;8Texas Department of
Aging and Disability Services&amp;R&amp;8TxHmL CDS Budget
June 2010</oddHeader>
    <oddFooter>&amp;R&amp;8Date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zoomScale="75" workbookViewId="0">
      <selection activeCell="N27" sqref="N27"/>
    </sheetView>
  </sheetViews>
  <sheetFormatPr defaultRowHeight="12.75" x14ac:dyDescent="0.2"/>
  <cols>
    <col min="1" max="2" width="4.140625" style="1" customWidth="1"/>
    <col min="3" max="3" width="46.7109375" style="1" customWidth="1"/>
    <col min="4" max="4" width="16.42578125" style="1" customWidth="1"/>
    <col min="5" max="5" width="4.28515625" style="1" customWidth="1"/>
    <col min="6" max="6" width="16.42578125" style="10" customWidth="1"/>
    <col min="7" max="7" width="4.140625" style="1" customWidth="1"/>
    <col min="8" max="8" width="9.140625" style="1"/>
    <col min="9" max="9" width="22" style="1" customWidth="1"/>
    <col min="10" max="16384" width="9.140625" style="1"/>
  </cols>
  <sheetData>
    <row r="1" spans="2:11" ht="12.75" customHeight="1" x14ac:dyDescent="0.2"/>
    <row r="2" spans="2:11" ht="41.25" customHeight="1" x14ac:dyDescent="0.2">
      <c r="B2" s="317" t="s">
        <v>193</v>
      </c>
      <c r="C2" s="317"/>
      <c r="D2" s="317"/>
      <c r="E2" s="317"/>
      <c r="F2" s="317"/>
      <c r="G2" s="134"/>
    </row>
    <row r="3" spans="2:11" ht="15.75" customHeight="1" x14ac:dyDescent="0.25">
      <c r="B3" s="318" t="s">
        <v>55</v>
      </c>
      <c r="C3" s="318"/>
      <c r="D3" s="318"/>
      <c r="E3" s="318"/>
      <c r="F3" s="318"/>
      <c r="I3" s="61"/>
      <c r="J3" s="62"/>
    </row>
    <row r="4" spans="2:11" ht="15.75" customHeight="1" x14ac:dyDescent="0.25">
      <c r="C4" s="19"/>
      <c r="D4" s="19"/>
      <c r="E4" s="19"/>
      <c r="F4" s="19"/>
      <c r="H4" s="61"/>
      <c r="I4" s="63"/>
      <c r="J4" s="61"/>
      <c r="K4" s="61"/>
    </row>
    <row r="5" spans="2:11" ht="15.75" customHeight="1" thickBot="1" x14ac:dyDescent="0.3">
      <c r="C5" s="20">
        <f>Consumer_Name</f>
        <v>0</v>
      </c>
      <c r="D5" s="19"/>
      <c r="E5" s="319">
        <f>Medicaid_Number</f>
        <v>0</v>
      </c>
      <c r="F5" s="319"/>
      <c r="H5" s="61"/>
      <c r="I5" s="63"/>
      <c r="J5" s="61"/>
      <c r="K5" s="61"/>
    </row>
    <row r="6" spans="2:11" ht="15.75" customHeight="1" x14ac:dyDescent="0.2">
      <c r="C6" s="21" t="s">
        <v>37</v>
      </c>
      <c r="D6" s="21"/>
      <c r="E6" s="320" t="s">
        <v>38</v>
      </c>
      <c r="F6" s="320"/>
      <c r="H6" s="61"/>
      <c r="I6" s="63"/>
      <c r="J6" s="61"/>
      <c r="K6" s="61"/>
    </row>
    <row r="7" spans="2:11" ht="15.75" customHeight="1" x14ac:dyDescent="0.2">
      <c r="C7" s="21"/>
      <c r="D7" s="21"/>
      <c r="E7" s="21"/>
      <c r="F7" s="21"/>
      <c r="H7" s="61"/>
      <c r="I7" s="63"/>
      <c r="J7" s="61"/>
      <c r="K7" s="61"/>
    </row>
    <row r="8" spans="2:11" ht="15.75" customHeight="1" thickBot="1" x14ac:dyDescent="0.3">
      <c r="C8" s="22" t="s">
        <v>6</v>
      </c>
      <c r="D8" s="35">
        <f>From</f>
        <v>0</v>
      </c>
      <c r="E8" s="21" t="s">
        <v>7</v>
      </c>
      <c r="F8" s="35">
        <f>To</f>
        <v>0</v>
      </c>
      <c r="H8" s="61"/>
      <c r="I8" s="63"/>
      <c r="J8" s="61"/>
      <c r="K8" s="61"/>
    </row>
    <row r="9" spans="2:11" ht="15.75" customHeight="1" thickBot="1" x14ac:dyDescent="0.3">
      <c r="C9" s="22"/>
      <c r="D9" s="23"/>
      <c r="E9" s="21"/>
      <c r="F9" s="23"/>
      <c r="H9" s="61"/>
      <c r="I9" s="63"/>
      <c r="J9" s="61"/>
      <c r="K9" s="61"/>
    </row>
    <row r="10" spans="2:11" ht="12.75" customHeight="1" x14ac:dyDescent="0.2">
      <c r="B10" s="321"/>
      <c r="C10" s="322"/>
      <c r="D10" s="322"/>
      <c r="E10" s="322"/>
      <c r="F10" s="323"/>
      <c r="H10" s="61"/>
      <c r="I10" s="63"/>
      <c r="J10" s="61"/>
      <c r="K10" s="61"/>
    </row>
    <row r="11" spans="2:11" ht="12.75" customHeight="1" x14ac:dyDescent="0.2">
      <c r="B11" s="324"/>
      <c r="C11" s="325"/>
      <c r="D11" s="325"/>
      <c r="E11" s="325"/>
      <c r="F11" s="326"/>
    </row>
    <row r="12" spans="2:11" x14ac:dyDescent="0.2">
      <c r="B12" s="324"/>
      <c r="C12" s="325"/>
      <c r="D12" s="325"/>
      <c r="E12" s="325"/>
      <c r="F12" s="326"/>
    </row>
    <row r="13" spans="2:11" x14ac:dyDescent="0.2">
      <c r="B13" s="324"/>
      <c r="C13" s="325"/>
      <c r="D13" s="325"/>
      <c r="E13" s="325"/>
      <c r="F13" s="326"/>
    </row>
    <row r="14" spans="2:11" x14ac:dyDescent="0.2">
      <c r="B14" s="324"/>
      <c r="C14" s="325"/>
      <c r="D14" s="325"/>
      <c r="E14" s="325"/>
      <c r="F14" s="326"/>
    </row>
    <row r="15" spans="2:11" x14ac:dyDescent="0.2">
      <c r="B15" s="324"/>
      <c r="C15" s="325"/>
      <c r="D15" s="325"/>
      <c r="E15" s="325"/>
      <c r="F15" s="326"/>
    </row>
    <row r="16" spans="2:11" x14ac:dyDescent="0.2">
      <c r="B16" s="324"/>
      <c r="C16" s="325"/>
      <c r="D16" s="325"/>
      <c r="E16" s="325"/>
      <c r="F16" s="326"/>
    </row>
    <row r="17" spans="2:6" x14ac:dyDescent="0.2">
      <c r="B17" s="324"/>
      <c r="C17" s="325"/>
      <c r="D17" s="325"/>
      <c r="E17" s="325"/>
      <c r="F17" s="326"/>
    </row>
    <row r="18" spans="2:6" x14ac:dyDescent="0.2">
      <c r="B18" s="324"/>
      <c r="C18" s="325"/>
      <c r="D18" s="325"/>
      <c r="E18" s="325"/>
      <c r="F18" s="326"/>
    </row>
    <row r="19" spans="2:6" x14ac:dyDescent="0.2">
      <c r="B19" s="324"/>
      <c r="C19" s="325"/>
      <c r="D19" s="325"/>
      <c r="E19" s="325"/>
      <c r="F19" s="326"/>
    </row>
    <row r="20" spans="2:6" x14ac:dyDescent="0.2">
      <c r="B20" s="324"/>
      <c r="C20" s="325"/>
      <c r="D20" s="325"/>
      <c r="E20" s="325"/>
      <c r="F20" s="326"/>
    </row>
    <row r="21" spans="2:6" x14ac:dyDescent="0.2">
      <c r="B21" s="324"/>
      <c r="C21" s="325"/>
      <c r="D21" s="325"/>
      <c r="E21" s="325"/>
      <c r="F21" s="326"/>
    </row>
    <row r="22" spans="2:6" x14ac:dyDescent="0.2">
      <c r="B22" s="324"/>
      <c r="C22" s="325"/>
      <c r="D22" s="325"/>
      <c r="E22" s="325"/>
      <c r="F22" s="326"/>
    </row>
    <row r="23" spans="2:6" x14ac:dyDescent="0.2">
      <c r="B23" s="324"/>
      <c r="C23" s="325"/>
      <c r="D23" s="325"/>
      <c r="E23" s="325"/>
      <c r="F23" s="326"/>
    </row>
    <row r="24" spans="2:6" x14ac:dyDescent="0.2">
      <c r="B24" s="324"/>
      <c r="C24" s="325"/>
      <c r="D24" s="325"/>
      <c r="E24" s="325"/>
      <c r="F24" s="326"/>
    </row>
    <row r="25" spans="2:6" x14ac:dyDescent="0.2">
      <c r="B25" s="324"/>
      <c r="C25" s="325"/>
      <c r="D25" s="325"/>
      <c r="E25" s="325"/>
      <c r="F25" s="326"/>
    </row>
    <row r="26" spans="2:6" x14ac:dyDescent="0.2">
      <c r="B26" s="324"/>
      <c r="C26" s="325"/>
      <c r="D26" s="325"/>
      <c r="E26" s="325"/>
      <c r="F26" s="326"/>
    </row>
    <row r="27" spans="2:6" x14ac:dyDescent="0.2">
      <c r="B27" s="324"/>
      <c r="C27" s="325"/>
      <c r="D27" s="325"/>
      <c r="E27" s="325"/>
      <c r="F27" s="326"/>
    </row>
    <row r="28" spans="2:6" x14ac:dyDescent="0.2">
      <c r="B28" s="324"/>
      <c r="C28" s="325"/>
      <c r="D28" s="325"/>
      <c r="E28" s="325"/>
      <c r="F28" s="326"/>
    </row>
    <row r="29" spans="2:6" x14ac:dyDescent="0.2">
      <c r="B29" s="324"/>
      <c r="C29" s="325"/>
      <c r="D29" s="325"/>
      <c r="E29" s="325"/>
      <c r="F29" s="326"/>
    </row>
    <row r="30" spans="2:6" x14ac:dyDescent="0.2">
      <c r="B30" s="324"/>
      <c r="C30" s="325"/>
      <c r="D30" s="325"/>
      <c r="E30" s="325"/>
      <c r="F30" s="326"/>
    </row>
    <row r="31" spans="2:6" x14ac:dyDescent="0.2">
      <c r="B31" s="324"/>
      <c r="C31" s="325"/>
      <c r="D31" s="325"/>
      <c r="E31" s="325"/>
      <c r="F31" s="326"/>
    </row>
    <row r="32" spans="2:6" x14ac:dyDescent="0.2">
      <c r="B32" s="324"/>
      <c r="C32" s="325"/>
      <c r="D32" s="325"/>
      <c r="E32" s="325"/>
      <c r="F32" s="326"/>
    </row>
    <row r="33" spans="2:6" x14ac:dyDescent="0.2">
      <c r="B33" s="324"/>
      <c r="C33" s="325"/>
      <c r="D33" s="325"/>
      <c r="E33" s="325"/>
      <c r="F33" s="326"/>
    </row>
    <row r="34" spans="2:6" x14ac:dyDescent="0.2">
      <c r="B34" s="324"/>
      <c r="C34" s="325"/>
      <c r="D34" s="325"/>
      <c r="E34" s="325"/>
      <c r="F34" s="326"/>
    </row>
    <row r="35" spans="2:6" x14ac:dyDescent="0.2">
      <c r="B35" s="324"/>
      <c r="C35" s="325"/>
      <c r="D35" s="325"/>
      <c r="E35" s="325"/>
      <c r="F35" s="326"/>
    </row>
    <row r="36" spans="2:6" x14ac:dyDescent="0.2">
      <c r="B36" s="324"/>
      <c r="C36" s="325"/>
      <c r="D36" s="325"/>
      <c r="E36" s="325"/>
      <c r="F36" s="326"/>
    </row>
    <row r="37" spans="2:6" x14ac:dyDescent="0.2">
      <c r="B37" s="324"/>
      <c r="C37" s="325"/>
      <c r="D37" s="325"/>
      <c r="E37" s="325"/>
      <c r="F37" s="326"/>
    </row>
    <row r="38" spans="2:6" x14ac:dyDescent="0.2">
      <c r="B38" s="324"/>
      <c r="C38" s="325"/>
      <c r="D38" s="325"/>
      <c r="E38" s="325"/>
      <c r="F38" s="326"/>
    </row>
    <row r="39" spans="2:6" x14ac:dyDescent="0.2">
      <c r="B39" s="324"/>
      <c r="C39" s="325"/>
      <c r="D39" s="325"/>
      <c r="E39" s="325"/>
      <c r="F39" s="326"/>
    </row>
    <row r="40" spans="2:6" x14ac:dyDescent="0.2">
      <c r="B40" s="324"/>
      <c r="C40" s="325"/>
      <c r="D40" s="325"/>
      <c r="E40" s="325"/>
      <c r="F40" s="326"/>
    </row>
    <row r="41" spans="2:6" x14ac:dyDescent="0.2">
      <c r="B41" s="324"/>
      <c r="C41" s="325"/>
      <c r="D41" s="325"/>
      <c r="E41" s="325"/>
      <c r="F41" s="326"/>
    </row>
    <row r="42" spans="2:6" x14ac:dyDescent="0.2">
      <c r="B42" s="324"/>
      <c r="C42" s="325"/>
      <c r="D42" s="325"/>
      <c r="E42" s="325"/>
      <c r="F42" s="326"/>
    </row>
    <row r="43" spans="2:6" x14ac:dyDescent="0.2">
      <c r="B43" s="324"/>
      <c r="C43" s="325"/>
      <c r="D43" s="325"/>
      <c r="E43" s="325"/>
      <c r="F43" s="326"/>
    </row>
    <row r="44" spans="2:6" x14ac:dyDescent="0.2">
      <c r="B44" s="324"/>
      <c r="C44" s="325"/>
      <c r="D44" s="325"/>
      <c r="E44" s="325"/>
      <c r="F44" s="326"/>
    </row>
    <row r="45" spans="2:6" x14ac:dyDescent="0.2">
      <c r="B45" s="324"/>
      <c r="C45" s="325"/>
      <c r="D45" s="325"/>
      <c r="E45" s="325"/>
      <c r="F45" s="326"/>
    </row>
    <row r="46" spans="2:6" x14ac:dyDescent="0.2">
      <c r="B46" s="324"/>
      <c r="C46" s="325"/>
      <c r="D46" s="325"/>
      <c r="E46" s="325"/>
      <c r="F46" s="326"/>
    </row>
    <row r="47" spans="2:6" x14ac:dyDescent="0.2">
      <c r="B47" s="324"/>
      <c r="C47" s="325"/>
      <c r="D47" s="325"/>
      <c r="E47" s="325"/>
      <c r="F47" s="326"/>
    </row>
    <row r="48" spans="2:6" x14ac:dyDescent="0.2">
      <c r="B48" s="324"/>
      <c r="C48" s="325"/>
      <c r="D48" s="325"/>
      <c r="E48" s="325"/>
      <c r="F48" s="326"/>
    </row>
    <row r="49" spans="2:6" x14ac:dyDescent="0.2">
      <c r="B49" s="324"/>
      <c r="C49" s="325"/>
      <c r="D49" s="325"/>
      <c r="E49" s="325"/>
      <c r="F49" s="326"/>
    </row>
    <row r="50" spans="2:6" x14ac:dyDescent="0.2">
      <c r="B50" s="324"/>
      <c r="C50" s="325"/>
      <c r="D50" s="325"/>
      <c r="E50" s="325"/>
      <c r="F50" s="326"/>
    </row>
    <row r="51" spans="2:6" ht="13.5" thickBot="1" x14ac:dyDescent="0.25">
      <c r="B51" s="327"/>
      <c r="C51" s="328"/>
      <c r="D51" s="328"/>
      <c r="E51" s="328"/>
      <c r="F51" s="329"/>
    </row>
  </sheetData>
  <sheetProtection password="E7F0" sheet="1" objects="1" scenarios="1"/>
  <mergeCells count="5">
    <mergeCell ref="B2:F2"/>
    <mergeCell ref="E5:F5"/>
    <mergeCell ref="E6:F6"/>
    <mergeCell ref="B10:F51"/>
    <mergeCell ref="B3:F3"/>
  </mergeCells>
  <phoneticPr fontId="0" type="noConversion"/>
  <dataValidations xWindow="531" yWindow="143" count="1">
    <dataValidation allowBlank="1" showInputMessage="1" showErrorMessage="1" promptTitle="Notes" prompt="This space is provided for any notes to the budget." sqref="B10:F10"/>
  </dataValidations>
  <printOptions horizontalCentered="1"/>
  <pageMargins left="0.2" right="0.2" top="0.75" bottom="0.25" header="0" footer="0.25"/>
  <pageSetup orientation="portrait" horizontalDpi="300" verticalDpi="300" r:id="rId1"/>
  <headerFooter alignWithMargins="0">
    <oddHeader>&amp;L&amp;8Texas Department of 
Aging and Disability Services&amp;R&amp;8TxHmL CDS Budget
June 2010</oddHeader>
    <oddFooter>&amp;R&amp;8Date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68"/>
  <sheetViews>
    <sheetView zoomScale="70" zoomScaleNormal="75" workbookViewId="0">
      <selection activeCell="D16" sqref="D16:F16"/>
    </sheetView>
  </sheetViews>
  <sheetFormatPr defaultRowHeight="12.75" x14ac:dyDescent="0.2"/>
  <cols>
    <col min="1" max="2" width="4.140625" style="1" customWidth="1"/>
    <col min="3" max="3" width="48.42578125" style="1" bestFit="1" customWidth="1"/>
    <col min="4" max="4" width="16.42578125" style="1" customWidth="1"/>
    <col min="5" max="5" width="4.28515625" style="1" customWidth="1"/>
    <col min="6" max="6" width="16.42578125" style="10" customWidth="1"/>
    <col min="7" max="8" width="4.140625" style="1" customWidth="1"/>
    <col min="9" max="9" width="24" style="61" hidden="1" customWidth="1"/>
    <col min="10" max="10" width="9.140625" style="61" hidden="1" customWidth="1"/>
    <col min="11" max="11" width="9.140625" style="61"/>
    <col min="12" max="16384" width="9.140625" style="1"/>
  </cols>
  <sheetData>
    <row r="1" spans="2:20" ht="12.75" customHeight="1" x14ac:dyDescent="0.2"/>
    <row r="2" spans="2:20" ht="43.5" customHeight="1" x14ac:dyDescent="0.2">
      <c r="B2" s="317" t="s">
        <v>193</v>
      </c>
      <c r="C2" s="317"/>
      <c r="D2" s="317"/>
      <c r="E2" s="317"/>
      <c r="F2" s="317"/>
      <c r="G2" s="317"/>
    </row>
    <row r="3" spans="2:20" ht="15.75" customHeight="1" x14ac:dyDescent="0.25">
      <c r="B3" s="318" t="s">
        <v>98</v>
      </c>
      <c r="C3" s="318"/>
      <c r="D3" s="318"/>
      <c r="E3" s="318"/>
      <c r="F3" s="318"/>
      <c r="I3" s="228"/>
      <c r="J3" s="93"/>
      <c r="K3" s="94"/>
    </row>
    <row r="4" spans="2:20" ht="15.75" customHeight="1" x14ac:dyDescent="0.25">
      <c r="C4" s="19"/>
      <c r="D4" s="19"/>
      <c r="E4" s="19"/>
      <c r="F4" s="19"/>
      <c r="K4" s="94"/>
    </row>
    <row r="5" spans="2:20" ht="15.75" customHeight="1" thickBot="1" x14ac:dyDescent="0.3">
      <c r="C5" s="20">
        <f>Consumer_Name</f>
        <v>0</v>
      </c>
      <c r="D5" s="19"/>
      <c r="E5" s="319">
        <f>Medicaid_Number</f>
        <v>0</v>
      </c>
      <c r="F5" s="319"/>
      <c r="K5" s="94"/>
    </row>
    <row r="6" spans="2:20" ht="15.75" customHeight="1" x14ac:dyDescent="0.2">
      <c r="C6" s="21" t="s">
        <v>37</v>
      </c>
      <c r="D6" s="21"/>
      <c r="E6" s="320" t="s">
        <v>38</v>
      </c>
      <c r="F6" s="320"/>
      <c r="I6" s="73"/>
      <c r="J6" s="94"/>
      <c r="K6" s="94"/>
    </row>
    <row r="7" spans="2:20" ht="15.75" customHeight="1" x14ac:dyDescent="0.2">
      <c r="C7" s="21"/>
      <c r="D7" s="21"/>
      <c r="E7" s="21"/>
      <c r="F7" s="21"/>
      <c r="K7" s="94"/>
    </row>
    <row r="8" spans="2:20" ht="15.75" customHeight="1" thickBot="1" x14ac:dyDescent="0.3">
      <c r="C8" s="22" t="s">
        <v>6</v>
      </c>
      <c r="D8" s="35"/>
      <c r="E8" s="21" t="s">
        <v>7</v>
      </c>
      <c r="F8" s="35"/>
      <c r="K8" s="94"/>
    </row>
    <row r="9" spans="2:20" ht="15.75" customHeight="1" thickBot="1" x14ac:dyDescent="0.3">
      <c r="C9" s="22"/>
      <c r="D9" s="23"/>
      <c r="E9" s="21"/>
      <c r="F9" s="23"/>
      <c r="K9" s="94"/>
    </row>
    <row r="10" spans="2:20" ht="25.5" customHeight="1" thickBot="1" x14ac:dyDescent="0.3">
      <c r="C10" s="88" t="s">
        <v>86</v>
      </c>
      <c r="D10" s="95">
        <f>SUM(D28,D22,D16,D34,D40,D46,D52,D58,D64,D70,D76,D81,D86,D91,D96,D99,D102,D105)</f>
        <v>0</v>
      </c>
      <c r="E10" s="21"/>
      <c r="F10" s="23"/>
      <c r="I10" s="73"/>
      <c r="J10" s="94"/>
      <c r="K10" s="342"/>
      <c r="L10" s="342"/>
      <c r="M10" s="342"/>
      <c r="N10" s="342"/>
      <c r="O10" s="342"/>
      <c r="P10" s="342"/>
      <c r="Q10" s="342"/>
      <c r="R10" s="342"/>
      <c r="S10" s="342"/>
      <c r="T10" s="342"/>
    </row>
    <row r="11" spans="2:20" ht="21" customHeight="1" thickBot="1" x14ac:dyDescent="0.3">
      <c r="C11" s="22"/>
      <c r="D11" s="23"/>
      <c r="E11" s="21"/>
      <c r="F11" s="23"/>
      <c r="I11" s="63"/>
      <c r="K11" s="342"/>
      <c r="L11" s="342"/>
      <c r="M11" s="342"/>
      <c r="N11" s="342"/>
      <c r="O11" s="342"/>
      <c r="P11" s="342"/>
      <c r="Q11" s="342"/>
      <c r="R11" s="342"/>
      <c r="S11" s="342"/>
      <c r="T11" s="342"/>
    </row>
    <row r="12" spans="2:20" ht="15.75" customHeight="1" thickBot="1" x14ac:dyDescent="0.25">
      <c r="C12" s="223" t="s">
        <v>85</v>
      </c>
      <c r="D12" s="352" t="s">
        <v>194</v>
      </c>
      <c r="E12" s="353"/>
      <c r="F12" s="354"/>
      <c r="G12" s="61"/>
      <c r="H12" s="61"/>
    </row>
    <row r="13" spans="2:20" ht="15.75" customHeight="1" thickBot="1" x14ac:dyDescent="0.25">
      <c r="C13" s="223" t="s">
        <v>196</v>
      </c>
      <c r="D13" s="343"/>
      <c r="E13" s="344"/>
      <c r="F13" s="345"/>
      <c r="G13" s="61"/>
      <c r="H13" s="61"/>
      <c r="I13" s="229"/>
      <c r="J13" s="230"/>
      <c r="K13" s="8"/>
    </row>
    <row r="14" spans="2:20" ht="15.75" customHeight="1" x14ac:dyDescent="0.2">
      <c r="C14" s="224" t="s">
        <v>197</v>
      </c>
      <c r="D14" s="346">
        <f>D13/'Consumer Information &amp; Approval'!J23</f>
        <v>0</v>
      </c>
      <c r="E14" s="347"/>
      <c r="F14" s="348"/>
      <c r="G14" s="61"/>
      <c r="H14" s="61"/>
      <c r="I14" s="229"/>
      <c r="J14" s="230"/>
      <c r="K14" s="8"/>
    </row>
    <row r="15" spans="2:20" ht="15.75" customHeight="1" thickBot="1" x14ac:dyDescent="0.25">
      <c r="C15" s="225" t="s">
        <v>206</v>
      </c>
      <c r="D15" s="349">
        <v>24.43</v>
      </c>
      <c r="E15" s="350"/>
      <c r="F15" s="351"/>
      <c r="G15" s="61"/>
      <c r="H15" s="61"/>
      <c r="I15" s="229"/>
      <c r="J15" s="230"/>
      <c r="K15" s="8"/>
    </row>
    <row r="16" spans="2:20" ht="15.75" customHeight="1" thickBot="1" x14ac:dyDescent="0.25">
      <c r="C16" s="226" t="s">
        <v>204</v>
      </c>
      <c r="D16" s="330">
        <f>Daily_Rate*Authorized_SHL_Hours</f>
        <v>0</v>
      </c>
      <c r="E16" s="331"/>
      <c r="F16" s="332"/>
      <c r="G16" s="61"/>
      <c r="H16" s="94"/>
      <c r="I16" s="229"/>
      <c r="J16" s="230"/>
      <c r="K16" s="8"/>
    </row>
    <row r="17" spans="3:11" ht="15.75" customHeight="1" thickBot="1" x14ac:dyDescent="0.25">
      <c r="C17" s="61"/>
      <c r="G17" s="61"/>
      <c r="H17" s="94"/>
      <c r="I17" s="229"/>
      <c r="J17" s="230"/>
      <c r="K17" s="8"/>
    </row>
    <row r="18" spans="3:11" ht="15.75" customHeight="1" thickBot="1" x14ac:dyDescent="0.25">
      <c r="C18" s="223" t="s">
        <v>85</v>
      </c>
      <c r="D18" s="352" t="s">
        <v>195</v>
      </c>
      <c r="E18" s="353"/>
      <c r="F18" s="354"/>
      <c r="G18" s="61"/>
      <c r="H18" s="94"/>
      <c r="I18" s="229"/>
      <c r="J18" s="230"/>
      <c r="K18" s="8"/>
    </row>
    <row r="19" spans="3:11" ht="15.75" customHeight="1" thickBot="1" x14ac:dyDescent="0.25">
      <c r="C19" s="223" t="s">
        <v>202</v>
      </c>
      <c r="D19" s="343"/>
      <c r="E19" s="344"/>
      <c r="F19" s="345"/>
      <c r="G19" s="61"/>
      <c r="H19" s="94"/>
      <c r="I19" s="229"/>
      <c r="J19" s="230"/>
      <c r="K19" s="8"/>
    </row>
    <row r="20" spans="3:11" ht="15.75" customHeight="1" x14ac:dyDescent="0.2">
      <c r="C20" s="224" t="s">
        <v>203</v>
      </c>
      <c r="D20" s="346">
        <f>D19/'Consumer Information &amp; Approval'!J23</f>
        <v>0</v>
      </c>
      <c r="E20" s="347"/>
      <c r="F20" s="348"/>
      <c r="G20" s="61"/>
      <c r="H20" s="61"/>
      <c r="I20" s="229"/>
      <c r="J20" s="230"/>
      <c r="K20" s="8"/>
    </row>
    <row r="21" spans="3:11" ht="15.75" customHeight="1" thickBot="1" x14ac:dyDescent="0.25">
      <c r="C21" s="225" t="s">
        <v>205</v>
      </c>
      <c r="D21" s="349">
        <v>22.01</v>
      </c>
      <c r="E21" s="350"/>
      <c r="F21" s="351"/>
      <c r="G21" s="61"/>
      <c r="H21" s="61"/>
      <c r="I21" s="229"/>
      <c r="J21" s="230"/>
      <c r="K21" s="8"/>
    </row>
    <row r="22" spans="3:11" ht="15.75" customHeight="1" thickBot="1" x14ac:dyDescent="0.25">
      <c r="C22" s="226" t="s">
        <v>114</v>
      </c>
      <c r="D22" s="330">
        <f>D21*D19</f>
        <v>0</v>
      </c>
      <c r="E22" s="331"/>
      <c r="F22" s="332"/>
      <c r="G22" s="61"/>
      <c r="H22" s="61"/>
    </row>
    <row r="23" spans="3:11" ht="15.75" customHeight="1" thickBot="1" x14ac:dyDescent="0.25">
      <c r="C23" s="227"/>
      <c r="D23" s="169"/>
      <c r="E23" s="169"/>
      <c r="F23" s="169"/>
      <c r="G23" s="61"/>
      <c r="H23" s="61"/>
    </row>
    <row r="24" spans="3:11" ht="15.75" customHeight="1" thickBot="1" x14ac:dyDescent="0.25">
      <c r="C24" s="223" t="s">
        <v>85</v>
      </c>
      <c r="D24" s="352" t="s">
        <v>110</v>
      </c>
      <c r="E24" s="353"/>
      <c r="F24" s="354"/>
      <c r="G24" s="61"/>
      <c r="H24" s="61"/>
    </row>
    <row r="25" spans="3:11" ht="15.75" customHeight="1" thickBot="1" x14ac:dyDescent="0.25">
      <c r="C25" s="223" t="s">
        <v>219</v>
      </c>
      <c r="D25" s="343"/>
      <c r="E25" s="344"/>
      <c r="F25" s="345"/>
      <c r="G25" s="61"/>
      <c r="H25" s="61"/>
    </row>
    <row r="26" spans="3:11" ht="15.75" customHeight="1" x14ac:dyDescent="0.2">
      <c r="C26" s="224" t="s">
        <v>220</v>
      </c>
      <c r="D26" s="346">
        <f>D25/'Consumer Information &amp; Approval'!J23</f>
        <v>0</v>
      </c>
      <c r="E26" s="347"/>
      <c r="F26" s="348"/>
      <c r="G26" s="61"/>
      <c r="H26" s="61"/>
    </row>
    <row r="27" spans="3:11" ht="15.75" customHeight="1" thickBot="1" x14ac:dyDescent="0.25">
      <c r="C27" s="225" t="s">
        <v>205</v>
      </c>
      <c r="D27" s="349">
        <v>17.89</v>
      </c>
      <c r="E27" s="350"/>
      <c r="F27" s="351"/>
      <c r="G27" s="61"/>
      <c r="H27" s="61"/>
    </row>
    <row r="28" spans="3:11" ht="15.75" customHeight="1" thickBot="1" x14ac:dyDescent="0.25">
      <c r="C28" s="226" t="s">
        <v>114</v>
      </c>
      <c r="D28" s="330">
        <f>D27*D25</f>
        <v>0</v>
      </c>
      <c r="E28" s="331"/>
      <c r="F28" s="332"/>
      <c r="G28" s="61"/>
      <c r="H28" s="61"/>
    </row>
    <row r="29" spans="3:11" ht="15.75" customHeight="1" thickBot="1" x14ac:dyDescent="0.25">
      <c r="C29" s="61"/>
      <c r="G29" s="61"/>
      <c r="H29" s="61"/>
    </row>
    <row r="30" spans="3:11" ht="15.75" customHeight="1" thickBot="1" x14ac:dyDescent="0.25">
      <c r="C30" s="223" t="s">
        <v>85</v>
      </c>
      <c r="D30" s="352" t="s">
        <v>198</v>
      </c>
      <c r="E30" s="353"/>
      <c r="F30" s="354"/>
      <c r="G30" s="61"/>
      <c r="H30" s="61"/>
    </row>
    <row r="31" spans="3:11" ht="15.75" customHeight="1" thickBot="1" x14ac:dyDescent="0.25">
      <c r="C31" s="223" t="s">
        <v>216</v>
      </c>
      <c r="D31" s="343"/>
      <c r="E31" s="344"/>
      <c r="F31" s="345"/>
      <c r="G31" s="61"/>
      <c r="H31" s="61"/>
    </row>
    <row r="32" spans="3:11" ht="15.75" customHeight="1" x14ac:dyDescent="0.2">
      <c r="C32" s="224" t="s">
        <v>217</v>
      </c>
      <c r="D32" s="346">
        <f>D31/'Consumer Information &amp; Approval'!J23</f>
        <v>0</v>
      </c>
      <c r="E32" s="347"/>
      <c r="F32" s="348"/>
      <c r="G32" s="61"/>
      <c r="H32" s="61"/>
    </row>
    <row r="33" spans="3:8" ht="15.75" customHeight="1" thickBot="1" x14ac:dyDescent="0.25">
      <c r="C33" s="225" t="s">
        <v>205</v>
      </c>
      <c r="D33" s="349">
        <v>32.1</v>
      </c>
      <c r="E33" s="350"/>
      <c r="F33" s="351"/>
      <c r="G33" s="61"/>
      <c r="H33" s="61"/>
    </row>
    <row r="34" spans="3:8" ht="15.75" customHeight="1" thickBot="1" x14ac:dyDescent="0.25">
      <c r="C34" s="226" t="s">
        <v>218</v>
      </c>
      <c r="D34" s="330">
        <f>D33*D31</f>
        <v>0</v>
      </c>
      <c r="E34" s="331"/>
      <c r="F34" s="332"/>
      <c r="G34" s="61"/>
      <c r="H34" s="61"/>
    </row>
    <row r="35" spans="3:8" ht="15.75" customHeight="1" thickBot="1" x14ac:dyDescent="0.25">
      <c r="C35" s="61"/>
      <c r="G35" s="61"/>
      <c r="H35" s="61"/>
    </row>
    <row r="36" spans="3:8" ht="15.75" customHeight="1" thickBot="1" x14ac:dyDescent="0.25">
      <c r="C36" s="223" t="s">
        <v>85</v>
      </c>
      <c r="D36" s="352" t="s">
        <v>199</v>
      </c>
      <c r="E36" s="353"/>
      <c r="F36" s="354"/>
      <c r="G36" s="61"/>
      <c r="H36" s="61"/>
    </row>
    <row r="37" spans="3:8" ht="15.75" customHeight="1" thickBot="1" x14ac:dyDescent="0.25">
      <c r="C37" s="223" t="s">
        <v>213</v>
      </c>
      <c r="D37" s="343"/>
      <c r="E37" s="344"/>
      <c r="F37" s="345"/>
      <c r="G37" s="61"/>
      <c r="H37" s="61"/>
    </row>
    <row r="38" spans="3:8" ht="15.75" customHeight="1" x14ac:dyDescent="0.2">
      <c r="C38" s="224" t="s">
        <v>214</v>
      </c>
      <c r="D38" s="346">
        <f>D37/'Consumer Information &amp; Approval'!J23</f>
        <v>0</v>
      </c>
      <c r="E38" s="347"/>
      <c r="F38" s="348"/>
      <c r="G38" s="61"/>
      <c r="H38" s="61"/>
    </row>
    <row r="39" spans="3:8" ht="15.75" customHeight="1" thickBot="1" x14ac:dyDescent="0.25">
      <c r="C39" s="225" t="s">
        <v>205</v>
      </c>
      <c r="D39" s="349">
        <v>32.1</v>
      </c>
      <c r="E39" s="350"/>
      <c r="F39" s="351"/>
      <c r="G39" s="61"/>
      <c r="H39" s="61"/>
    </row>
    <row r="40" spans="3:8" ht="15.75" customHeight="1" thickBot="1" x14ac:dyDescent="0.25">
      <c r="C40" s="226" t="s">
        <v>215</v>
      </c>
      <c r="D40" s="330">
        <f>D39*D37</f>
        <v>0</v>
      </c>
      <c r="E40" s="331"/>
      <c r="F40" s="332"/>
      <c r="G40" s="61"/>
      <c r="H40" s="61"/>
    </row>
    <row r="41" spans="3:8" ht="15.75" customHeight="1" thickBot="1" x14ac:dyDescent="0.25">
      <c r="C41" s="227"/>
      <c r="D41" s="169"/>
      <c r="E41" s="169"/>
      <c r="F41" s="169"/>
      <c r="G41" s="61"/>
      <c r="H41" s="61"/>
    </row>
    <row r="42" spans="3:8" ht="15.75" customHeight="1" thickBot="1" x14ac:dyDescent="0.25">
      <c r="C42" s="223" t="s">
        <v>85</v>
      </c>
      <c r="D42" s="352" t="s">
        <v>200</v>
      </c>
      <c r="E42" s="353"/>
      <c r="F42" s="354"/>
      <c r="G42" s="61"/>
      <c r="H42" s="61"/>
    </row>
    <row r="43" spans="3:8" ht="15.75" customHeight="1" thickBot="1" x14ac:dyDescent="0.25">
      <c r="C43" s="223" t="s">
        <v>210</v>
      </c>
      <c r="D43" s="343"/>
      <c r="E43" s="344"/>
      <c r="F43" s="345"/>
      <c r="G43" s="61"/>
      <c r="H43" s="61"/>
    </row>
    <row r="44" spans="3:8" ht="15.75" customHeight="1" x14ac:dyDescent="0.2">
      <c r="C44" s="224" t="s">
        <v>211</v>
      </c>
      <c r="D44" s="346">
        <f>D43/'Consumer Information &amp; Approval'!J23</f>
        <v>0</v>
      </c>
      <c r="E44" s="347"/>
      <c r="F44" s="348"/>
      <c r="G44" s="61"/>
      <c r="H44" s="61"/>
    </row>
    <row r="45" spans="3:8" ht="15.75" customHeight="1" thickBot="1" x14ac:dyDescent="0.25">
      <c r="C45" s="225" t="s">
        <v>205</v>
      </c>
      <c r="D45" s="349">
        <v>78.53</v>
      </c>
      <c r="E45" s="350"/>
      <c r="F45" s="351"/>
      <c r="G45" s="61"/>
      <c r="H45" s="61"/>
    </row>
    <row r="46" spans="3:8" ht="15.75" customHeight="1" thickBot="1" x14ac:dyDescent="0.25">
      <c r="C46" s="226" t="s">
        <v>212</v>
      </c>
      <c r="D46" s="330">
        <f>D45*D43</f>
        <v>0</v>
      </c>
      <c r="E46" s="331"/>
      <c r="F46" s="332"/>
      <c r="G46" s="61"/>
      <c r="H46" s="61"/>
    </row>
    <row r="47" spans="3:8" ht="15.75" customHeight="1" thickBot="1" x14ac:dyDescent="0.25">
      <c r="C47" s="61"/>
      <c r="G47" s="61"/>
      <c r="H47" s="61"/>
    </row>
    <row r="48" spans="3:8" ht="15.75" customHeight="1" thickBot="1" x14ac:dyDescent="0.25">
      <c r="C48" s="223" t="s">
        <v>85</v>
      </c>
      <c r="D48" s="352" t="s">
        <v>246</v>
      </c>
      <c r="E48" s="353"/>
      <c r="F48" s="354"/>
      <c r="G48" s="61"/>
      <c r="H48" s="61"/>
    </row>
    <row r="49" spans="3:8" ht="15.75" customHeight="1" thickBot="1" x14ac:dyDescent="0.25">
      <c r="C49" s="223" t="s">
        <v>250</v>
      </c>
      <c r="D49" s="343"/>
      <c r="E49" s="344"/>
      <c r="F49" s="345"/>
      <c r="G49" s="61"/>
      <c r="H49" s="61"/>
    </row>
    <row r="50" spans="3:8" ht="15.75" customHeight="1" x14ac:dyDescent="0.2">
      <c r="C50" s="224" t="s">
        <v>251</v>
      </c>
      <c r="D50" s="346">
        <f>D49/'Consumer Information &amp; Approval'!J23</f>
        <v>0</v>
      </c>
      <c r="E50" s="347"/>
      <c r="F50" s="348"/>
      <c r="G50" s="61"/>
      <c r="H50" s="61"/>
    </row>
    <row r="51" spans="3:8" ht="15.75" customHeight="1" thickBot="1" x14ac:dyDescent="0.25">
      <c r="C51" s="225" t="s">
        <v>205</v>
      </c>
      <c r="D51" s="349">
        <v>76.430000000000007</v>
      </c>
      <c r="E51" s="350"/>
      <c r="F51" s="351"/>
      <c r="G51" s="61"/>
      <c r="H51" s="61"/>
    </row>
    <row r="52" spans="3:8" ht="15.75" customHeight="1" thickBot="1" x14ac:dyDescent="0.25">
      <c r="C52" s="226" t="s">
        <v>252</v>
      </c>
      <c r="D52" s="330">
        <f>D51*D49</f>
        <v>0</v>
      </c>
      <c r="E52" s="331"/>
      <c r="F52" s="332"/>
      <c r="G52" s="61"/>
      <c r="H52" s="61"/>
    </row>
    <row r="53" spans="3:8" ht="15.75" customHeight="1" thickBot="1" x14ac:dyDescent="0.25">
      <c r="C53" s="227"/>
      <c r="D53" s="169"/>
      <c r="E53" s="169"/>
      <c r="F53" s="169"/>
      <c r="G53" s="61"/>
      <c r="H53" s="61"/>
    </row>
    <row r="54" spans="3:8" ht="15.75" customHeight="1" thickBot="1" x14ac:dyDescent="0.25">
      <c r="C54" s="223" t="s">
        <v>85</v>
      </c>
      <c r="D54" s="352" t="s">
        <v>247</v>
      </c>
      <c r="E54" s="353"/>
      <c r="F54" s="354"/>
      <c r="G54" s="61"/>
      <c r="H54" s="61"/>
    </row>
    <row r="55" spans="3:8" ht="15.75" customHeight="1" thickBot="1" x14ac:dyDescent="0.25">
      <c r="C55" s="223" t="s">
        <v>253</v>
      </c>
      <c r="D55" s="343"/>
      <c r="E55" s="344"/>
      <c r="F55" s="345"/>
      <c r="G55" s="61"/>
      <c r="H55" s="61"/>
    </row>
    <row r="56" spans="3:8" ht="15.75" customHeight="1" x14ac:dyDescent="0.2">
      <c r="C56" s="224" t="s">
        <v>254</v>
      </c>
      <c r="D56" s="346">
        <f>D55/Weeks</f>
        <v>0</v>
      </c>
      <c r="E56" s="347"/>
      <c r="F56" s="348"/>
      <c r="G56" s="61"/>
      <c r="H56" s="61"/>
    </row>
    <row r="57" spans="3:8" ht="15.75" customHeight="1" thickBot="1" x14ac:dyDescent="0.25">
      <c r="C57" s="225" t="s">
        <v>205</v>
      </c>
      <c r="D57" s="349">
        <v>71.95</v>
      </c>
      <c r="E57" s="350"/>
      <c r="F57" s="351"/>
      <c r="G57" s="61"/>
      <c r="H57" s="61"/>
    </row>
    <row r="58" spans="3:8" ht="15.75" customHeight="1" thickBot="1" x14ac:dyDescent="0.25">
      <c r="C58" s="226" t="s">
        <v>255</v>
      </c>
      <c r="D58" s="330">
        <f>D57*D55</f>
        <v>0</v>
      </c>
      <c r="E58" s="331"/>
      <c r="F58" s="332"/>
      <c r="G58" s="61"/>
      <c r="H58" s="61"/>
    </row>
    <row r="59" spans="3:8" ht="15.75" customHeight="1" thickBot="1" x14ac:dyDescent="0.25">
      <c r="C59" s="227"/>
      <c r="D59" s="169"/>
      <c r="E59" s="169"/>
      <c r="F59" s="169"/>
      <c r="G59" s="61"/>
      <c r="H59" s="61"/>
    </row>
    <row r="60" spans="3:8" ht="15.75" customHeight="1" thickBot="1" x14ac:dyDescent="0.25">
      <c r="C60" s="223" t="s">
        <v>85</v>
      </c>
      <c r="D60" s="352" t="s">
        <v>248</v>
      </c>
      <c r="E60" s="353"/>
      <c r="F60" s="354"/>
      <c r="G60" s="61"/>
      <c r="H60" s="61"/>
    </row>
    <row r="61" spans="3:8" ht="15.75" customHeight="1" thickBot="1" x14ac:dyDescent="0.25">
      <c r="C61" s="223" t="s">
        <v>261</v>
      </c>
      <c r="D61" s="343"/>
      <c r="E61" s="344"/>
      <c r="F61" s="345"/>
      <c r="G61" s="61"/>
      <c r="H61" s="61"/>
    </row>
    <row r="62" spans="3:8" ht="15.75" customHeight="1" x14ac:dyDescent="0.2">
      <c r="C62" s="224" t="s">
        <v>260</v>
      </c>
      <c r="D62" s="346">
        <f>D61/Weeks</f>
        <v>0</v>
      </c>
      <c r="E62" s="347"/>
      <c r="F62" s="348"/>
      <c r="G62" s="61"/>
      <c r="H62" s="61"/>
    </row>
    <row r="63" spans="3:8" ht="15.75" customHeight="1" thickBot="1" x14ac:dyDescent="0.25">
      <c r="C63" s="225" t="s">
        <v>205</v>
      </c>
      <c r="D63" s="349">
        <v>51.73</v>
      </c>
      <c r="E63" s="350"/>
      <c r="F63" s="351"/>
      <c r="G63" s="61"/>
      <c r="H63" s="61"/>
    </row>
    <row r="64" spans="3:8" ht="15.75" customHeight="1" thickBot="1" x14ac:dyDescent="0.25">
      <c r="C64" s="226" t="s">
        <v>259</v>
      </c>
      <c r="D64" s="330">
        <f>D63*D61</f>
        <v>0</v>
      </c>
      <c r="E64" s="331"/>
      <c r="F64" s="332"/>
      <c r="G64" s="61"/>
      <c r="H64" s="61"/>
    </row>
    <row r="65" spans="3:8" ht="15.75" customHeight="1" thickBot="1" x14ac:dyDescent="0.25">
      <c r="C65" s="227"/>
      <c r="D65" s="169"/>
      <c r="E65" s="169"/>
      <c r="F65" s="169"/>
      <c r="G65" s="61"/>
      <c r="H65" s="61"/>
    </row>
    <row r="66" spans="3:8" ht="15.75" customHeight="1" thickBot="1" x14ac:dyDescent="0.25">
      <c r="C66" s="223" t="s">
        <v>85</v>
      </c>
      <c r="D66" s="352" t="s">
        <v>249</v>
      </c>
      <c r="E66" s="353"/>
      <c r="F66" s="354"/>
      <c r="G66" s="61"/>
      <c r="H66" s="61"/>
    </row>
    <row r="67" spans="3:8" ht="15.75" customHeight="1" thickBot="1" x14ac:dyDescent="0.25">
      <c r="C67" s="223" t="s">
        <v>258</v>
      </c>
      <c r="D67" s="343"/>
      <c r="E67" s="344"/>
      <c r="F67" s="345"/>
      <c r="G67" s="61"/>
      <c r="H67" s="61"/>
    </row>
    <row r="68" spans="3:8" ht="15.75" customHeight="1" x14ac:dyDescent="0.2">
      <c r="C68" s="224" t="s">
        <v>257</v>
      </c>
      <c r="D68" s="346">
        <f>D67/Weeks</f>
        <v>0</v>
      </c>
      <c r="E68" s="347"/>
      <c r="F68" s="348"/>
      <c r="G68" s="61"/>
      <c r="H68" s="61"/>
    </row>
    <row r="69" spans="3:8" ht="15.75" customHeight="1" thickBot="1" x14ac:dyDescent="0.25">
      <c r="C69" s="225" t="s">
        <v>205</v>
      </c>
      <c r="D69" s="349">
        <v>75.290000000000006</v>
      </c>
      <c r="E69" s="350"/>
      <c r="F69" s="351"/>
      <c r="G69" s="61"/>
      <c r="H69" s="61"/>
    </row>
    <row r="70" spans="3:8" ht="15.75" customHeight="1" thickBot="1" x14ac:dyDescent="0.25">
      <c r="C70" s="226" t="s">
        <v>256</v>
      </c>
      <c r="D70" s="330">
        <f>D69*D67</f>
        <v>0</v>
      </c>
      <c r="E70" s="331"/>
      <c r="F70" s="332"/>
      <c r="G70" s="61"/>
      <c r="H70" s="61"/>
    </row>
    <row r="71" spans="3:8" ht="15.75" customHeight="1" thickBot="1" x14ac:dyDescent="0.25">
      <c r="C71" s="227"/>
      <c r="D71" s="169"/>
      <c r="E71" s="169"/>
      <c r="F71" s="169"/>
      <c r="G71" s="61"/>
      <c r="H71" s="61"/>
    </row>
    <row r="72" spans="3:8" ht="15.75" customHeight="1" thickBot="1" x14ac:dyDescent="0.25">
      <c r="C72" s="223" t="s">
        <v>85</v>
      </c>
      <c r="D72" s="352" t="s">
        <v>201</v>
      </c>
      <c r="E72" s="353"/>
      <c r="F72" s="354"/>
      <c r="G72" s="61"/>
      <c r="H72" s="61"/>
    </row>
    <row r="73" spans="3:8" ht="15.75" customHeight="1" thickBot="1" x14ac:dyDescent="0.25">
      <c r="C73" s="223" t="s">
        <v>207</v>
      </c>
      <c r="D73" s="343"/>
      <c r="E73" s="344"/>
      <c r="F73" s="345"/>
      <c r="G73" s="61"/>
      <c r="H73" s="61"/>
    </row>
    <row r="74" spans="3:8" ht="15.75" customHeight="1" x14ac:dyDescent="0.2">
      <c r="C74" s="224" t="s">
        <v>208</v>
      </c>
      <c r="D74" s="346">
        <f>D73/'Consumer Information &amp; Approval'!J23</f>
        <v>0</v>
      </c>
      <c r="E74" s="347"/>
      <c r="F74" s="348"/>
      <c r="G74" s="61"/>
      <c r="H74" s="61"/>
    </row>
    <row r="75" spans="3:8" ht="15.75" customHeight="1" thickBot="1" x14ac:dyDescent="0.25">
      <c r="C75" s="225" t="s">
        <v>205</v>
      </c>
      <c r="D75" s="349">
        <v>54.28</v>
      </c>
      <c r="E75" s="350"/>
      <c r="F75" s="351"/>
      <c r="G75" s="61"/>
      <c r="H75" s="61"/>
    </row>
    <row r="76" spans="3:8" ht="15.75" customHeight="1" thickBot="1" x14ac:dyDescent="0.25">
      <c r="C76" s="226" t="s">
        <v>209</v>
      </c>
      <c r="D76" s="330">
        <f>D75*D73</f>
        <v>0</v>
      </c>
      <c r="E76" s="331"/>
      <c r="F76" s="332"/>
      <c r="G76" s="61"/>
      <c r="H76" s="61"/>
    </row>
    <row r="77" spans="3:8" ht="15.75" customHeight="1" thickBot="1" x14ac:dyDescent="0.25">
      <c r="C77" s="227"/>
      <c r="D77" s="169"/>
      <c r="E77" s="169"/>
      <c r="F77" s="169"/>
      <c r="G77" s="61"/>
      <c r="H77" s="61"/>
    </row>
    <row r="78" spans="3:8" ht="15.75" customHeight="1" thickBot="1" x14ac:dyDescent="0.25">
      <c r="C78" s="223" t="s">
        <v>85</v>
      </c>
      <c r="D78" s="339" t="s">
        <v>235</v>
      </c>
      <c r="E78" s="340"/>
      <c r="F78" s="341"/>
      <c r="G78" s="61"/>
      <c r="H78" s="61"/>
    </row>
    <row r="79" spans="3:8" ht="15.75" customHeight="1" thickBot="1" x14ac:dyDescent="0.25">
      <c r="C79" s="224" t="s">
        <v>236</v>
      </c>
      <c r="D79" s="336"/>
      <c r="E79" s="337"/>
      <c r="F79" s="338"/>
      <c r="G79" s="61"/>
      <c r="H79" s="61"/>
    </row>
    <row r="80" spans="3:8" ht="15.75" customHeight="1" thickBot="1" x14ac:dyDescent="0.25">
      <c r="C80" s="225" t="s">
        <v>237</v>
      </c>
      <c r="D80" s="333">
        <v>42.39</v>
      </c>
      <c r="E80" s="334"/>
      <c r="F80" s="335"/>
      <c r="G80" s="61"/>
      <c r="H80" s="61"/>
    </row>
    <row r="81" spans="3:8" ht="15.75" customHeight="1" thickBot="1" x14ac:dyDescent="0.25">
      <c r="C81" s="226" t="s">
        <v>238</v>
      </c>
      <c r="D81" s="330">
        <f>D79*D80</f>
        <v>0</v>
      </c>
      <c r="E81" s="331"/>
      <c r="F81" s="332"/>
      <c r="G81" s="61"/>
      <c r="H81" s="61"/>
    </row>
    <row r="82" spans="3:8" ht="15.75" customHeight="1" thickBot="1" x14ac:dyDescent="0.25">
      <c r="F82" s="169"/>
      <c r="G82" s="61"/>
      <c r="H82" s="61"/>
    </row>
    <row r="83" spans="3:8" ht="15.75" customHeight="1" thickBot="1" x14ac:dyDescent="0.25">
      <c r="C83" s="223" t="s">
        <v>85</v>
      </c>
      <c r="D83" s="339" t="s">
        <v>239</v>
      </c>
      <c r="E83" s="340"/>
      <c r="F83" s="341"/>
      <c r="G83" s="61"/>
      <c r="H83" s="61"/>
    </row>
    <row r="84" spans="3:8" ht="15.75" customHeight="1" thickBot="1" x14ac:dyDescent="0.25">
      <c r="C84" s="224" t="s">
        <v>236</v>
      </c>
      <c r="D84" s="336"/>
      <c r="E84" s="337"/>
      <c r="F84" s="338"/>
      <c r="G84" s="61"/>
      <c r="H84" s="61"/>
    </row>
    <row r="85" spans="3:8" ht="15.75" customHeight="1" thickBot="1" x14ac:dyDescent="0.25">
      <c r="C85" s="225" t="s">
        <v>237</v>
      </c>
      <c r="D85" s="333">
        <v>28.69</v>
      </c>
      <c r="E85" s="334"/>
      <c r="F85" s="335"/>
      <c r="G85" s="61"/>
      <c r="H85" s="61"/>
    </row>
    <row r="86" spans="3:8" ht="15.75" customHeight="1" thickBot="1" x14ac:dyDescent="0.25">
      <c r="C86" s="226" t="s">
        <v>240</v>
      </c>
      <c r="D86" s="330">
        <f>D84*D85</f>
        <v>0</v>
      </c>
      <c r="E86" s="331"/>
      <c r="F86" s="332"/>
      <c r="G86" s="61"/>
      <c r="H86" s="61"/>
    </row>
    <row r="87" spans="3:8" ht="15.75" customHeight="1" thickBot="1" x14ac:dyDescent="0.25">
      <c r="C87" s="227"/>
      <c r="D87" s="169"/>
      <c r="E87" s="169"/>
      <c r="F87" s="169"/>
      <c r="G87" s="61"/>
      <c r="H87" s="61"/>
    </row>
    <row r="88" spans="3:8" ht="15.75" customHeight="1" thickBot="1" x14ac:dyDescent="0.25">
      <c r="C88" s="223" t="s">
        <v>85</v>
      </c>
      <c r="D88" s="339" t="s">
        <v>241</v>
      </c>
      <c r="E88" s="340"/>
      <c r="F88" s="341"/>
      <c r="G88" s="61"/>
      <c r="H88" s="61"/>
    </row>
    <row r="89" spans="3:8" ht="15.75" customHeight="1" thickBot="1" x14ac:dyDescent="0.25">
      <c r="C89" s="224" t="s">
        <v>236</v>
      </c>
      <c r="D89" s="336"/>
      <c r="E89" s="337"/>
      <c r="F89" s="338"/>
      <c r="G89" s="61"/>
      <c r="H89" s="61"/>
    </row>
    <row r="90" spans="3:8" ht="15.75" customHeight="1" thickBot="1" x14ac:dyDescent="0.25">
      <c r="C90" s="225" t="s">
        <v>237</v>
      </c>
      <c r="D90" s="333">
        <v>48.9</v>
      </c>
      <c r="E90" s="334"/>
      <c r="F90" s="335"/>
      <c r="G90" s="61"/>
      <c r="H90" s="61"/>
    </row>
    <row r="91" spans="3:8" ht="15.75" customHeight="1" thickBot="1" x14ac:dyDescent="0.25">
      <c r="C91" s="226" t="s">
        <v>242</v>
      </c>
      <c r="D91" s="330">
        <f>D89*D90</f>
        <v>0</v>
      </c>
      <c r="E91" s="331"/>
      <c r="F91" s="332"/>
      <c r="G91" s="61"/>
      <c r="H91" s="61"/>
    </row>
    <row r="92" spans="3:8" ht="15.75" customHeight="1" thickBot="1" x14ac:dyDescent="0.25">
      <c r="F92" s="169"/>
      <c r="G92" s="61"/>
      <c r="H92" s="61"/>
    </row>
    <row r="93" spans="3:8" ht="15.75" customHeight="1" thickBot="1" x14ac:dyDescent="0.25">
      <c r="C93" s="223" t="s">
        <v>85</v>
      </c>
      <c r="D93" s="339" t="s">
        <v>243</v>
      </c>
      <c r="E93" s="340"/>
      <c r="F93" s="341"/>
      <c r="G93" s="61"/>
      <c r="H93" s="61"/>
    </row>
    <row r="94" spans="3:8" ht="15.75" customHeight="1" thickBot="1" x14ac:dyDescent="0.25">
      <c r="C94" s="224" t="s">
        <v>236</v>
      </c>
      <c r="D94" s="336"/>
      <c r="E94" s="337"/>
      <c r="F94" s="338"/>
      <c r="G94" s="61"/>
      <c r="H94" s="61"/>
    </row>
    <row r="95" spans="3:8" ht="15.75" customHeight="1" thickBot="1" x14ac:dyDescent="0.25">
      <c r="C95" s="225" t="s">
        <v>237</v>
      </c>
      <c r="D95" s="333">
        <v>33.14</v>
      </c>
      <c r="E95" s="334"/>
      <c r="F95" s="335"/>
      <c r="G95" s="61"/>
      <c r="H95" s="61"/>
    </row>
    <row r="96" spans="3:8" ht="15.75" customHeight="1" thickBot="1" x14ac:dyDescent="0.25">
      <c r="C96" s="226" t="s">
        <v>244</v>
      </c>
      <c r="D96" s="330">
        <f>D94*D95</f>
        <v>0</v>
      </c>
      <c r="E96" s="331"/>
      <c r="F96" s="332"/>
      <c r="G96" s="61"/>
      <c r="H96" s="61"/>
    </row>
    <row r="97" spans="3:11" ht="15.75" customHeight="1" thickBot="1" x14ac:dyDescent="0.25">
      <c r="C97" s="227"/>
      <c r="D97" s="169"/>
      <c r="E97" s="169"/>
      <c r="F97" s="169"/>
      <c r="G97" s="61"/>
      <c r="H97" s="61"/>
    </row>
    <row r="98" spans="3:11" ht="15.75" customHeight="1" thickBot="1" x14ac:dyDescent="0.25">
      <c r="C98" s="223" t="s">
        <v>85</v>
      </c>
      <c r="D98" s="352" t="s">
        <v>227</v>
      </c>
      <c r="E98" s="353"/>
      <c r="F98" s="354"/>
      <c r="G98" s="61"/>
      <c r="H98" s="61"/>
    </row>
    <row r="99" spans="3:11" ht="15.75" customHeight="1" thickBot="1" x14ac:dyDescent="0.25">
      <c r="C99" s="223" t="s">
        <v>229</v>
      </c>
      <c r="D99" s="355"/>
      <c r="E99" s="356"/>
      <c r="F99" s="357"/>
      <c r="G99" s="61"/>
      <c r="H99" s="61"/>
      <c r="I99" s="61" t="s">
        <v>231</v>
      </c>
      <c r="J99" s="94">
        <f>D99+D102+D105</f>
        <v>0</v>
      </c>
    </row>
    <row r="100" spans="3:11" ht="15.75" customHeight="1" thickBot="1" x14ac:dyDescent="0.25">
      <c r="G100" s="61"/>
      <c r="H100" s="61"/>
    </row>
    <row r="101" spans="3:11" ht="15.75" customHeight="1" thickBot="1" x14ac:dyDescent="0.25">
      <c r="C101" s="223" t="s">
        <v>85</v>
      </c>
      <c r="D101" s="352" t="s">
        <v>228</v>
      </c>
      <c r="E101" s="353"/>
      <c r="F101" s="354"/>
      <c r="G101" s="61"/>
      <c r="H101" s="61"/>
    </row>
    <row r="102" spans="3:11" ht="15.75" customHeight="1" thickBot="1" x14ac:dyDescent="0.25">
      <c r="C102" s="223" t="s">
        <v>229</v>
      </c>
      <c r="D102" s="355"/>
      <c r="E102" s="356"/>
      <c r="F102" s="357"/>
      <c r="G102" s="61"/>
      <c r="H102" s="61"/>
    </row>
    <row r="103" spans="3:11" ht="15.75" customHeight="1" thickBot="1" x14ac:dyDescent="0.25">
      <c r="G103" s="61"/>
      <c r="H103" s="61"/>
    </row>
    <row r="104" spans="3:11" s="13" customFormat="1" ht="15.75" customHeight="1" thickBot="1" x14ac:dyDescent="0.25">
      <c r="C104" s="224" t="s">
        <v>85</v>
      </c>
      <c r="D104" s="358" t="s">
        <v>233</v>
      </c>
      <c r="E104" s="359"/>
      <c r="F104" s="360"/>
      <c r="G104" s="253"/>
      <c r="H104" s="253"/>
      <c r="I104" s="253"/>
      <c r="J104" s="253"/>
      <c r="K104" s="253"/>
    </row>
    <row r="105" spans="3:11" s="13" customFormat="1" ht="15.75" customHeight="1" thickBot="1" x14ac:dyDescent="0.25">
      <c r="C105" s="223" t="s">
        <v>229</v>
      </c>
      <c r="D105" s="361"/>
      <c r="E105" s="362"/>
      <c r="F105" s="363"/>
      <c r="G105" s="253"/>
      <c r="H105" s="253"/>
      <c r="I105" s="228"/>
      <c r="J105" s="253"/>
      <c r="K105" s="253"/>
    </row>
    <row r="106" spans="3:11" ht="15.75" customHeight="1" x14ac:dyDescent="0.2">
      <c r="G106" s="61"/>
    </row>
    <row r="107" spans="3:11" ht="15.75" customHeight="1" x14ac:dyDescent="0.2">
      <c r="G107" s="61"/>
    </row>
    <row r="108" spans="3:11" ht="15.75" customHeight="1" x14ac:dyDescent="0.2">
      <c r="G108" s="61"/>
    </row>
    <row r="109" spans="3:11" ht="15.75" customHeight="1" x14ac:dyDescent="0.2">
      <c r="G109" s="61"/>
    </row>
    <row r="110" spans="3:11" ht="15.75" customHeight="1" x14ac:dyDescent="0.2">
      <c r="G110" s="61"/>
    </row>
    <row r="111" spans="3:11" ht="15.75" customHeight="1" x14ac:dyDescent="0.2">
      <c r="G111" s="61"/>
    </row>
    <row r="112" spans="3:11" ht="15.75" customHeight="1" x14ac:dyDescent="0.2">
      <c r="G112" s="61"/>
    </row>
    <row r="113" spans="7:7" ht="15.75" customHeight="1" x14ac:dyDescent="0.2">
      <c r="G113" s="61"/>
    </row>
    <row r="114" spans="7:7" ht="15.75" customHeight="1" x14ac:dyDescent="0.2">
      <c r="G114" s="61"/>
    </row>
    <row r="115" spans="7:7" ht="15.75" customHeight="1" x14ac:dyDescent="0.2">
      <c r="G115" s="61"/>
    </row>
    <row r="116" spans="7:7" ht="15.75" customHeight="1" x14ac:dyDescent="0.2">
      <c r="G116" s="61"/>
    </row>
    <row r="117" spans="7:7" ht="15.75" customHeight="1" x14ac:dyDescent="0.2">
      <c r="G117" s="61"/>
    </row>
    <row r="118" spans="7:7" ht="15.75" customHeight="1" x14ac:dyDescent="0.2">
      <c r="G118" s="61"/>
    </row>
    <row r="119" spans="7:7" ht="15.75" customHeight="1" x14ac:dyDescent="0.2">
      <c r="G119" s="61"/>
    </row>
    <row r="120" spans="7:7" ht="15.75" customHeight="1" x14ac:dyDescent="0.2">
      <c r="G120" s="61"/>
    </row>
    <row r="121" spans="7:7" ht="15.75" customHeight="1" x14ac:dyDescent="0.2">
      <c r="G121" s="61"/>
    </row>
    <row r="122" spans="7:7" x14ac:dyDescent="0.2">
      <c r="G122" s="61"/>
    </row>
    <row r="123" spans="7:7" x14ac:dyDescent="0.2">
      <c r="G123" s="61"/>
    </row>
    <row r="124" spans="7:7" x14ac:dyDescent="0.2">
      <c r="G124" s="61"/>
    </row>
    <row r="125" spans="7:7" x14ac:dyDescent="0.2">
      <c r="G125" s="61"/>
    </row>
    <row r="126" spans="7:7" x14ac:dyDescent="0.2">
      <c r="G126" s="61"/>
    </row>
    <row r="127" spans="7:7" x14ac:dyDescent="0.2">
      <c r="G127" s="61"/>
    </row>
    <row r="128" spans="7:7" x14ac:dyDescent="0.2">
      <c r="G128" s="61"/>
    </row>
    <row r="129" spans="7:7" x14ac:dyDescent="0.2">
      <c r="G129" s="61"/>
    </row>
    <row r="130" spans="7:7" x14ac:dyDescent="0.2">
      <c r="G130" s="61"/>
    </row>
    <row r="131" spans="7:7" x14ac:dyDescent="0.2">
      <c r="G131" s="61"/>
    </row>
    <row r="132" spans="7:7" x14ac:dyDescent="0.2">
      <c r="G132" s="61"/>
    </row>
    <row r="133" spans="7:7" x14ac:dyDescent="0.2">
      <c r="G133" s="61"/>
    </row>
    <row r="134" spans="7:7" x14ac:dyDescent="0.2">
      <c r="G134" s="61"/>
    </row>
    <row r="135" spans="7:7" x14ac:dyDescent="0.2">
      <c r="G135" s="61"/>
    </row>
    <row r="136" spans="7:7" x14ac:dyDescent="0.2">
      <c r="G136" s="61"/>
    </row>
    <row r="137" spans="7:7" x14ac:dyDescent="0.2">
      <c r="G137" s="61"/>
    </row>
    <row r="138" spans="7:7" x14ac:dyDescent="0.2">
      <c r="G138" s="61"/>
    </row>
    <row r="139" spans="7:7" x14ac:dyDescent="0.2">
      <c r="G139" s="61"/>
    </row>
    <row r="140" spans="7:7" x14ac:dyDescent="0.2">
      <c r="G140" s="61"/>
    </row>
    <row r="141" spans="7:7" x14ac:dyDescent="0.2">
      <c r="G141" s="61"/>
    </row>
    <row r="142" spans="7:7" x14ac:dyDescent="0.2">
      <c r="G142" s="61"/>
    </row>
    <row r="143" spans="7:7" x14ac:dyDescent="0.2">
      <c r="G143" s="61"/>
    </row>
    <row r="144" spans="7:7" x14ac:dyDescent="0.2">
      <c r="G144" s="61"/>
    </row>
    <row r="145" spans="7:7" x14ac:dyDescent="0.2">
      <c r="G145" s="61"/>
    </row>
    <row r="146" spans="7:7" x14ac:dyDescent="0.2">
      <c r="G146" s="61"/>
    </row>
    <row r="147" spans="7:7" x14ac:dyDescent="0.2">
      <c r="G147" s="61"/>
    </row>
    <row r="148" spans="7:7" x14ac:dyDescent="0.2">
      <c r="G148" s="61"/>
    </row>
    <row r="149" spans="7:7" x14ac:dyDescent="0.2">
      <c r="G149" s="61"/>
    </row>
    <row r="150" spans="7:7" x14ac:dyDescent="0.2">
      <c r="G150" s="61"/>
    </row>
    <row r="151" spans="7:7" x14ac:dyDescent="0.2">
      <c r="G151" s="61"/>
    </row>
    <row r="152" spans="7:7" x14ac:dyDescent="0.2">
      <c r="G152" s="61"/>
    </row>
    <row r="153" spans="7:7" x14ac:dyDescent="0.2">
      <c r="G153" s="61"/>
    </row>
    <row r="154" spans="7:7" x14ac:dyDescent="0.2">
      <c r="G154" s="61"/>
    </row>
    <row r="155" spans="7:7" x14ac:dyDescent="0.2">
      <c r="G155" s="61"/>
    </row>
    <row r="156" spans="7:7" x14ac:dyDescent="0.2">
      <c r="G156" s="61"/>
    </row>
    <row r="157" spans="7:7" x14ac:dyDescent="0.2">
      <c r="G157" s="61"/>
    </row>
    <row r="158" spans="7:7" x14ac:dyDescent="0.2">
      <c r="G158" s="61"/>
    </row>
    <row r="159" spans="7:7" x14ac:dyDescent="0.2">
      <c r="G159" s="61"/>
    </row>
    <row r="160" spans="7:7" x14ac:dyDescent="0.2">
      <c r="G160" s="61"/>
    </row>
    <row r="161" spans="7:7" x14ac:dyDescent="0.2">
      <c r="G161" s="61"/>
    </row>
    <row r="162" spans="7:7" x14ac:dyDescent="0.2">
      <c r="G162" s="61"/>
    </row>
    <row r="163" spans="7:7" x14ac:dyDescent="0.2">
      <c r="G163" s="61"/>
    </row>
    <row r="164" spans="7:7" x14ac:dyDescent="0.2">
      <c r="G164" s="61"/>
    </row>
    <row r="165" spans="7:7" x14ac:dyDescent="0.2">
      <c r="G165" s="61"/>
    </row>
    <row r="166" spans="7:7" x14ac:dyDescent="0.2">
      <c r="G166" s="61"/>
    </row>
    <row r="167" spans="7:7" x14ac:dyDescent="0.2">
      <c r="G167" s="61"/>
    </row>
    <row r="168" spans="7:7" x14ac:dyDescent="0.2">
      <c r="G168" s="61"/>
    </row>
    <row r="169" spans="7:7" x14ac:dyDescent="0.2">
      <c r="G169" s="61"/>
    </row>
    <row r="170" spans="7:7" x14ac:dyDescent="0.2">
      <c r="G170" s="61"/>
    </row>
    <row r="171" spans="7:7" x14ac:dyDescent="0.2">
      <c r="G171" s="61"/>
    </row>
    <row r="172" spans="7:7" x14ac:dyDescent="0.2">
      <c r="G172" s="61"/>
    </row>
    <row r="173" spans="7:7" x14ac:dyDescent="0.2">
      <c r="G173" s="61"/>
    </row>
    <row r="174" spans="7:7" x14ac:dyDescent="0.2">
      <c r="G174" s="61"/>
    </row>
    <row r="175" spans="7:7" x14ac:dyDescent="0.2">
      <c r="G175" s="61"/>
    </row>
    <row r="176" spans="7:7" x14ac:dyDescent="0.2">
      <c r="G176" s="61"/>
    </row>
    <row r="177" spans="7:7" x14ac:dyDescent="0.2">
      <c r="G177" s="61"/>
    </row>
    <row r="178" spans="7:7" x14ac:dyDescent="0.2">
      <c r="G178" s="61"/>
    </row>
    <row r="179" spans="7:7" x14ac:dyDescent="0.2">
      <c r="G179" s="61"/>
    </row>
    <row r="180" spans="7:7" x14ac:dyDescent="0.2">
      <c r="G180" s="61"/>
    </row>
    <row r="181" spans="7:7" x14ac:dyDescent="0.2">
      <c r="G181" s="61"/>
    </row>
    <row r="182" spans="7:7" x14ac:dyDescent="0.2">
      <c r="G182" s="61"/>
    </row>
    <row r="183" spans="7:7" x14ac:dyDescent="0.2">
      <c r="G183" s="61"/>
    </row>
    <row r="184" spans="7:7" x14ac:dyDescent="0.2">
      <c r="G184" s="61"/>
    </row>
    <row r="185" spans="7:7" x14ac:dyDescent="0.2">
      <c r="G185" s="61"/>
    </row>
    <row r="186" spans="7:7" x14ac:dyDescent="0.2">
      <c r="G186" s="61"/>
    </row>
    <row r="187" spans="7:7" x14ac:dyDescent="0.2">
      <c r="G187" s="61"/>
    </row>
    <row r="188" spans="7:7" x14ac:dyDescent="0.2">
      <c r="G188" s="61"/>
    </row>
    <row r="189" spans="7:7" x14ac:dyDescent="0.2">
      <c r="G189" s="61"/>
    </row>
    <row r="190" spans="7:7" x14ac:dyDescent="0.2">
      <c r="G190" s="61"/>
    </row>
    <row r="191" spans="7:7" x14ac:dyDescent="0.2">
      <c r="G191" s="61"/>
    </row>
    <row r="192" spans="7:7" x14ac:dyDescent="0.2">
      <c r="G192" s="61"/>
    </row>
    <row r="193" spans="7:7" x14ac:dyDescent="0.2">
      <c r="G193" s="61"/>
    </row>
    <row r="194" spans="7:7" x14ac:dyDescent="0.2">
      <c r="G194" s="61"/>
    </row>
    <row r="195" spans="7:7" x14ac:dyDescent="0.2">
      <c r="G195" s="61"/>
    </row>
    <row r="196" spans="7:7" x14ac:dyDescent="0.2">
      <c r="G196" s="61"/>
    </row>
    <row r="197" spans="7:7" x14ac:dyDescent="0.2">
      <c r="G197" s="61"/>
    </row>
    <row r="198" spans="7:7" x14ac:dyDescent="0.2">
      <c r="G198" s="61"/>
    </row>
    <row r="199" spans="7:7" x14ac:dyDescent="0.2">
      <c r="G199" s="61"/>
    </row>
    <row r="200" spans="7:7" x14ac:dyDescent="0.2">
      <c r="G200" s="61"/>
    </row>
    <row r="201" spans="7:7" x14ac:dyDescent="0.2">
      <c r="G201" s="61"/>
    </row>
    <row r="202" spans="7:7" x14ac:dyDescent="0.2">
      <c r="G202" s="61"/>
    </row>
    <row r="203" spans="7:7" x14ac:dyDescent="0.2">
      <c r="G203" s="61"/>
    </row>
    <row r="204" spans="7:7" x14ac:dyDescent="0.2">
      <c r="G204" s="61"/>
    </row>
    <row r="205" spans="7:7" x14ac:dyDescent="0.2">
      <c r="G205" s="61"/>
    </row>
    <row r="206" spans="7:7" x14ac:dyDescent="0.2">
      <c r="G206" s="61"/>
    </row>
    <row r="207" spans="7:7" x14ac:dyDescent="0.2">
      <c r="G207" s="61"/>
    </row>
    <row r="208" spans="7:7" x14ac:dyDescent="0.2">
      <c r="G208" s="61"/>
    </row>
    <row r="209" spans="7:7" x14ac:dyDescent="0.2">
      <c r="G209" s="61"/>
    </row>
    <row r="210" spans="7:7" x14ac:dyDescent="0.2">
      <c r="G210" s="61"/>
    </row>
    <row r="211" spans="7:7" x14ac:dyDescent="0.2">
      <c r="G211" s="61"/>
    </row>
    <row r="212" spans="7:7" x14ac:dyDescent="0.2">
      <c r="G212" s="61"/>
    </row>
    <row r="213" spans="7:7" x14ac:dyDescent="0.2">
      <c r="G213" s="61"/>
    </row>
    <row r="214" spans="7:7" x14ac:dyDescent="0.2">
      <c r="G214" s="61"/>
    </row>
    <row r="215" spans="7:7" x14ac:dyDescent="0.2">
      <c r="G215" s="61"/>
    </row>
    <row r="216" spans="7:7" x14ac:dyDescent="0.2">
      <c r="G216" s="61"/>
    </row>
    <row r="217" spans="7:7" x14ac:dyDescent="0.2">
      <c r="G217" s="61"/>
    </row>
    <row r="218" spans="7:7" x14ac:dyDescent="0.2">
      <c r="G218" s="61"/>
    </row>
    <row r="219" spans="7:7" x14ac:dyDescent="0.2">
      <c r="G219" s="61"/>
    </row>
    <row r="220" spans="7:7" x14ac:dyDescent="0.2">
      <c r="G220" s="61"/>
    </row>
    <row r="221" spans="7:7" x14ac:dyDescent="0.2">
      <c r="G221" s="61"/>
    </row>
    <row r="222" spans="7:7" x14ac:dyDescent="0.2">
      <c r="G222" s="61"/>
    </row>
    <row r="223" spans="7:7" x14ac:dyDescent="0.2">
      <c r="G223" s="61"/>
    </row>
    <row r="224" spans="7:7" x14ac:dyDescent="0.2">
      <c r="G224" s="61"/>
    </row>
    <row r="225" spans="7:7" x14ac:dyDescent="0.2">
      <c r="G225" s="61"/>
    </row>
    <row r="226" spans="7:7" x14ac:dyDescent="0.2">
      <c r="G226" s="61"/>
    </row>
    <row r="227" spans="7:7" x14ac:dyDescent="0.2">
      <c r="G227" s="61"/>
    </row>
    <row r="228" spans="7:7" x14ac:dyDescent="0.2">
      <c r="G228" s="61"/>
    </row>
    <row r="229" spans="7:7" x14ac:dyDescent="0.2">
      <c r="G229" s="61"/>
    </row>
    <row r="230" spans="7:7" x14ac:dyDescent="0.2">
      <c r="G230" s="61"/>
    </row>
    <row r="231" spans="7:7" x14ac:dyDescent="0.2">
      <c r="G231" s="61"/>
    </row>
    <row r="232" spans="7:7" x14ac:dyDescent="0.2">
      <c r="G232" s="61"/>
    </row>
    <row r="233" spans="7:7" x14ac:dyDescent="0.2">
      <c r="G233" s="61"/>
    </row>
    <row r="234" spans="7:7" x14ac:dyDescent="0.2">
      <c r="G234" s="61"/>
    </row>
    <row r="235" spans="7:7" x14ac:dyDescent="0.2">
      <c r="G235" s="61"/>
    </row>
    <row r="236" spans="7:7" x14ac:dyDescent="0.2">
      <c r="G236" s="61"/>
    </row>
    <row r="237" spans="7:7" x14ac:dyDescent="0.2">
      <c r="G237" s="61"/>
    </row>
    <row r="238" spans="7:7" x14ac:dyDescent="0.2">
      <c r="G238" s="61"/>
    </row>
    <row r="239" spans="7:7" x14ac:dyDescent="0.2">
      <c r="G239" s="61"/>
    </row>
    <row r="240" spans="7:7" x14ac:dyDescent="0.2">
      <c r="G240" s="61"/>
    </row>
    <row r="241" spans="7:7" x14ac:dyDescent="0.2">
      <c r="G241" s="61"/>
    </row>
    <row r="242" spans="7:7" x14ac:dyDescent="0.2">
      <c r="G242" s="61"/>
    </row>
    <row r="243" spans="7:7" x14ac:dyDescent="0.2">
      <c r="G243" s="61"/>
    </row>
    <row r="244" spans="7:7" x14ac:dyDescent="0.2">
      <c r="G244" s="61"/>
    </row>
    <row r="245" spans="7:7" x14ac:dyDescent="0.2">
      <c r="G245" s="61"/>
    </row>
    <row r="246" spans="7:7" x14ac:dyDescent="0.2">
      <c r="G246" s="61"/>
    </row>
    <row r="247" spans="7:7" x14ac:dyDescent="0.2">
      <c r="G247" s="61"/>
    </row>
    <row r="248" spans="7:7" x14ac:dyDescent="0.2">
      <c r="G248" s="61"/>
    </row>
    <row r="249" spans="7:7" x14ac:dyDescent="0.2">
      <c r="G249" s="61"/>
    </row>
    <row r="250" spans="7:7" x14ac:dyDescent="0.2">
      <c r="G250" s="61"/>
    </row>
    <row r="251" spans="7:7" x14ac:dyDescent="0.2">
      <c r="G251" s="61"/>
    </row>
    <row r="252" spans="7:7" x14ac:dyDescent="0.2">
      <c r="G252" s="61"/>
    </row>
    <row r="253" spans="7:7" x14ac:dyDescent="0.2">
      <c r="G253" s="61"/>
    </row>
    <row r="254" spans="7:7" x14ac:dyDescent="0.2">
      <c r="G254" s="61"/>
    </row>
    <row r="255" spans="7:7" x14ac:dyDescent="0.2">
      <c r="G255" s="61"/>
    </row>
    <row r="256" spans="7:7" x14ac:dyDescent="0.2">
      <c r="G256" s="61"/>
    </row>
    <row r="257" spans="7:7" x14ac:dyDescent="0.2">
      <c r="G257" s="61"/>
    </row>
    <row r="258" spans="7:7" x14ac:dyDescent="0.2">
      <c r="G258" s="61"/>
    </row>
    <row r="259" spans="7:7" x14ac:dyDescent="0.2">
      <c r="G259" s="61"/>
    </row>
    <row r="260" spans="7:7" x14ac:dyDescent="0.2">
      <c r="G260" s="61"/>
    </row>
    <row r="261" spans="7:7" x14ac:dyDescent="0.2">
      <c r="G261" s="61"/>
    </row>
    <row r="262" spans="7:7" x14ac:dyDescent="0.2">
      <c r="G262" s="61"/>
    </row>
    <row r="263" spans="7:7" x14ac:dyDescent="0.2">
      <c r="G263" s="61"/>
    </row>
    <row r="264" spans="7:7" x14ac:dyDescent="0.2">
      <c r="G264" s="61"/>
    </row>
    <row r="265" spans="7:7" x14ac:dyDescent="0.2">
      <c r="G265" s="61"/>
    </row>
    <row r="266" spans="7:7" x14ac:dyDescent="0.2">
      <c r="G266" s="61"/>
    </row>
    <row r="267" spans="7:7" x14ac:dyDescent="0.2">
      <c r="G267" s="61"/>
    </row>
    <row r="268" spans="7:7" x14ac:dyDescent="0.2">
      <c r="G268" s="61"/>
    </row>
  </sheetData>
  <sheetProtection password="E7F0" sheet="1" objects="1" scenarios="1"/>
  <customSheetViews>
    <customSheetView guid="{454ECA60-FBCC-11D6-AB9B-00C04F5868C8}" scale="75" showPageBreaks="1" fitToPage="1" printArea="1" showRuler="0">
      <selection activeCell="F14" sqref="F14"/>
      <pageMargins left="0.2" right="0.2" top="0.75" bottom="0.25" header="0" footer="0.25"/>
      <printOptions horizontalCentered="1"/>
      <pageSetup orientation="portrait" horizontalDpi="300" verticalDpi="300" r:id="rId1"/>
      <headerFooter alignWithMargins="0">
        <oddHeader>&amp;L&amp;8Texas Department
of Human Services&amp;R&amp;8Form 1546, page 3
January 2002</oddHeader>
      </headerFooter>
    </customSheetView>
    <customSheetView guid="{346F6C38-467E-4277-A934-45FBB069E11D}" scale="130" fitToPage="1" showRuler="0">
      <selection activeCell="B2" sqref="B2:F2"/>
      <pageMargins left="0.2" right="0.2" top="0.75" bottom="0.25" header="0" footer="0.25"/>
      <printOptions horizontalCentered="1"/>
      <pageSetup orientation="portrait" horizontalDpi="300" verticalDpi="300" r:id="rId2"/>
      <headerFooter alignWithMargins="0">
        <oddHeader>&amp;L&amp;8Texas Department
of Human Services&amp;R&amp;8Form 1546, page 3
January 2002</oddHeader>
      </headerFooter>
    </customSheetView>
  </customSheetViews>
  <mergeCells count="82">
    <mergeCell ref="D104:F104"/>
    <mergeCell ref="D105:F105"/>
    <mergeCell ref="D101:F101"/>
    <mergeCell ref="D102:F102"/>
    <mergeCell ref="D14:F14"/>
    <mergeCell ref="D30:F30"/>
    <mergeCell ref="D31:F31"/>
    <mergeCell ref="D32:F32"/>
    <mergeCell ref="D33:F33"/>
    <mergeCell ref="D28:F28"/>
    <mergeCell ref="D39:F39"/>
    <mergeCell ref="D40:F40"/>
    <mergeCell ref="D42:F42"/>
    <mergeCell ref="D43:F43"/>
    <mergeCell ref="D34:F34"/>
    <mergeCell ref="D36:F36"/>
    <mergeCell ref="D13:F13"/>
    <mergeCell ref="D27:F27"/>
    <mergeCell ref="D26:F26"/>
    <mergeCell ref="D25:F25"/>
    <mergeCell ref="D18:F18"/>
    <mergeCell ref="D20:F20"/>
    <mergeCell ref="D19:F19"/>
    <mergeCell ref="D22:F22"/>
    <mergeCell ref="D15:F15"/>
    <mergeCell ref="D16:F16"/>
    <mergeCell ref="D24:F24"/>
    <mergeCell ref="D21:F21"/>
    <mergeCell ref="B2:G2"/>
    <mergeCell ref="E6:F6"/>
    <mergeCell ref="B3:F3"/>
    <mergeCell ref="E5:F5"/>
    <mergeCell ref="D12:F12"/>
    <mergeCell ref="D37:F37"/>
    <mergeCell ref="D38:F38"/>
    <mergeCell ref="D72:F72"/>
    <mergeCell ref="D73:F73"/>
    <mergeCell ref="D74:F74"/>
    <mergeCell ref="D68:F68"/>
    <mergeCell ref="D69:F69"/>
    <mergeCell ref="D70:F70"/>
    <mergeCell ref="D63:F63"/>
    <mergeCell ref="D64:F64"/>
    <mergeCell ref="D66:F66"/>
    <mergeCell ref="D67:F67"/>
    <mergeCell ref="D75:F75"/>
    <mergeCell ref="D46:F46"/>
    <mergeCell ref="D48:F48"/>
    <mergeCell ref="D98:F98"/>
    <mergeCell ref="D99:F99"/>
    <mergeCell ref="D85:F85"/>
    <mergeCell ref="D84:F84"/>
    <mergeCell ref="D78:F78"/>
    <mergeCell ref="D81:F81"/>
    <mergeCell ref="D80:F80"/>
    <mergeCell ref="D79:F79"/>
    <mergeCell ref="D96:F96"/>
    <mergeCell ref="D95:F95"/>
    <mergeCell ref="D94:F94"/>
    <mergeCell ref="D93:F93"/>
    <mergeCell ref="D83:F83"/>
    <mergeCell ref="K10:T11"/>
    <mergeCell ref="D76:F76"/>
    <mergeCell ref="D49:F49"/>
    <mergeCell ref="D50:F50"/>
    <mergeCell ref="D51:F51"/>
    <mergeCell ref="D52:F52"/>
    <mergeCell ref="D44:F44"/>
    <mergeCell ref="D45:F45"/>
    <mergeCell ref="D58:F58"/>
    <mergeCell ref="D60:F60"/>
    <mergeCell ref="D61:F61"/>
    <mergeCell ref="D62:F62"/>
    <mergeCell ref="D54:F54"/>
    <mergeCell ref="D55:F55"/>
    <mergeCell ref="D56:F56"/>
    <mergeCell ref="D57:F57"/>
    <mergeCell ref="D91:F91"/>
    <mergeCell ref="D90:F90"/>
    <mergeCell ref="D89:F89"/>
    <mergeCell ref="D88:F88"/>
    <mergeCell ref="D86:F86"/>
  </mergeCells>
  <phoneticPr fontId="0" type="noConversion"/>
  <dataValidations xWindow="531" yWindow="143" count="10">
    <dataValidation type="custom" allowBlank="1" showInputMessage="1" showErrorMessage="1" error="There is a maximum of $1000.00 allowed for Dental services annually in TxHmL." promptTitle="Authorized Dollars" prompt="Enter the dollars authorized for this service.  If zero, leave blank." sqref="D99:F99">
      <formula1>IF(D99&lt;1000.01,D99,FALSE)</formula1>
    </dataValidation>
    <dataValidation type="custom" allowBlank="1" showInputMessage="1" showErrorMessage="1" error="There is a maximum of $7,500.00 allowed for Minor Home Modifications in TxHmL." promptTitle="Authorized Dollars" prompt="Enter the dollars authorized for this service.  If zero, leave blank." sqref="D105:F105">
      <formula1>IF(D105&lt;7500.01,D105,FALSE)</formula1>
    </dataValidation>
    <dataValidation type="custom" allowBlank="1" showInputMessage="1" showErrorMessage="1" error="There is a maximum of $6,000.00 allowed for Adaptive Aids in TxHmL." promptTitle="Authorized Dollars" prompt="Enter the dollars authorized for this service.  If zero, leave blank." sqref="D102:F102">
      <formula1>IF(D102&lt;6000.01,D102,FALSE)</formula1>
    </dataValidation>
    <dataValidation type="custom" allowBlank="1" showInputMessage="1" showErrorMessage="1" errorTitle="RN Hours must be entered!" error="There are no authorized RN hours entered.  Please enter the authorized RN hours before entering the authorized LVN hours." promptTitle="Authorized Nursing LVN Hours" prompt="Enter the number of hours of Nursing LVN the Consumer is authorized. If the Consumer is not authorized Nursing LVN, leave this blank. LVN Hours are not allowed without authorized RN hours" sqref="D84">
      <formula1>IF(I79&gt;0,D84,FALSE)</formula1>
    </dataValidation>
    <dataValidation allowBlank="1" showInputMessage="1" showErrorMessage="1" promptTitle="Authorized Units" prompt="Enter the number of authorized units for this service.  If zero, leave blank." sqref="D73:F73 D67:F67 D61:F61 D55:F55 D31:F31 D25:F25 D19:F19 D13:F13 D49:F49 D43:F43 D37:F37"/>
    <dataValidation allowBlank="1" showErrorMessage="1" promptTitle="Supported Home Living Units" prompt="Enter the number of hours of Supported Home Living the Consumer is authorized each week. If the Consumer is not authorized Supported Home Living, leave this blank." sqref="D74:F74 D68:F68 D62:F62 D56:F56 D14:F14 D20:F20 D38:F38 D32:F32 D26:F26 D44:F44 D50:F50"/>
    <dataValidation allowBlank="1" showInputMessage="1" showErrorMessage="1" promptTitle="Authorized Nursing RN Hours" prompt="Enter the number of hours of Nursing RN the Consumer is authorized.  If the Consumer is not authorized Nursing RN, leave this blank." sqref="D79"/>
    <dataValidation allowBlank="1" showInputMessage="1" showErrorMessage="1" promptTitle="Authorized Spec Nursing LVN Hrs" prompt="Enter the number of hours of Specialized Nursing LVN the Consumer is authorized. If the Consumer is not authorized Specialized Nursing LVN, leave this blank." sqref="D94"/>
    <dataValidation allowBlank="1" showInputMessage="1" showErrorMessage="1" promptTitle="Authorized Spec Nursing RN Hours" prompt="Enter the number of hours of Specialized Nursing RN the Consumer is authorized. If the Consumer is not authorized Specialized Nursing RN, leave this blank." sqref="D89"/>
    <dataValidation allowBlank="1" showErrorMessage="1" promptTitle="Information Only Page" prompt="This page is for Information only.  It is not a part of the Client's budget." sqref="B2:G2"/>
  </dataValidations>
  <printOptions horizontalCentered="1"/>
  <pageMargins left="0.2" right="0.2" top="0.49" bottom="0.5" header="0" footer="0"/>
  <pageSetup scale="44" orientation="portrait" horizontalDpi="300" verticalDpi="300" r:id="rId3"/>
  <headerFooter alignWithMargins="0">
    <oddHeader>&amp;L&amp;8Texas Department of 
Aging and Disability Services&amp;R&amp;8TxHmL CDS Budget
June 2010</oddHeader>
    <oddFooter>&amp;R&amp;8Date and Time Created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A4" zoomScale="85" zoomScaleNormal="75" zoomScaleSheetLayoutView="75" workbookViewId="0">
      <selection activeCell="Q41" sqref="Q41"/>
    </sheetView>
  </sheetViews>
  <sheetFormatPr defaultRowHeight="12.75" x14ac:dyDescent="0.2"/>
  <cols>
    <col min="1" max="1" width="4.42578125" style="1" customWidth="1"/>
    <col min="2" max="2" width="4.140625" style="25" customWidth="1"/>
    <col min="3" max="3" width="46.5703125" style="1" customWidth="1"/>
    <col min="4" max="4" width="16.42578125" style="1" customWidth="1"/>
    <col min="5" max="6" width="4.28515625" style="1" customWidth="1"/>
    <col min="7" max="7" width="16.42578125" style="1" customWidth="1"/>
    <col min="8" max="8" width="4.28515625" style="1" customWidth="1"/>
    <col min="9" max="9" width="25" style="1" hidden="1" customWidth="1"/>
    <col min="10" max="10" width="15.28515625" style="1" hidden="1" customWidth="1"/>
    <col min="11" max="12" width="9.140625" style="1"/>
    <col min="13" max="13" width="9.140625" style="1" hidden="1" customWidth="1"/>
    <col min="14" max="14" width="6.140625" style="1" hidden="1" customWidth="1"/>
    <col min="15" max="16384" width="9.140625" style="1"/>
  </cols>
  <sheetData>
    <row r="1" spans="1:14" ht="12.75" customHeight="1" x14ac:dyDescent="0.2">
      <c r="I1" s="10"/>
    </row>
    <row r="2" spans="1:14" ht="39.75" customHeight="1" x14ac:dyDescent="0.3">
      <c r="B2" s="317" t="s">
        <v>193</v>
      </c>
      <c r="C2" s="317"/>
      <c r="D2" s="317"/>
      <c r="E2" s="317"/>
      <c r="F2" s="317"/>
      <c r="G2" s="317"/>
      <c r="H2" s="2"/>
      <c r="I2" s="2"/>
    </row>
    <row r="3" spans="1:14" ht="15.75" x14ac:dyDescent="0.25">
      <c r="B3" s="318" t="s">
        <v>148</v>
      </c>
      <c r="C3" s="318"/>
      <c r="D3" s="318"/>
      <c r="E3" s="318"/>
      <c r="F3" s="318"/>
      <c r="G3" s="318"/>
      <c r="H3" s="19"/>
      <c r="I3" s="19"/>
    </row>
    <row r="4" spans="1:14" ht="15" x14ac:dyDescent="0.25">
      <c r="C4" s="19"/>
      <c r="D4" s="19"/>
      <c r="E4" s="19"/>
      <c r="F4" s="19"/>
      <c r="G4" s="19"/>
      <c r="H4" s="19"/>
      <c r="I4" s="19"/>
    </row>
    <row r="5" spans="1:14" ht="15.75" thickBot="1" x14ac:dyDescent="0.3">
      <c r="B5" s="319">
        <f>Consumer_Name</f>
        <v>0</v>
      </c>
      <c r="C5" s="319"/>
      <c r="D5" s="19"/>
      <c r="E5" s="319">
        <f>Medicaid_Number</f>
        <v>0</v>
      </c>
      <c r="F5" s="319"/>
      <c r="G5" s="319"/>
      <c r="H5" s="26"/>
    </row>
    <row r="6" spans="1:14" ht="14.25" x14ac:dyDescent="0.2">
      <c r="C6" s="21" t="s">
        <v>37</v>
      </c>
      <c r="D6" s="21"/>
      <c r="E6" s="412" t="s">
        <v>38</v>
      </c>
      <c r="F6" s="412"/>
      <c r="G6" s="412"/>
      <c r="H6" s="28"/>
      <c r="I6" s="21"/>
    </row>
    <row r="7" spans="1:14" ht="14.25" x14ac:dyDescent="0.2">
      <c r="A7" s="21"/>
      <c r="B7" s="21"/>
      <c r="C7" s="21"/>
      <c r="D7" s="21"/>
      <c r="E7" s="28"/>
      <c r="F7" s="28"/>
      <c r="G7" s="28"/>
      <c r="H7" s="28"/>
      <c r="I7" s="21"/>
    </row>
    <row r="8" spans="1:14" ht="15.75" thickBot="1" x14ac:dyDescent="0.3">
      <c r="C8" s="22" t="s">
        <v>6</v>
      </c>
      <c r="D8" s="35">
        <f>From</f>
        <v>0</v>
      </c>
      <c r="E8" s="21" t="s">
        <v>7</v>
      </c>
      <c r="F8" s="382">
        <f>To</f>
        <v>0</v>
      </c>
      <c r="G8" s="382"/>
      <c r="H8" s="28"/>
      <c r="I8" s="21"/>
    </row>
    <row r="9" spans="1:14" ht="15.75" thickBot="1" x14ac:dyDescent="0.3">
      <c r="A9" s="22"/>
      <c r="B9" s="23"/>
      <c r="C9" s="21"/>
      <c r="D9" s="23"/>
      <c r="E9" s="19"/>
      <c r="F9" s="19"/>
      <c r="G9" s="19"/>
      <c r="H9" s="19"/>
      <c r="I9" s="19"/>
    </row>
    <row r="10" spans="1:14" ht="32.25" customHeight="1" thickBot="1" x14ac:dyDescent="0.3">
      <c r="B10" s="308" t="s">
        <v>230</v>
      </c>
      <c r="C10" s="309"/>
      <c r="D10" s="309"/>
      <c r="E10" s="309"/>
      <c r="F10" s="368"/>
      <c r="G10" s="43">
        <f>Total_Budget</f>
        <v>0</v>
      </c>
      <c r="H10" s="29"/>
      <c r="M10" s="1" t="s">
        <v>232</v>
      </c>
      <c r="N10" s="254">
        <f>Total_Budget-Dental__AA__MHM</f>
        <v>0</v>
      </c>
    </row>
    <row r="11" spans="1:14" ht="16.5" thickBot="1" x14ac:dyDescent="0.3">
      <c r="B11" s="88"/>
      <c r="C11" s="88"/>
      <c r="D11" s="88"/>
      <c r="E11" s="88"/>
      <c r="F11" s="88"/>
      <c r="G11" s="114"/>
      <c r="H11" s="29"/>
    </row>
    <row r="12" spans="1:14" ht="57" customHeight="1" thickBot="1" x14ac:dyDescent="0.25">
      <c r="B12" s="404" t="s">
        <v>234</v>
      </c>
      <c r="C12" s="405"/>
      <c r="D12" s="405"/>
      <c r="E12" s="405"/>
      <c r="F12" s="406"/>
      <c r="G12" s="170">
        <f>ESS_Budget*0.1</f>
        <v>0</v>
      </c>
      <c r="H12" s="29"/>
    </row>
    <row r="13" spans="1:14" ht="8.25" customHeight="1" thickBot="1" x14ac:dyDescent="0.25">
      <c r="B13" s="120"/>
      <c r="C13" s="4"/>
      <c r="D13" s="4"/>
      <c r="E13" s="4"/>
      <c r="F13" s="4"/>
      <c r="G13" s="135"/>
      <c r="H13" s="29"/>
    </row>
    <row r="14" spans="1:14" ht="15.75" thickBot="1" x14ac:dyDescent="0.25">
      <c r="B14" s="379" t="s">
        <v>116</v>
      </c>
      <c r="C14" s="380"/>
      <c r="D14" s="380"/>
      <c r="E14" s="380"/>
      <c r="F14" s="380"/>
      <c r="G14" s="381"/>
      <c r="H14" s="30"/>
    </row>
    <row r="15" spans="1:14" ht="12.75" customHeight="1" x14ac:dyDescent="0.2">
      <c r="B15" s="375" t="s">
        <v>117</v>
      </c>
      <c r="C15" s="376"/>
      <c r="D15" s="376"/>
      <c r="E15" s="376"/>
      <c r="F15" s="376"/>
      <c r="G15" s="135">
        <f>IF(ESS_Amount&lt;600,ESS_Amount,600)</f>
        <v>0</v>
      </c>
      <c r="H15" s="4"/>
    </row>
    <row r="16" spans="1:14" ht="13.5" thickBot="1" x14ac:dyDescent="0.25">
      <c r="B16" s="377"/>
      <c r="C16" s="378"/>
      <c r="D16" s="50" t="s">
        <v>19</v>
      </c>
      <c r="E16" s="401" t="s">
        <v>20</v>
      </c>
      <c r="F16" s="402"/>
      <c r="G16" s="403"/>
      <c r="H16" s="4"/>
    </row>
    <row r="17" spans="2:14" x14ac:dyDescent="0.2">
      <c r="B17" s="366" t="s">
        <v>2</v>
      </c>
      <c r="C17" s="367"/>
      <c r="D17" s="48"/>
      <c r="E17" s="372"/>
      <c r="F17" s="373"/>
      <c r="G17" s="374"/>
      <c r="H17" s="4"/>
    </row>
    <row r="18" spans="2:14" x14ac:dyDescent="0.2">
      <c r="B18" s="366" t="s">
        <v>17</v>
      </c>
      <c r="C18" s="367"/>
      <c r="D18" s="49"/>
      <c r="E18" s="369"/>
      <c r="F18" s="370"/>
      <c r="G18" s="371"/>
      <c r="H18" s="4"/>
      <c r="I18" s="61"/>
    </row>
    <row r="19" spans="2:14" x14ac:dyDescent="0.2">
      <c r="B19" s="366" t="s">
        <v>18</v>
      </c>
      <c r="C19" s="367"/>
      <c r="D19" s="49"/>
      <c r="E19" s="369"/>
      <c r="F19" s="370"/>
      <c r="G19" s="371"/>
      <c r="H19" s="4"/>
      <c r="I19" s="136"/>
    </row>
    <row r="20" spans="2:14" ht="13.5" thickBot="1" x14ac:dyDescent="0.25">
      <c r="B20" s="366" t="s">
        <v>3</v>
      </c>
      <c r="C20" s="367"/>
      <c r="D20" s="49"/>
      <c r="E20" s="369"/>
      <c r="F20" s="370"/>
      <c r="G20" s="371"/>
      <c r="H20" s="4"/>
    </row>
    <row r="21" spans="2:14" x14ac:dyDescent="0.2">
      <c r="B21" s="407" t="s">
        <v>5</v>
      </c>
      <c r="C21" s="408"/>
      <c r="D21" s="115"/>
      <c r="E21" s="369"/>
      <c r="F21" s="370"/>
      <c r="G21" s="371"/>
      <c r="H21" s="4"/>
    </row>
    <row r="22" spans="2:14" ht="13.5" thickBot="1" x14ac:dyDescent="0.25">
      <c r="B22" s="395" t="s">
        <v>5</v>
      </c>
      <c r="C22" s="396"/>
      <c r="D22" s="116"/>
      <c r="E22" s="420"/>
      <c r="F22" s="421"/>
      <c r="G22" s="422"/>
      <c r="H22" s="4"/>
    </row>
    <row r="23" spans="2:14" ht="15.75" thickBot="1" x14ac:dyDescent="0.3">
      <c r="B23" s="423" t="s">
        <v>118</v>
      </c>
      <c r="C23" s="424"/>
      <c r="D23" s="424"/>
      <c r="E23" s="424"/>
      <c r="F23" s="425"/>
      <c r="G23" s="172">
        <f>SUM(D17:D22)</f>
        <v>0</v>
      </c>
      <c r="H23" s="29"/>
    </row>
    <row r="24" spans="2:14" ht="7.5" customHeight="1" thickBot="1" x14ac:dyDescent="0.3">
      <c r="B24" s="173"/>
      <c r="C24" s="88"/>
      <c r="D24" s="88"/>
      <c r="E24" s="88"/>
      <c r="F24" s="88"/>
      <c r="G24" s="174"/>
      <c r="H24" s="29"/>
    </row>
    <row r="25" spans="2:14" ht="15.75" customHeight="1" thickBot="1" x14ac:dyDescent="0.25">
      <c r="B25" s="389" t="s">
        <v>121</v>
      </c>
      <c r="C25" s="390"/>
      <c r="D25" s="390"/>
      <c r="E25" s="390"/>
      <c r="F25" s="390"/>
      <c r="G25" s="391"/>
      <c r="H25" s="29"/>
    </row>
    <row r="26" spans="2:14" ht="15.75" x14ac:dyDescent="0.25">
      <c r="B26" s="397" t="s">
        <v>123</v>
      </c>
      <c r="C26" s="398"/>
      <c r="D26" s="398"/>
      <c r="E26" s="398"/>
      <c r="F26" s="398"/>
      <c r="G26" s="171">
        <f>ESS_Amount-ESS_Purchases</f>
        <v>0</v>
      </c>
      <c r="H26" s="138"/>
      <c r="I26" s="1" t="s">
        <v>119</v>
      </c>
      <c r="J26" s="232">
        <v>15.37</v>
      </c>
      <c r="K26" s="61"/>
    </row>
    <row r="27" spans="2:14" ht="16.5" thickBot="1" x14ac:dyDescent="0.3">
      <c r="B27" s="399" t="s">
        <v>120</v>
      </c>
      <c r="C27" s="400"/>
      <c r="D27" s="400"/>
      <c r="E27" s="400"/>
      <c r="F27" s="400"/>
      <c r="G27" s="175">
        <f>Avail_for_SC/J26</f>
        <v>0</v>
      </c>
      <c r="H27" s="138"/>
      <c r="K27" s="76"/>
    </row>
    <row r="28" spans="2:14" ht="16.5" thickBot="1" x14ac:dyDescent="0.3">
      <c r="B28" s="409" t="s">
        <v>124</v>
      </c>
      <c r="C28" s="410"/>
      <c r="D28" s="410"/>
      <c r="E28" s="410"/>
      <c r="F28" s="411"/>
      <c r="G28" s="177"/>
      <c r="H28" s="138"/>
      <c r="I28" s="1" t="s">
        <v>126</v>
      </c>
      <c r="J28" s="76">
        <f>G28*J26</f>
        <v>0</v>
      </c>
    </row>
    <row r="29" spans="2:14" ht="15.75" thickBot="1" x14ac:dyDescent="0.3">
      <c r="B29" s="383" t="s">
        <v>125</v>
      </c>
      <c r="C29" s="384"/>
      <c r="D29" s="384"/>
      <c r="E29" s="384"/>
      <c r="F29" s="385"/>
      <c r="G29" s="176">
        <f>IF((Auth_SC_Amount&gt;Avail_for_SC), Avail_for_SC, Auth_SC_Amount)</f>
        <v>0</v>
      </c>
      <c r="H29" s="138"/>
    </row>
    <row r="30" spans="2:14" ht="18.75" customHeight="1" thickBot="1" x14ac:dyDescent="0.25">
      <c r="B30" s="392" t="s">
        <v>221</v>
      </c>
      <c r="C30" s="393"/>
      <c r="D30" s="393"/>
      <c r="E30" s="393"/>
      <c r="F30" s="394"/>
      <c r="G30" s="178">
        <f>IF((Auth_SC_Amount-Avail_for_SC)&gt;0,(Auth_SC_Amount-Avail_for_SC),0)</f>
        <v>0</v>
      </c>
      <c r="H30" s="138"/>
      <c r="I30" s="364"/>
      <c r="J30" s="364"/>
      <c r="K30" s="364"/>
      <c r="L30" s="364"/>
      <c r="N30" s="365"/>
    </row>
    <row r="31" spans="2:14" ht="18.75" customHeight="1" thickBot="1" x14ac:dyDescent="0.25">
      <c r="B31" s="392" t="s">
        <v>149</v>
      </c>
      <c r="C31" s="393"/>
      <c r="D31" s="393"/>
      <c r="E31" s="393"/>
      <c r="F31" s="394"/>
      <c r="G31" s="178">
        <f>SC_funded_by_ESS+SC_funded_outside_ESS</f>
        <v>0</v>
      </c>
      <c r="H31" s="138"/>
      <c r="I31" s="364"/>
      <c r="J31" s="364"/>
      <c r="K31" s="364"/>
      <c r="L31" s="364"/>
      <c r="N31" s="365"/>
    </row>
    <row r="32" spans="2:14" s="233" customFormat="1" ht="15.75" thickBot="1" x14ac:dyDescent="0.3">
      <c r="B32" s="386" t="s">
        <v>222</v>
      </c>
      <c r="C32" s="387"/>
      <c r="D32" s="387"/>
      <c r="E32" s="387"/>
      <c r="F32" s="388"/>
      <c r="G32" s="251">
        <f>Total_SC_Costs+ESS_Purchases</f>
        <v>0</v>
      </c>
      <c r="H32" s="250"/>
      <c r="I32" s="364"/>
      <c r="J32" s="364"/>
      <c r="K32" s="364"/>
      <c r="L32" s="364"/>
      <c r="N32" s="365"/>
    </row>
    <row r="33" spans="2:8" ht="16.5" thickBot="1" x14ac:dyDescent="0.3">
      <c r="B33" s="88"/>
      <c r="C33" s="88"/>
      <c r="D33" s="88"/>
      <c r="E33" s="88"/>
      <c r="F33" s="88"/>
      <c r="G33" s="114"/>
      <c r="H33" s="29"/>
    </row>
    <row r="34" spans="2:8" ht="19.5" thickBot="1" x14ac:dyDescent="0.35">
      <c r="B34" s="428" t="s">
        <v>89</v>
      </c>
      <c r="C34" s="429"/>
      <c r="D34" s="429"/>
      <c r="E34" s="429"/>
      <c r="F34" s="429"/>
      <c r="G34" s="430"/>
      <c r="H34" s="31"/>
    </row>
    <row r="35" spans="2:8" ht="13.5" customHeight="1" x14ac:dyDescent="0.2">
      <c r="B35" s="432" t="s">
        <v>88</v>
      </c>
      <c r="C35" s="433"/>
      <c r="D35" s="433"/>
      <c r="E35" s="433"/>
      <c r="F35" s="433"/>
      <c r="G35" s="77">
        <f>Total_Budget-Total_ESS_Costs</f>
        <v>0</v>
      </c>
      <c r="H35" s="31"/>
    </row>
    <row r="36" spans="2:8" ht="13.5" customHeight="1" thickBot="1" x14ac:dyDescent="0.25">
      <c r="B36" s="426"/>
      <c r="C36" s="427"/>
      <c r="D36" s="137" t="s">
        <v>19</v>
      </c>
      <c r="E36" s="417" t="s">
        <v>20</v>
      </c>
      <c r="F36" s="418"/>
      <c r="G36" s="419"/>
      <c r="H36" s="4"/>
    </row>
    <row r="37" spans="2:8" x14ac:dyDescent="0.2">
      <c r="B37" s="366" t="s">
        <v>23</v>
      </c>
      <c r="C37" s="367"/>
      <c r="D37" s="51"/>
      <c r="E37" s="372"/>
      <c r="F37" s="373"/>
      <c r="G37" s="431"/>
      <c r="H37" s="4"/>
    </row>
    <row r="38" spans="2:8" ht="13.5" thickBot="1" x14ac:dyDescent="0.25">
      <c r="B38" s="415" t="s">
        <v>4</v>
      </c>
      <c r="C38" s="416"/>
      <c r="D38" s="51"/>
      <c r="E38" s="369"/>
      <c r="F38" s="370"/>
      <c r="G38" s="413"/>
      <c r="H38" s="4"/>
    </row>
    <row r="39" spans="2:8" x14ac:dyDescent="0.2">
      <c r="B39" s="414" t="s">
        <v>5</v>
      </c>
      <c r="C39" s="408"/>
      <c r="D39" s="52"/>
      <c r="E39" s="369"/>
      <c r="F39" s="370"/>
      <c r="G39" s="413"/>
      <c r="H39" s="4"/>
    </row>
    <row r="40" spans="2:8" ht="13.5" thickBot="1" x14ac:dyDescent="0.25">
      <c r="B40" s="439" t="s">
        <v>5</v>
      </c>
      <c r="C40" s="396"/>
      <c r="D40" s="53"/>
      <c r="E40" s="420"/>
      <c r="F40" s="421"/>
      <c r="G40" s="440"/>
      <c r="H40" s="4"/>
    </row>
    <row r="41" spans="2:8" ht="16.5" thickBot="1" x14ac:dyDescent="0.3">
      <c r="B41" s="436" t="s">
        <v>62</v>
      </c>
      <c r="C41" s="437"/>
      <c r="D41" s="437"/>
      <c r="E41" s="437"/>
      <c r="F41" s="438"/>
      <c r="G41" s="47">
        <f>SUM(D37:D40)</f>
        <v>0</v>
      </c>
      <c r="H41" s="29"/>
    </row>
    <row r="42" spans="2:8" ht="6.75" customHeight="1" thickBot="1" x14ac:dyDescent="0.3">
      <c r="B42" s="88"/>
      <c r="C42" s="88"/>
      <c r="D42" s="88"/>
      <c r="E42" s="88"/>
      <c r="F42" s="88"/>
      <c r="G42" s="252"/>
      <c r="H42" s="29"/>
    </row>
    <row r="43" spans="2:8" ht="16.5" thickBot="1" x14ac:dyDescent="0.3">
      <c r="B43" s="441" t="s">
        <v>226</v>
      </c>
      <c r="C43" s="442"/>
      <c r="D43" s="442"/>
      <c r="E43" s="442"/>
      <c r="F43" s="443"/>
      <c r="G43" s="95">
        <f>Total_ESS_Costs+Non_Taxable</f>
        <v>0</v>
      </c>
      <c r="H43" s="138"/>
    </row>
    <row r="44" spans="2:8" ht="16.5" customHeight="1" thickBot="1" x14ac:dyDescent="0.25">
      <c r="B44" s="5"/>
      <c r="C44" s="4"/>
      <c r="D44" s="4"/>
      <c r="E44" s="4"/>
      <c r="F44" s="4"/>
      <c r="G44" s="29"/>
      <c r="H44" s="138"/>
    </row>
    <row r="45" spans="2:8" ht="19.5" thickBot="1" x14ac:dyDescent="0.35">
      <c r="B45" s="434" t="s">
        <v>61</v>
      </c>
      <c r="C45" s="435"/>
      <c r="D45" s="435"/>
      <c r="E45" s="435"/>
      <c r="F45" s="435"/>
      <c r="G45" s="234">
        <f>ESS_Budget-G43</f>
        <v>0</v>
      </c>
      <c r="H45" s="138"/>
    </row>
    <row r="46" spans="2:8" x14ac:dyDescent="0.2">
      <c r="H46" s="32"/>
    </row>
    <row r="47" spans="2:8" x14ac:dyDescent="0.2">
      <c r="D47" s="76"/>
    </row>
    <row r="48" spans="2:8" x14ac:dyDescent="0.2">
      <c r="D48" s="76"/>
    </row>
    <row r="50" spans="4:4" x14ac:dyDescent="0.2">
      <c r="D50" s="76"/>
    </row>
  </sheetData>
  <sheetProtection password="E7F0" sheet="1" objects="1" scenarios="1"/>
  <customSheetViews>
    <customSheetView guid="{454ECA60-FBCC-11D6-AB9B-00C04F5868C8}" scale="75" showPageBreaks="1" printArea="1" showRuler="0">
      <selection activeCell="F13" sqref="F13"/>
      <pageMargins left="0.2" right="0.2" top="0.75" bottom="0.25" header="0" footer="0.25"/>
      <printOptions horizontalCentered="1"/>
      <pageSetup orientation="portrait" r:id="rId1"/>
      <headerFooter alignWithMargins="0">
        <oddHeader>&amp;L&amp;8Texas Department
of Human Services&amp;R&amp;8Form 1546, page 4
January 2002</oddHeader>
      </headerFooter>
    </customSheetView>
    <customSheetView guid="{346F6C38-467E-4277-A934-45FBB069E11D}" scale="130" printArea="1" showRuler="0" topLeftCell="A32">
      <selection activeCell="C46" sqref="C46:E46"/>
      <pageMargins left="0.2" right="0.2" top="0.75" bottom="0.25" header="0" footer="0.25"/>
      <printOptions horizontalCentered="1"/>
      <pageSetup orientation="portrait" r:id="rId2"/>
      <headerFooter alignWithMargins="0">
        <oddHeader>&amp;L&amp;8Texas Department
of Human Services&amp;R&amp;8Form 1546, page 4
January 2002</oddHeader>
      </headerFooter>
    </customSheetView>
  </customSheetViews>
  <mergeCells count="50">
    <mergeCell ref="B45:F45"/>
    <mergeCell ref="B41:F41"/>
    <mergeCell ref="B40:C40"/>
    <mergeCell ref="E40:G40"/>
    <mergeCell ref="B43:F43"/>
    <mergeCell ref="E39:G39"/>
    <mergeCell ref="B39:C39"/>
    <mergeCell ref="B38:C38"/>
    <mergeCell ref="E36:G36"/>
    <mergeCell ref="E20:G20"/>
    <mergeCell ref="E21:G21"/>
    <mergeCell ref="E22:G22"/>
    <mergeCell ref="B23:F23"/>
    <mergeCell ref="B36:C36"/>
    <mergeCell ref="B34:G34"/>
    <mergeCell ref="E37:G37"/>
    <mergeCell ref="E38:G38"/>
    <mergeCell ref="B35:F35"/>
    <mergeCell ref="B37:C37"/>
    <mergeCell ref="B2:G2"/>
    <mergeCell ref="B3:G3"/>
    <mergeCell ref="E5:G5"/>
    <mergeCell ref="E6:G6"/>
    <mergeCell ref="B5:C5"/>
    <mergeCell ref="F8:G8"/>
    <mergeCell ref="B29:F29"/>
    <mergeCell ref="B32:F32"/>
    <mergeCell ref="B25:G25"/>
    <mergeCell ref="B30:F30"/>
    <mergeCell ref="B31:F31"/>
    <mergeCell ref="B22:C22"/>
    <mergeCell ref="B26:F26"/>
    <mergeCell ref="B27:F27"/>
    <mergeCell ref="E16:G16"/>
    <mergeCell ref="B12:F12"/>
    <mergeCell ref="E19:G19"/>
    <mergeCell ref="B21:C21"/>
    <mergeCell ref="B20:C20"/>
    <mergeCell ref="B28:F28"/>
    <mergeCell ref="B19:C19"/>
    <mergeCell ref="I30:L32"/>
    <mergeCell ref="N30:N32"/>
    <mergeCell ref="B18:C18"/>
    <mergeCell ref="B10:F10"/>
    <mergeCell ref="E18:G18"/>
    <mergeCell ref="B17:C17"/>
    <mergeCell ref="E17:G17"/>
    <mergeCell ref="B15:F15"/>
    <mergeCell ref="B16:C16"/>
    <mergeCell ref="B14:G14"/>
  </mergeCells>
  <phoneticPr fontId="0" type="noConversion"/>
  <dataValidations xWindow="278" yWindow="524" count="15">
    <dataValidation type="custom" allowBlank="1" showInputMessage="1" showErrorMessage="1" errorTitle="Excess ESS Costs" error="You have exceeded the maximum amount for Employer Support Services Costs.  Please verify the estimated amounts for Employer Support Services Costs." promptTitle="Copies &amp; Mailing" prompt="Enter the amount the employer is estimated to spend on Copies &amp; Mailing.  Leave this cell blank if the employer anticipates no expenses in this category." sqref="D19">
      <formula1>IF(G23&lt;=G15,G23,IF(G23&gt;G15,FALSE))</formula1>
    </dataValidation>
    <dataValidation type="custom" allowBlank="1" showInputMessage="1" showErrorMessage="1" errorTitle="Excess ESS Costs" error="You have exceeded the maximum amount for Employer Support Services Costs.  Please verify the estimated amounts for Employer Support Services Costs." promptTitle="Equipment &amp; Supplies" prompt="Enter the amount the employer is estimated to spend on equipment &amp; Supplies.  Leave this cell blank if the employer anticipates no expenses in this category." sqref="D18">
      <formula1>IF(G23&lt;=G15,G23,IF(G23&gt;G15,FALSE))</formula1>
    </dataValidation>
    <dataValidation type="custom" allowBlank="1" showInputMessage="1" showErrorMessage="1" errorTitle="Excess ESS Costs" error="You have exceeded the maximum amount for Employer Support Services Costs.  Please verify the estimated amounts for Employer Support Services Costs." promptTitle="Advertising" prompt="Enter the amount the employer is estimated to spend on Advertising.  Leave this cell blank if the employer anticipates no expenses in this category." sqref="D17">
      <formula1>IF(G23&lt;=G15,G23,IF(G23&gt;G15,FALSE))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22">
      <formula1>IF(G23&lt;=G15,G23,IF(G23&gt;G15,FALSE))</formula1>
    </dataValidation>
    <dataValidation type="custom" allowBlank="1" showInputMessage="1" showErrorMessage="1" errorTitle="Excess ESS Costs" error="You have exceeded the maximum amount for Employer Support Services Costs.  Please verify the estimated amounts for Employer Support Services Costs." promptTitle="Criminal History Check" prompt="Enter the amount the employer is estimated to spend on Criminal History Checks.  Leave this cell blank if the employer anticipates no expenses in this category." sqref="D20">
      <formula1>IF(G23&lt;=G15,G23,IF(G23&gt;G15,FALSE))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21">
      <formula1>IF(G23&lt;=G15,G23,IF(G23&gt;G15,FALSE))</formula1>
    </dataValidation>
    <dataValidation type="custom" allowBlank="1" showInputMessage="1" errorTitle="Excess ESS Costs" error="You have exceeded the maximum amount allowed for Employer Support Services.  Please verify your entries." sqref="G32">
      <formula1>IF(G32&lt;=G12,G32,IF(G32&gt;G12,FALSE))</formula1>
    </dataValidation>
    <dataValidation allowBlank="1" showInputMessage="1" promptTitle="Other Compensation Costs" prompt="Enter the annual amount the Consumer estimates he would spend on any other Non-Taxable Compensation Costs.  Leave this cell blank if the Consumer does have expenses in this category." sqref="D39:D40"/>
    <dataValidation allowBlank="1" showInputMessage="1" promptTitle="Health Insurance" prompt="Enter the annual amount the Consumer estimates spending for Health Insurance premiums.  Leave this cell blank if the Consumer does not have expenses in this category." sqref="D37"/>
    <dataValidation allowBlank="1" showInputMessage="1" promptTitle="Workers' Comp &amp; Liability" prompt="Enter the annual amount the Consumer estimates spending for Workers' Compensation or Liability Insurance premiums.  Leave this cell blank if the Consumer does not have expenses in this category." sqref="D38"/>
    <dataValidation allowBlank="1" showInputMessage="1" showErrorMessage="1" promptTitle="Other Compensation Costs" prompt="If the employer has Compensation Costs other than those listed above, give a description of the type of Compensation Cost in this cell." sqref="B39:C40"/>
    <dataValidation allowBlank="1" showInputMessage="1" showErrorMessage="1" promptTitle="Comments" prompt="Enter any comments to help further identify any entries in this category." sqref="E37:E40 E17:E19 E21:E22 E20:G20"/>
    <dataValidation allowBlank="1" showInputMessage="1" showErrorMessage="1" promptTitle="Other Administrative Costs" prompt="If the Consumer has Administrative Costs other than those listed above, give a description of the type of Administrative Cost in this cell." sqref="B21:C22"/>
    <dataValidation allowBlank="1" showErrorMessage="1" promptTitle="Information Only Page" prompt="This page is for Information only.  It is not a part of the Client's budget." sqref="B2:G2"/>
    <dataValidation type="custom" allowBlank="1" showInputMessage="1" sqref="G29">
      <formula1>"if(G29&lt;=G12,G29),if(g29&gt;g12,g12))"</formula1>
    </dataValidation>
  </dataValidations>
  <printOptions horizontalCentered="1"/>
  <pageMargins left="0.2" right="0.2" top="0.75" bottom="0.5" header="0" footer="0.25"/>
  <pageSetup scale="95" orientation="portrait" horizontalDpi="300" verticalDpi="300" r:id="rId3"/>
  <headerFooter alignWithMargins="0">
    <oddHeader>&amp;L&amp;8Texas Department of 
Aging and Disability Services&amp;R&amp;8TxHmL CDS Budget
June 2010</oddHeader>
    <oddFooter>&amp;R&amp;8Date and Time Created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tabSelected="1" zoomScale="70" zoomScaleNormal="70" zoomScaleSheetLayoutView="50" workbookViewId="0">
      <selection activeCell="H24" sqref="H24"/>
    </sheetView>
  </sheetViews>
  <sheetFormatPr defaultRowHeight="12.75" x14ac:dyDescent="0.2"/>
  <cols>
    <col min="1" max="1" width="4" style="1" customWidth="1"/>
    <col min="2" max="2" width="3.7109375" style="1" customWidth="1"/>
    <col min="3" max="3" width="17.42578125" style="1" customWidth="1"/>
    <col min="4" max="4" width="9.140625" style="1"/>
    <col min="5" max="5" width="9.5703125" style="1" customWidth="1"/>
    <col min="6" max="6" width="13" style="1" customWidth="1"/>
    <col min="7" max="7" width="13.140625" style="1" customWidth="1"/>
    <col min="8" max="8" width="10" style="1" customWidth="1"/>
    <col min="9" max="9" width="11.7109375" style="1" customWidth="1"/>
    <col min="10" max="10" width="12.140625" style="1" customWidth="1"/>
    <col min="11" max="11" width="13" style="1" customWidth="1"/>
    <col min="12" max="12" width="16" style="1" customWidth="1"/>
    <col min="13" max="13" width="4" style="1" customWidth="1"/>
    <col min="14" max="14" width="10.85546875" style="1" hidden="1" customWidth="1"/>
    <col min="15" max="15" width="14.42578125" style="1" hidden="1" customWidth="1"/>
    <col min="16" max="16" width="23.85546875" style="1" hidden="1" customWidth="1"/>
    <col min="17" max="17" width="11.7109375" style="1" hidden="1" customWidth="1"/>
    <col min="18" max="16384" width="9.140625" style="1"/>
  </cols>
  <sheetData>
    <row r="1" spans="1:20" ht="12.75" customHeight="1" x14ac:dyDescent="0.2">
      <c r="A1" s="167"/>
      <c r="P1" s="1" t="s">
        <v>264</v>
      </c>
    </row>
    <row r="2" spans="1:20" ht="45" customHeight="1" x14ac:dyDescent="0.2">
      <c r="B2" s="317" t="s">
        <v>193</v>
      </c>
      <c r="C2" s="317"/>
      <c r="D2" s="317"/>
      <c r="E2" s="317"/>
      <c r="F2" s="317"/>
      <c r="G2" s="317"/>
      <c r="H2" s="317"/>
      <c r="I2" s="317"/>
      <c r="J2" s="317"/>
      <c r="K2" s="317"/>
      <c r="L2" s="317"/>
      <c r="M2" s="134"/>
      <c r="N2" s="61"/>
      <c r="O2" s="264"/>
      <c r="P2" s="1" t="s">
        <v>83</v>
      </c>
      <c r="Q2" s="264"/>
      <c r="R2" s="264"/>
      <c r="S2" s="264"/>
      <c r="T2" s="264"/>
    </row>
    <row r="3" spans="1:20" ht="20.25" customHeight="1" x14ac:dyDescent="0.25">
      <c r="B3" s="318" t="s">
        <v>99</v>
      </c>
      <c r="C3" s="318"/>
      <c r="D3" s="318"/>
      <c r="E3" s="318"/>
      <c r="F3" s="318"/>
      <c r="G3" s="318"/>
      <c r="H3" s="318"/>
      <c r="I3" s="318"/>
      <c r="J3" s="318"/>
      <c r="K3" s="318"/>
      <c r="L3" s="318"/>
      <c r="M3" s="19"/>
      <c r="P3" s="1" t="s">
        <v>265</v>
      </c>
    </row>
    <row r="4" spans="1:20" ht="6.75" customHeight="1" x14ac:dyDescent="0.25">
      <c r="C4" s="19"/>
      <c r="D4" s="19"/>
      <c r="E4" s="19"/>
      <c r="F4" s="19"/>
      <c r="G4" s="19"/>
      <c r="H4" s="19"/>
      <c r="I4" s="19"/>
      <c r="J4" s="19"/>
      <c r="K4" s="19"/>
      <c r="L4" s="19"/>
      <c r="M4" s="19"/>
      <c r="P4" s="1" t="s">
        <v>266</v>
      </c>
    </row>
    <row r="5" spans="1:20" ht="15.75" thickBot="1" x14ac:dyDescent="0.3">
      <c r="C5" s="319">
        <f>Consumer_Name</f>
        <v>0</v>
      </c>
      <c r="D5" s="319"/>
      <c r="E5" s="319"/>
      <c r="F5" s="319"/>
      <c r="G5" s="19"/>
      <c r="H5" s="19"/>
      <c r="K5" s="20">
        <f>Medicaid_Number</f>
        <v>0</v>
      </c>
      <c r="L5" s="26"/>
      <c r="M5" s="26"/>
    </row>
    <row r="6" spans="1:20" ht="14.25" x14ac:dyDescent="0.2">
      <c r="C6" s="320" t="s">
        <v>37</v>
      </c>
      <c r="D6" s="320"/>
      <c r="E6" s="320"/>
      <c r="F6" s="320"/>
      <c r="G6" s="21"/>
      <c r="H6" s="21"/>
      <c r="K6" s="27" t="s">
        <v>38</v>
      </c>
      <c r="L6" s="28"/>
      <c r="M6" s="28"/>
    </row>
    <row r="7" spans="1:20" ht="8.25" customHeight="1" x14ac:dyDescent="0.2">
      <c r="C7" s="21"/>
      <c r="D7" s="21"/>
      <c r="E7" s="21"/>
      <c r="F7" s="21"/>
      <c r="G7" s="21"/>
      <c r="H7" s="21"/>
      <c r="I7" s="21"/>
      <c r="J7" s="21"/>
      <c r="K7" s="28"/>
      <c r="L7" s="28"/>
      <c r="M7" s="28"/>
    </row>
    <row r="8" spans="1:20" ht="15.75" thickBot="1" x14ac:dyDescent="0.3">
      <c r="F8" s="22" t="s">
        <v>6</v>
      </c>
      <c r="G8" s="382">
        <f>From</f>
        <v>0</v>
      </c>
      <c r="H8" s="382"/>
      <c r="I8" s="139" t="s">
        <v>7</v>
      </c>
      <c r="J8" s="382">
        <f>To</f>
        <v>0</v>
      </c>
      <c r="K8" s="382"/>
    </row>
    <row r="9" spans="1:20" ht="12" customHeight="1" thickBot="1" x14ac:dyDescent="0.3">
      <c r="C9" s="22"/>
      <c r="D9" s="22"/>
      <c r="E9" s="22"/>
      <c r="F9" s="21"/>
      <c r="G9" s="21"/>
      <c r="H9" s="21"/>
      <c r="I9" s="23"/>
      <c r="J9" s="23"/>
      <c r="K9" s="19"/>
      <c r="L9" s="19"/>
      <c r="M9" s="19"/>
      <c r="P9" s="11"/>
      <c r="Q9" s="11"/>
    </row>
    <row r="10" spans="1:20" ht="19.5" customHeight="1" thickBot="1" x14ac:dyDescent="0.35">
      <c r="B10" s="434" t="s">
        <v>39</v>
      </c>
      <c r="C10" s="435"/>
      <c r="D10" s="435"/>
      <c r="E10" s="435"/>
      <c r="F10" s="435"/>
      <c r="G10" s="435"/>
      <c r="H10" s="435"/>
      <c r="I10" s="435"/>
      <c r="J10" s="435"/>
      <c r="K10" s="435"/>
      <c r="L10" s="486"/>
      <c r="M10" s="101"/>
      <c r="O10" s="485" t="s">
        <v>73</v>
      </c>
      <c r="P10" s="485"/>
      <c r="Q10" s="64">
        <v>7000</v>
      </c>
      <c r="T10" s="61"/>
    </row>
    <row r="11" spans="1:20" ht="16.5" customHeight="1" x14ac:dyDescent="0.2">
      <c r="B11" s="487" t="s">
        <v>63</v>
      </c>
      <c r="C11" s="488"/>
      <c r="D11" s="488"/>
      <c r="E11" s="488"/>
      <c r="F11" s="488"/>
      <c r="G11" s="100">
        <f>Taxable</f>
        <v>0</v>
      </c>
      <c r="H11" s="479" t="s">
        <v>56</v>
      </c>
      <c r="I11" s="480"/>
      <c r="J11" s="480"/>
      <c r="K11" s="480"/>
      <c r="L11" s="483">
        <f>G11-G12</f>
        <v>0</v>
      </c>
      <c r="M11" s="29"/>
      <c r="O11" s="485" t="s">
        <v>76</v>
      </c>
      <c r="P11" s="485"/>
      <c r="Q11" s="64">
        <v>9000</v>
      </c>
      <c r="T11" s="61"/>
    </row>
    <row r="12" spans="1:20" ht="19.5" customHeight="1" thickBot="1" x14ac:dyDescent="0.3">
      <c r="B12" s="477" t="s">
        <v>64</v>
      </c>
      <c r="C12" s="478"/>
      <c r="D12" s="478"/>
      <c r="E12" s="478"/>
      <c r="F12" s="478"/>
      <c r="G12" s="79">
        <f>SUM(N20,N39,N58,N77,N96,N115,N134,N153,N172,N191,N210,N229,N248,N267,N286,N305,N324,N343,N362,N381)</f>
        <v>0</v>
      </c>
      <c r="H12" s="481"/>
      <c r="I12" s="482"/>
      <c r="J12" s="482"/>
      <c r="K12" s="482"/>
      <c r="L12" s="484"/>
      <c r="M12" s="102"/>
      <c r="O12" s="11"/>
      <c r="T12" s="61"/>
    </row>
    <row r="13" spans="1:20" ht="12.75" customHeight="1" thickBot="1" x14ac:dyDescent="0.25">
      <c r="B13" s="61"/>
      <c r="C13" s="61"/>
      <c r="D13" s="61"/>
      <c r="E13" s="61"/>
      <c r="F13" s="61"/>
      <c r="G13" s="61"/>
      <c r="H13" s="61"/>
      <c r="I13" s="61"/>
      <c r="J13" s="61"/>
      <c r="K13" s="61"/>
      <c r="L13" s="61"/>
      <c r="O13" s="11"/>
      <c r="P13" s="12" t="s">
        <v>74</v>
      </c>
      <c r="Q13" s="65">
        <v>6.0000000000000001E-3</v>
      </c>
      <c r="T13" s="61"/>
    </row>
    <row r="14" spans="1:20" ht="19.5" customHeight="1" thickBot="1" x14ac:dyDescent="0.35">
      <c r="B14" s="428" t="s">
        <v>75</v>
      </c>
      <c r="C14" s="429"/>
      <c r="D14" s="429"/>
      <c r="E14" s="429"/>
      <c r="F14" s="429"/>
      <c r="G14" s="429"/>
      <c r="H14" s="429"/>
      <c r="I14" s="429"/>
      <c r="J14" s="429"/>
      <c r="K14" s="429"/>
      <c r="L14" s="430"/>
      <c r="M14" s="101"/>
      <c r="O14" s="11"/>
      <c r="P14" s="12" t="s">
        <v>15</v>
      </c>
      <c r="Q14" s="66">
        <v>6.2E-2</v>
      </c>
      <c r="T14" s="61"/>
    </row>
    <row r="15" spans="1:20" ht="12.75" customHeight="1" x14ac:dyDescent="0.2">
      <c r="B15" s="493" t="s">
        <v>57</v>
      </c>
      <c r="C15" s="494"/>
      <c r="D15" s="494"/>
      <c r="E15" s="494"/>
      <c r="F15" s="494"/>
      <c r="G15" s="494"/>
      <c r="H15" s="494"/>
      <c r="I15" s="494"/>
      <c r="J15" s="489" t="str">
        <f>IF(Budget_Balance&gt;=0,"Yes","No")</f>
        <v>Yes</v>
      </c>
      <c r="K15" s="489"/>
      <c r="L15" s="490"/>
      <c r="M15" s="103"/>
      <c r="N15" s="103"/>
      <c r="O15" s="103"/>
      <c r="P15" s="12" t="s">
        <v>16</v>
      </c>
      <c r="Q15" s="66">
        <v>1.4500000000000001E-2</v>
      </c>
      <c r="T15" s="61"/>
    </row>
    <row r="16" spans="1:20" ht="12.75" customHeight="1" thickBot="1" x14ac:dyDescent="0.25">
      <c r="B16" s="495"/>
      <c r="C16" s="496"/>
      <c r="D16" s="496"/>
      <c r="E16" s="496"/>
      <c r="F16" s="496"/>
      <c r="G16" s="496"/>
      <c r="H16" s="496"/>
      <c r="I16" s="496"/>
      <c r="J16" s="491"/>
      <c r="K16" s="491"/>
      <c r="L16" s="492"/>
      <c r="M16" s="103"/>
      <c r="O16" s="11"/>
      <c r="P16" s="36" t="s">
        <v>93</v>
      </c>
      <c r="Q16" s="118">
        <f>SUM(Q13:Q15)</f>
        <v>8.2500000000000004E-2</v>
      </c>
      <c r="T16" s="61"/>
    </row>
    <row r="17" spans="2:81" ht="12.75" customHeight="1" thickBot="1" x14ac:dyDescent="0.3">
      <c r="C17" s="22"/>
      <c r="D17" s="22"/>
      <c r="E17" s="22"/>
      <c r="F17" s="21"/>
      <c r="G17" s="21"/>
      <c r="H17" s="21"/>
      <c r="I17" s="23"/>
      <c r="J17" s="23"/>
      <c r="K17" s="19"/>
      <c r="L17" s="19"/>
      <c r="M17" s="19"/>
      <c r="N17" s="497" t="s">
        <v>113</v>
      </c>
      <c r="O17" s="497"/>
      <c r="P17" s="497"/>
      <c r="Q17" s="117">
        <v>0.66359999999999997</v>
      </c>
      <c r="T17" s="61"/>
    </row>
    <row r="18" spans="2:81" ht="31.5" customHeight="1" thickBot="1" x14ac:dyDescent="0.35">
      <c r="B18" s="434" t="s">
        <v>111</v>
      </c>
      <c r="C18" s="435"/>
      <c r="D18" s="435"/>
      <c r="E18" s="435"/>
      <c r="F18" s="435"/>
      <c r="G18" s="435"/>
      <c r="H18" s="435"/>
      <c r="I18" s="435"/>
      <c r="J18" s="435"/>
      <c r="K18" s="435"/>
      <c r="L18" s="486"/>
      <c r="M18" s="98"/>
      <c r="N18" s="67"/>
      <c r="O18" s="67"/>
      <c r="P18" s="67"/>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row>
    <row r="19" spans="2:81" ht="31.5" customHeight="1" thickBot="1" x14ac:dyDescent="0.25">
      <c r="B19" s="463">
        <v>1</v>
      </c>
      <c r="C19" s="140" t="s">
        <v>112</v>
      </c>
      <c r="D19" s="122"/>
      <c r="E19" s="141"/>
      <c r="F19" s="141" t="s">
        <v>46</v>
      </c>
      <c r="G19" s="141" t="s">
        <v>47</v>
      </c>
      <c r="H19" s="121" t="s">
        <v>87</v>
      </c>
      <c r="I19" s="141" t="s">
        <v>51</v>
      </c>
      <c r="J19" s="142" t="s">
        <v>42</v>
      </c>
      <c r="K19" s="143" t="s">
        <v>43</v>
      </c>
      <c r="L19" s="144" t="s">
        <v>44</v>
      </c>
      <c r="M19" s="104"/>
      <c r="N19" s="8"/>
      <c r="O19" s="66"/>
      <c r="P19" s="61"/>
      <c r="Q19" s="61"/>
      <c r="R19" s="61"/>
      <c r="S19" s="61"/>
      <c r="T19" s="61"/>
      <c r="U19" s="61"/>
      <c r="V19" s="61"/>
      <c r="W19" s="96"/>
      <c r="X19" s="94"/>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row>
    <row r="20" spans="2:81" ht="12.75" customHeight="1" thickBot="1" x14ac:dyDescent="0.25">
      <c r="B20" s="464"/>
      <c r="C20" s="455"/>
      <c r="D20" s="456"/>
      <c r="E20" s="457"/>
      <c r="F20" s="105"/>
      <c r="G20" s="106"/>
      <c r="H20" s="145">
        <f>ROUNDUP((G20-F20)/7,0)</f>
        <v>0</v>
      </c>
      <c r="I20" s="107"/>
      <c r="J20" s="146" t="e">
        <f>(SUM(K24:K27))+(SUM(I32:I36))</f>
        <v>#DIV/0!</v>
      </c>
      <c r="K20" s="268" t="e">
        <f>IF(F21="No",Q22,Q21)</f>
        <v>#DIV/0!</v>
      </c>
      <c r="L20" s="147" t="e">
        <f>SUM(J20:K20)</f>
        <v>#DIV/0!</v>
      </c>
      <c r="M20" s="8"/>
      <c r="N20" s="138">
        <f>IF(ISNUMBER(L20),L20,0)</f>
        <v>0</v>
      </c>
      <c r="O20" s="61"/>
      <c r="P20" s="61"/>
      <c r="Q20" s="61"/>
      <c r="R20" s="61"/>
      <c r="S20" s="61"/>
      <c r="T20" s="61"/>
      <c r="U20" s="61"/>
      <c r="V20" s="61"/>
      <c r="W20" s="96"/>
      <c r="X20" s="94"/>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row>
    <row r="21" spans="2:81" ht="13.5" customHeight="1" thickBot="1" x14ac:dyDescent="0.25">
      <c r="B21" s="464"/>
      <c r="C21" s="452" t="s">
        <v>269</v>
      </c>
      <c r="D21" s="453"/>
      <c r="E21" s="454"/>
      <c r="F21" s="466"/>
      <c r="G21" s="467"/>
      <c r="H21" s="148"/>
      <c r="I21" s="138"/>
      <c r="J21" s="29"/>
      <c r="K21" s="149"/>
      <c r="L21" s="150"/>
      <c r="M21" s="83"/>
      <c r="N21" s="61"/>
      <c r="O21" s="61"/>
      <c r="P21" s="61" t="s">
        <v>268</v>
      </c>
      <c r="Q21" s="61" t="e">
        <f>IF(F21="Exempt all taxes",0,(J20*FICA)+(J20*Medicare))</f>
        <v>#DIV/0!</v>
      </c>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row>
    <row r="22" spans="2:81" ht="13.5" customHeight="1" thickBot="1" x14ac:dyDescent="0.25">
      <c r="B22" s="464"/>
      <c r="C22" s="458"/>
      <c r="D22" s="459"/>
      <c r="E22" s="459"/>
      <c r="F22" s="459"/>
      <c r="G22" s="459"/>
      <c r="H22" s="459"/>
      <c r="I22" s="459"/>
      <c r="J22" s="459"/>
      <c r="K22" s="459"/>
      <c r="L22" s="460"/>
      <c r="M22" s="83"/>
      <c r="N22" s="61"/>
      <c r="O22" s="61"/>
      <c r="P22" s="61" t="s">
        <v>267</v>
      </c>
      <c r="Q22" s="61" t="e">
        <f>IF(J20&gt;=SUTA_Max,((FUTA_Max*FUTA)+(SUTA_Max*I20)+(J20*FICA)+(J20*Medicare)),IF(J20&gt;=FUTA_Max,((FUTA_Max*FUTA)+(J20*I20)+(J20*FICA)+(J20*Medicare)),IF(J20&lt;FUTA_Max,(J20*Total_Tax+I20))))</f>
        <v>#DIV/0!</v>
      </c>
      <c r="R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row>
    <row r="23" spans="2:81" ht="29.25" customHeight="1" thickBot="1" x14ac:dyDescent="0.3">
      <c r="B23" s="464"/>
      <c r="C23" s="151" t="s">
        <v>52</v>
      </c>
      <c r="D23" s="60"/>
      <c r="E23" s="468" t="s">
        <v>85</v>
      </c>
      <c r="F23" s="469"/>
      <c r="G23" s="153" t="s">
        <v>245</v>
      </c>
      <c r="H23" s="152" t="s">
        <v>40</v>
      </c>
      <c r="I23" s="265" t="s">
        <v>45</v>
      </c>
      <c r="J23" s="153" t="s">
        <v>49</v>
      </c>
      <c r="K23" s="154" t="s">
        <v>41</v>
      </c>
      <c r="L23" s="150"/>
      <c r="M23" s="69"/>
      <c r="N23" s="61"/>
      <c r="O23" s="61"/>
      <c r="P23" s="61"/>
      <c r="Q23" s="61"/>
      <c r="R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row>
    <row r="24" spans="2:81" ht="15.75" customHeight="1" thickBot="1" x14ac:dyDescent="0.25">
      <c r="B24" s="464"/>
      <c r="C24" s="24"/>
      <c r="D24" s="4"/>
      <c r="E24" s="444"/>
      <c r="F24" s="445"/>
      <c r="G24" s="70"/>
      <c r="H24" s="168"/>
      <c r="I24" s="155">
        <f>H20</f>
        <v>0</v>
      </c>
      <c r="J24" s="156"/>
      <c r="K24" s="157">
        <f>G24*H24*I24</f>
        <v>0</v>
      </c>
      <c r="L24" s="150"/>
      <c r="M24" s="104"/>
      <c r="N24" s="61"/>
      <c r="O24" s="266" t="e">
        <f>(G24/Q27)*H24</f>
        <v>#DIV/0!</v>
      </c>
      <c r="P24" s="61"/>
      <c r="Q24" s="267" t="e">
        <f>SUM(O24:O26)</f>
        <v>#DIV/0!</v>
      </c>
      <c r="R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row>
    <row r="25" spans="2:81" ht="15.75" customHeight="1" thickBot="1" x14ac:dyDescent="0.25">
      <c r="B25" s="464"/>
      <c r="C25" s="24"/>
      <c r="D25" s="4"/>
      <c r="E25" s="446"/>
      <c r="F25" s="447"/>
      <c r="G25" s="70"/>
      <c r="H25" s="168"/>
      <c r="I25" s="155">
        <f>H20</f>
        <v>0</v>
      </c>
      <c r="J25" s="249"/>
      <c r="K25" s="157">
        <f>G25*H25*I25</f>
        <v>0</v>
      </c>
      <c r="L25" s="150"/>
      <c r="M25" s="104"/>
      <c r="N25" s="61"/>
      <c r="O25" s="266" t="e">
        <f>(G25/Q27)*H25</f>
        <v>#DIV/0!</v>
      </c>
      <c r="P25" s="61"/>
      <c r="Q25" s="267"/>
      <c r="R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row>
    <row r="26" spans="2:81" ht="15.75" customHeight="1" thickBot="1" x14ac:dyDescent="0.25">
      <c r="B26" s="464"/>
      <c r="C26" s="24"/>
      <c r="D26" s="4"/>
      <c r="E26" s="446"/>
      <c r="F26" s="447"/>
      <c r="G26" s="70"/>
      <c r="H26" s="168"/>
      <c r="I26" s="155">
        <f>H20</f>
        <v>0</v>
      </c>
      <c r="J26" s="249"/>
      <c r="K26" s="157">
        <f>G26*H26*I26</f>
        <v>0</v>
      </c>
      <c r="L26" s="150"/>
      <c r="M26" s="104"/>
      <c r="N26" s="61"/>
      <c r="O26" s="266" t="e">
        <f>(G26/Q27)*H26</f>
        <v>#DIV/0!</v>
      </c>
      <c r="P26" s="61"/>
      <c r="Q26" s="267"/>
      <c r="R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row>
    <row r="27" spans="2:81" ht="13.5" customHeight="1" thickBot="1" x14ac:dyDescent="0.25">
      <c r="B27" s="464"/>
      <c r="C27" s="24"/>
      <c r="D27" s="4"/>
      <c r="E27" s="470" t="s">
        <v>24</v>
      </c>
      <c r="F27" s="471"/>
      <c r="G27" s="70"/>
      <c r="H27" s="260"/>
      <c r="I27" s="261">
        <f>H20</f>
        <v>0</v>
      </c>
      <c r="J27" s="262" t="e">
        <f>Q24*1.5</f>
        <v>#DIV/0!</v>
      </c>
      <c r="K27" s="263" t="e">
        <f>G27*I27*J27</f>
        <v>#DIV/0!</v>
      </c>
      <c r="L27" s="150"/>
      <c r="M27" s="104"/>
      <c r="N27" s="61"/>
      <c r="O27" s="94"/>
      <c r="P27" s="61"/>
      <c r="Q27" s="267">
        <f>SUM(G24:G26)</f>
        <v>0</v>
      </c>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row>
    <row r="28" spans="2:81" ht="13.5" customHeight="1" x14ac:dyDescent="0.2">
      <c r="B28" s="464"/>
      <c r="C28" s="24"/>
      <c r="D28" s="472" t="s">
        <v>115</v>
      </c>
      <c r="E28" s="472"/>
      <c r="F28" s="472"/>
      <c r="G28" s="472"/>
      <c r="H28" s="472"/>
      <c r="I28" s="472"/>
      <c r="J28" s="472"/>
      <c r="K28" s="472"/>
      <c r="L28" s="158"/>
      <c r="M28" s="104"/>
      <c r="N28" s="61"/>
      <c r="O28" s="266"/>
      <c r="P28" s="61"/>
      <c r="Q28" s="267"/>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row>
    <row r="29" spans="2:81" ht="13.5" customHeight="1" x14ac:dyDescent="0.2">
      <c r="B29" s="464"/>
      <c r="C29" s="159"/>
      <c r="D29" s="472"/>
      <c r="E29" s="472"/>
      <c r="F29" s="472"/>
      <c r="G29" s="472"/>
      <c r="H29" s="472"/>
      <c r="I29" s="472"/>
      <c r="J29" s="472"/>
      <c r="K29" s="472"/>
      <c r="L29" s="158"/>
      <c r="M29" s="104"/>
      <c r="N29" s="8"/>
      <c r="O29" s="266"/>
      <c r="P29" s="61"/>
      <c r="Q29" s="267"/>
      <c r="R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row>
    <row r="30" spans="2:81" ht="13.5" customHeight="1" thickBot="1" x14ac:dyDescent="0.25">
      <c r="B30" s="464"/>
      <c r="C30" s="120"/>
      <c r="D30" s="5"/>
      <c r="E30" s="5"/>
      <c r="F30" s="5"/>
      <c r="G30" s="5"/>
      <c r="H30" s="5"/>
      <c r="I30" s="5"/>
      <c r="J30" s="5"/>
      <c r="K30" s="5"/>
      <c r="L30" s="160"/>
      <c r="M30" s="104"/>
      <c r="N30" s="8"/>
      <c r="O30" s="266"/>
      <c r="P30" s="61"/>
      <c r="Q30" s="267"/>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row>
    <row r="31" spans="2:81" ht="31.5" customHeight="1" thickBot="1" x14ac:dyDescent="0.3">
      <c r="B31" s="464"/>
      <c r="C31" s="151" t="s">
        <v>53</v>
      </c>
      <c r="D31" s="60"/>
      <c r="E31" s="473"/>
      <c r="F31" s="474"/>
      <c r="G31" s="161" t="s">
        <v>48</v>
      </c>
      <c r="H31" s="162" t="s">
        <v>54</v>
      </c>
      <c r="I31" s="163" t="s">
        <v>41</v>
      </c>
      <c r="J31" s="4"/>
      <c r="K31" s="4"/>
      <c r="L31" s="150"/>
      <c r="M31" s="98"/>
      <c r="N31" s="67"/>
      <c r="O31" s="266"/>
      <c r="P31" s="61"/>
      <c r="Q31" s="267"/>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row>
    <row r="32" spans="2:81" ht="24.75" customHeight="1" thickBot="1" x14ac:dyDescent="0.25">
      <c r="B32" s="464"/>
      <c r="C32" s="120"/>
      <c r="D32" s="4"/>
      <c r="E32" s="475" t="s">
        <v>28</v>
      </c>
      <c r="F32" s="476"/>
      <c r="G32" s="108"/>
      <c r="H32" s="109"/>
      <c r="I32" s="71">
        <f>G32*H32</f>
        <v>0</v>
      </c>
      <c r="J32" s="4"/>
      <c r="K32" s="4"/>
      <c r="L32" s="150"/>
      <c r="M32" s="104"/>
      <c r="N32" s="8"/>
      <c r="O32" s="266"/>
      <c r="P32" s="61"/>
      <c r="Q32" s="267"/>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row>
    <row r="33" spans="2:81" ht="12.75" customHeight="1" thickBot="1" x14ac:dyDescent="0.25">
      <c r="B33" s="464"/>
      <c r="C33" s="120"/>
      <c r="D33" s="4"/>
      <c r="E33" s="450" t="s">
        <v>25</v>
      </c>
      <c r="F33" s="451"/>
      <c r="G33" s="110"/>
      <c r="H33" s="111"/>
      <c r="I33" s="71">
        <f>G33*H33</f>
        <v>0</v>
      </c>
      <c r="J33" s="4"/>
      <c r="K33" s="4"/>
      <c r="L33" s="150"/>
      <c r="M33" s="8"/>
      <c r="N33" s="8"/>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row>
    <row r="34" spans="2:81" ht="13.5" thickBot="1" x14ac:dyDescent="0.25">
      <c r="B34" s="464"/>
      <c r="C34" s="120"/>
      <c r="D34" s="4"/>
      <c r="E34" s="450" t="s">
        <v>26</v>
      </c>
      <c r="F34" s="451"/>
      <c r="G34" s="110"/>
      <c r="H34" s="111"/>
      <c r="I34" s="71">
        <f>G34*H34</f>
        <v>0</v>
      </c>
      <c r="J34" s="4"/>
      <c r="K34" s="4"/>
      <c r="L34" s="150"/>
      <c r="M34" s="104"/>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row>
    <row r="35" spans="2:81" ht="13.5" customHeight="1" thickBot="1" x14ac:dyDescent="0.25">
      <c r="B35" s="464"/>
      <c r="C35" s="120"/>
      <c r="D35" s="4"/>
      <c r="E35" s="448" t="s">
        <v>27</v>
      </c>
      <c r="F35" s="449"/>
      <c r="G35" s="110"/>
      <c r="H35" s="111"/>
      <c r="I35" s="71">
        <f>G35*H35</f>
        <v>0</v>
      </c>
      <c r="J35" s="4"/>
      <c r="K35" s="4"/>
      <c r="L35" s="150"/>
      <c r="M35" s="104"/>
      <c r="N35" s="8"/>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row>
    <row r="36" spans="2:81" ht="13.5" customHeight="1" thickBot="1" x14ac:dyDescent="0.25">
      <c r="B36" s="465"/>
      <c r="C36" s="164"/>
      <c r="D36" s="9"/>
      <c r="E36" s="461" t="s">
        <v>50</v>
      </c>
      <c r="F36" s="462"/>
      <c r="G36" s="112"/>
      <c r="H36" s="113"/>
      <c r="I36" s="165">
        <f>G36*H36</f>
        <v>0</v>
      </c>
      <c r="J36" s="9"/>
      <c r="K36" s="166"/>
      <c r="L36" s="147"/>
      <c r="M36" s="104"/>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row>
    <row r="37" spans="2:81" s="8" customFormat="1" ht="13.5" customHeight="1" thickBot="1" x14ac:dyDescent="0.25">
      <c r="B37" s="269"/>
      <c r="C37" s="69"/>
      <c r="E37" s="270"/>
      <c r="F37" s="270"/>
      <c r="G37" s="271"/>
      <c r="H37" s="272"/>
      <c r="I37" s="138"/>
      <c r="J37" s="273"/>
      <c r="K37" s="274"/>
      <c r="L37" s="274"/>
      <c r="M37" s="104"/>
    </row>
    <row r="38" spans="2:81" s="8" customFormat="1" ht="13.5" customHeight="1" thickBot="1" x14ac:dyDescent="0.25">
      <c r="B38" s="463">
        <v>2</v>
      </c>
      <c r="C38" s="140" t="s">
        <v>112</v>
      </c>
      <c r="D38" s="122"/>
      <c r="E38" s="141"/>
      <c r="F38" s="141" t="s">
        <v>46</v>
      </c>
      <c r="G38" s="141" t="s">
        <v>47</v>
      </c>
      <c r="H38" s="121" t="s">
        <v>87</v>
      </c>
      <c r="I38" s="141" t="s">
        <v>51</v>
      </c>
      <c r="J38" s="142" t="s">
        <v>42</v>
      </c>
      <c r="K38" s="143" t="s">
        <v>43</v>
      </c>
      <c r="L38" s="144" t="s">
        <v>44</v>
      </c>
      <c r="M38" s="104"/>
      <c r="O38" s="66"/>
      <c r="P38" s="61"/>
      <c r="Q38" s="61"/>
    </row>
    <row r="39" spans="2:81" s="278" customFormat="1" ht="13.5" thickBot="1" x14ac:dyDescent="0.25">
      <c r="B39" s="464"/>
      <c r="C39" s="455"/>
      <c r="D39" s="456"/>
      <c r="E39" s="457"/>
      <c r="F39" s="105"/>
      <c r="G39" s="106"/>
      <c r="H39" s="145">
        <f>ROUNDUP((G39-F39)/7,0)</f>
        <v>0</v>
      </c>
      <c r="I39" s="107"/>
      <c r="J39" s="146" t="e">
        <f>(SUM(K43:K46))+(SUM(I51:I55))</f>
        <v>#DIV/0!</v>
      </c>
      <c r="K39" s="268" t="e">
        <f>IF(F40="No",Q41,Q40)</f>
        <v>#DIV/0!</v>
      </c>
      <c r="L39" s="147" t="e">
        <f>SUM(J39:K39)</f>
        <v>#DIV/0!</v>
      </c>
      <c r="M39" s="8"/>
      <c r="N39" s="138">
        <f>IF(ISNUMBER(L39),L39,0)</f>
        <v>0</v>
      </c>
      <c r="O39" s="61"/>
      <c r="P39" s="61"/>
      <c r="Q39" s="61"/>
    </row>
    <row r="40" spans="2:81" s="278" customFormat="1" ht="13.5" thickBot="1" x14ac:dyDescent="0.25">
      <c r="B40" s="464"/>
      <c r="C40" s="452" t="s">
        <v>269</v>
      </c>
      <c r="D40" s="453"/>
      <c r="E40" s="454"/>
      <c r="F40" s="466"/>
      <c r="G40" s="467"/>
      <c r="H40" s="148"/>
      <c r="I40" s="138"/>
      <c r="J40" s="29"/>
      <c r="K40" s="149"/>
      <c r="L40" s="150"/>
      <c r="M40" s="83"/>
      <c r="N40" s="61"/>
      <c r="O40" s="61"/>
      <c r="P40" s="61" t="s">
        <v>268</v>
      </c>
      <c r="Q40" s="61" t="e">
        <f>IF(F40="Exempt all taxes",0,(J39*FICA)+(J39*Medicare))</f>
        <v>#DIV/0!</v>
      </c>
    </row>
    <row r="41" spans="2:81" s="278" customFormat="1" ht="13.5" thickBot="1" x14ac:dyDescent="0.25">
      <c r="B41" s="464"/>
      <c r="C41" s="458"/>
      <c r="D41" s="459"/>
      <c r="E41" s="459"/>
      <c r="F41" s="459"/>
      <c r="G41" s="459"/>
      <c r="H41" s="459"/>
      <c r="I41" s="459"/>
      <c r="J41" s="459"/>
      <c r="K41" s="459"/>
      <c r="L41" s="460"/>
      <c r="M41" s="83"/>
      <c r="N41" s="61"/>
      <c r="O41" s="61"/>
      <c r="P41" s="61" t="s">
        <v>267</v>
      </c>
      <c r="Q41" s="61" t="e">
        <f>IF(J39&gt;=SUTA_Max,((FUTA_Max*FUTA)+(SUTA_Max*I39)+(J39*FICA)+(J39*Medicare)),IF(J39&gt;=FUTA_Max,((FUTA_Max*FUTA)+(J39*I39)+(J39*FICA)+(J39*Medicare)),IF(J39&lt;FUTA_Max,(J39*Total_Tax+I39))))</f>
        <v>#DIV/0!</v>
      </c>
    </row>
    <row r="42" spans="2:81" s="278" customFormat="1" ht="27" thickBot="1" x14ac:dyDescent="0.3">
      <c r="B42" s="464"/>
      <c r="C42" s="151" t="s">
        <v>52</v>
      </c>
      <c r="D42" s="60"/>
      <c r="E42" s="468" t="s">
        <v>85</v>
      </c>
      <c r="F42" s="469"/>
      <c r="G42" s="153" t="s">
        <v>245</v>
      </c>
      <c r="H42" s="152" t="s">
        <v>40</v>
      </c>
      <c r="I42" s="265" t="s">
        <v>45</v>
      </c>
      <c r="J42" s="153" t="s">
        <v>49</v>
      </c>
      <c r="K42" s="154" t="s">
        <v>41</v>
      </c>
      <c r="L42" s="150"/>
      <c r="M42" s="69"/>
      <c r="N42" s="61"/>
      <c r="O42" s="61"/>
      <c r="P42" s="61"/>
      <c r="Q42" s="61"/>
    </row>
    <row r="43" spans="2:81" s="278" customFormat="1" ht="13.5" thickBot="1" x14ac:dyDescent="0.25">
      <c r="B43" s="464"/>
      <c r="C43" s="277"/>
      <c r="E43" s="444"/>
      <c r="F43" s="445"/>
      <c r="G43" s="70"/>
      <c r="H43" s="168"/>
      <c r="I43" s="155">
        <f>H39</f>
        <v>0</v>
      </c>
      <c r="J43" s="156"/>
      <c r="K43" s="157">
        <f>G43*H43*I43</f>
        <v>0</v>
      </c>
      <c r="L43" s="150"/>
      <c r="M43" s="104"/>
      <c r="N43" s="61"/>
      <c r="O43" s="266" t="e">
        <f>(G43/Q46)*H43</f>
        <v>#DIV/0!</v>
      </c>
      <c r="P43" s="61"/>
      <c r="Q43" s="267" t="e">
        <f>SUM(O43:O45)</f>
        <v>#DIV/0!</v>
      </c>
    </row>
    <row r="44" spans="2:81" s="278" customFormat="1" ht="13.5" thickBot="1" x14ac:dyDescent="0.25">
      <c r="B44" s="464"/>
      <c r="C44" s="277"/>
      <c r="E44" s="446"/>
      <c r="F44" s="447"/>
      <c r="G44" s="70"/>
      <c r="H44" s="168"/>
      <c r="I44" s="155">
        <f>H39</f>
        <v>0</v>
      </c>
      <c r="J44" s="249"/>
      <c r="K44" s="157">
        <f>G44*H44*I44</f>
        <v>0</v>
      </c>
      <c r="L44" s="150"/>
      <c r="M44" s="104"/>
      <c r="N44" s="61"/>
      <c r="O44" s="266" t="e">
        <f>(G44/Q46)*H44</f>
        <v>#DIV/0!</v>
      </c>
      <c r="P44" s="61"/>
      <c r="Q44" s="267"/>
    </row>
    <row r="45" spans="2:81" s="278" customFormat="1" ht="13.5" thickBot="1" x14ac:dyDescent="0.25">
      <c r="B45" s="464"/>
      <c r="C45" s="277"/>
      <c r="E45" s="446"/>
      <c r="F45" s="447"/>
      <c r="G45" s="70"/>
      <c r="H45" s="168"/>
      <c r="I45" s="155">
        <f>H39</f>
        <v>0</v>
      </c>
      <c r="J45" s="249"/>
      <c r="K45" s="157">
        <f>G45*H45*I45</f>
        <v>0</v>
      </c>
      <c r="L45" s="150"/>
      <c r="M45" s="104"/>
      <c r="N45" s="61"/>
      <c r="O45" s="266" t="e">
        <f>(G45/Q46)*H45</f>
        <v>#DIV/0!</v>
      </c>
      <c r="P45" s="61"/>
      <c r="Q45" s="267"/>
    </row>
    <row r="46" spans="2:81" s="278" customFormat="1" ht="13.5" thickBot="1" x14ac:dyDescent="0.25">
      <c r="B46" s="464"/>
      <c r="C46" s="277"/>
      <c r="E46" s="470" t="s">
        <v>24</v>
      </c>
      <c r="F46" s="471"/>
      <c r="G46" s="70"/>
      <c r="H46" s="260"/>
      <c r="I46" s="261">
        <f>H39</f>
        <v>0</v>
      </c>
      <c r="J46" s="262" t="e">
        <f>Q43*1.5</f>
        <v>#DIV/0!</v>
      </c>
      <c r="K46" s="263" t="e">
        <f>G46*I46*J46</f>
        <v>#DIV/0!</v>
      </c>
      <c r="L46" s="150"/>
      <c r="M46" s="104"/>
      <c r="N46" s="61"/>
      <c r="O46" s="94"/>
      <c r="P46" s="61"/>
      <c r="Q46" s="267">
        <f>SUM(G43:G45)</f>
        <v>0</v>
      </c>
    </row>
    <row r="47" spans="2:81" s="278" customFormat="1" x14ac:dyDescent="0.2">
      <c r="B47" s="464"/>
      <c r="C47" s="277"/>
      <c r="D47" s="472" t="s">
        <v>115</v>
      </c>
      <c r="E47" s="472"/>
      <c r="F47" s="472"/>
      <c r="G47" s="472"/>
      <c r="H47" s="472"/>
      <c r="I47" s="472"/>
      <c r="J47" s="472"/>
      <c r="K47" s="472"/>
      <c r="L47" s="158"/>
      <c r="M47" s="104"/>
      <c r="N47" s="61"/>
      <c r="O47" s="266"/>
      <c r="P47" s="61"/>
      <c r="Q47" s="267"/>
    </row>
    <row r="48" spans="2:81" s="278" customFormat="1" x14ac:dyDescent="0.2">
      <c r="B48" s="464"/>
      <c r="C48" s="159"/>
      <c r="D48" s="472"/>
      <c r="E48" s="472"/>
      <c r="F48" s="472"/>
      <c r="G48" s="472"/>
      <c r="H48" s="472"/>
      <c r="I48" s="472"/>
      <c r="J48" s="472"/>
      <c r="K48" s="472"/>
      <c r="L48" s="158"/>
      <c r="M48" s="104"/>
      <c r="N48" s="8"/>
      <c r="O48" s="266"/>
      <c r="P48" s="61"/>
      <c r="Q48" s="267"/>
    </row>
    <row r="49" spans="2:17" s="278" customFormat="1" ht="13.5" thickBot="1" x14ac:dyDescent="0.25">
      <c r="B49" s="464"/>
      <c r="C49" s="276"/>
      <c r="D49" s="5"/>
      <c r="E49" s="5"/>
      <c r="F49" s="5"/>
      <c r="G49" s="5"/>
      <c r="H49" s="5"/>
      <c r="I49" s="5"/>
      <c r="J49" s="5"/>
      <c r="K49" s="5"/>
      <c r="L49" s="160"/>
      <c r="M49" s="104"/>
      <c r="N49" s="8"/>
      <c r="O49" s="266"/>
      <c r="P49" s="61"/>
      <c r="Q49" s="267"/>
    </row>
    <row r="50" spans="2:17" s="278" customFormat="1" ht="27" thickBot="1" x14ac:dyDescent="0.3">
      <c r="B50" s="464"/>
      <c r="C50" s="151" t="s">
        <v>53</v>
      </c>
      <c r="D50" s="60"/>
      <c r="E50" s="473"/>
      <c r="F50" s="474"/>
      <c r="G50" s="161" t="s">
        <v>48</v>
      </c>
      <c r="H50" s="162" t="s">
        <v>54</v>
      </c>
      <c r="I50" s="163" t="s">
        <v>41</v>
      </c>
      <c r="L50" s="150"/>
      <c r="M50" s="280"/>
      <c r="N50" s="275"/>
      <c r="O50" s="266"/>
      <c r="P50" s="61"/>
      <c r="Q50" s="267"/>
    </row>
    <row r="51" spans="2:17" s="278" customFormat="1" ht="13.5" thickBot="1" x14ac:dyDescent="0.25">
      <c r="B51" s="464"/>
      <c r="C51" s="276"/>
      <c r="E51" s="475" t="s">
        <v>28</v>
      </c>
      <c r="F51" s="476"/>
      <c r="G51" s="108"/>
      <c r="H51" s="109"/>
      <c r="I51" s="71">
        <f>G51*H51</f>
        <v>0</v>
      </c>
      <c r="L51" s="150"/>
      <c r="M51" s="104"/>
      <c r="N51" s="8"/>
      <c r="O51" s="266"/>
      <c r="P51" s="61"/>
      <c r="Q51" s="267"/>
    </row>
    <row r="52" spans="2:17" s="278" customFormat="1" ht="13.5" thickBot="1" x14ac:dyDescent="0.25">
      <c r="B52" s="464"/>
      <c r="C52" s="276"/>
      <c r="E52" s="450" t="s">
        <v>25</v>
      </c>
      <c r="F52" s="451"/>
      <c r="G52" s="110"/>
      <c r="H52" s="111"/>
      <c r="I52" s="71">
        <f>G52*H52</f>
        <v>0</v>
      </c>
      <c r="L52" s="150"/>
      <c r="M52" s="8"/>
      <c r="N52" s="8"/>
      <c r="O52" s="61"/>
      <c r="P52" s="61"/>
      <c r="Q52" s="61"/>
    </row>
    <row r="53" spans="2:17" s="278" customFormat="1" ht="13.5" thickBot="1" x14ac:dyDescent="0.25">
      <c r="B53" s="464"/>
      <c r="C53" s="276"/>
      <c r="E53" s="450" t="s">
        <v>26</v>
      </c>
      <c r="F53" s="451"/>
      <c r="G53" s="110"/>
      <c r="H53" s="111"/>
      <c r="I53" s="71">
        <f>G53*H53</f>
        <v>0</v>
      </c>
      <c r="L53" s="150"/>
      <c r="M53" s="104"/>
      <c r="N53" s="61"/>
      <c r="O53" s="61"/>
      <c r="P53" s="61"/>
      <c r="Q53" s="61"/>
    </row>
    <row r="54" spans="2:17" s="278" customFormat="1" ht="13.5" thickBot="1" x14ac:dyDescent="0.25">
      <c r="B54" s="464"/>
      <c r="C54" s="276"/>
      <c r="E54" s="448" t="s">
        <v>27</v>
      </c>
      <c r="F54" s="449"/>
      <c r="G54" s="110"/>
      <c r="H54" s="111"/>
      <c r="I54" s="71">
        <f>G54*H54</f>
        <v>0</v>
      </c>
      <c r="L54" s="150"/>
      <c r="M54" s="104"/>
      <c r="N54" s="8"/>
      <c r="O54" s="61"/>
      <c r="P54" s="61"/>
      <c r="Q54" s="61"/>
    </row>
    <row r="55" spans="2:17" s="278" customFormat="1" ht="13.5" thickBot="1" x14ac:dyDescent="0.25">
      <c r="B55" s="465"/>
      <c r="C55" s="279"/>
      <c r="D55" s="9"/>
      <c r="E55" s="461" t="s">
        <v>50</v>
      </c>
      <c r="F55" s="462"/>
      <c r="G55" s="112"/>
      <c r="H55" s="113"/>
      <c r="I55" s="165">
        <f>G55*H55</f>
        <v>0</v>
      </c>
      <c r="J55" s="9"/>
      <c r="K55" s="166"/>
      <c r="L55" s="147"/>
      <c r="M55" s="104"/>
      <c r="N55" s="61"/>
      <c r="O55" s="61"/>
      <c r="P55" s="61"/>
      <c r="Q55" s="61"/>
    </row>
    <row r="56" spans="2:17" s="278" customFormat="1" ht="13.5" thickBot="1" x14ac:dyDescent="0.25">
      <c r="B56" s="269"/>
      <c r="C56" s="69"/>
      <c r="D56" s="8"/>
      <c r="E56" s="270"/>
      <c r="F56" s="270"/>
      <c r="G56" s="271"/>
      <c r="H56" s="272"/>
      <c r="I56" s="138"/>
      <c r="J56" s="273"/>
      <c r="K56" s="274"/>
      <c r="L56" s="274"/>
      <c r="M56" s="104"/>
      <c r="N56" s="8"/>
      <c r="O56" s="8"/>
      <c r="P56" s="8"/>
      <c r="Q56" s="8"/>
    </row>
    <row r="57" spans="2:17" s="278" customFormat="1" ht="26.25" thickBot="1" x14ac:dyDescent="0.25">
      <c r="B57" s="463">
        <v>3</v>
      </c>
      <c r="C57" s="140" t="s">
        <v>112</v>
      </c>
      <c r="D57" s="122"/>
      <c r="E57" s="141"/>
      <c r="F57" s="141" t="s">
        <v>46</v>
      </c>
      <c r="G57" s="141" t="s">
        <v>47</v>
      </c>
      <c r="H57" s="121" t="s">
        <v>87</v>
      </c>
      <c r="I57" s="141" t="s">
        <v>51</v>
      </c>
      <c r="J57" s="142" t="s">
        <v>42</v>
      </c>
      <c r="K57" s="143" t="s">
        <v>43</v>
      </c>
      <c r="L57" s="144" t="s">
        <v>44</v>
      </c>
      <c r="M57" s="104"/>
      <c r="N57" s="8"/>
      <c r="O57" s="66"/>
      <c r="P57" s="61"/>
      <c r="Q57" s="61"/>
    </row>
    <row r="58" spans="2:17" s="278" customFormat="1" ht="13.5" thickBot="1" x14ac:dyDescent="0.25">
      <c r="B58" s="464"/>
      <c r="C58" s="455"/>
      <c r="D58" s="456"/>
      <c r="E58" s="457"/>
      <c r="F58" s="105"/>
      <c r="G58" s="106"/>
      <c r="H58" s="145">
        <f t="shared" ref="H58" si="0">ROUNDUP((G58-F58)/7,0)</f>
        <v>0</v>
      </c>
      <c r="I58" s="107"/>
      <c r="J58" s="146" t="e">
        <f t="shared" ref="J58" si="1">(SUM(K62:K65))+(SUM(I70:I74))</f>
        <v>#DIV/0!</v>
      </c>
      <c r="K58" s="268" t="e">
        <f t="shared" ref="K58" si="2">IF(F59="No",Q60,Q59)</f>
        <v>#DIV/0!</v>
      </c>
      <c r="L58" s="147" t="e">
        <f t="shared" ref="L58" si="3">SUM(J58:K58)</f>
        <v>#DIV/0!</v>
      </c>
      <c r="M58" s="8"/>
      <c r="N58" s="138">
        <f t="shared" ref="N58" si="4">IF(ISNUMBER(L58),L58,0)</f>
        <v>0</v>
      </c>
      <c r="O58" s="61"/>
      <c r="P58" s="61"/>
      <c r="Q58" s="61"/>
    </row>
    <row r="59" spans="2:17" s="278" customFormat="1" ht="13.5" thickBot="1" x14ac:dyDescent="0.25">
      <c r="B59" s="464"/>
      <c r="C59" s="452" t="s">
        <v>269</v>
      </c>
      <c r="D59" s="453"/>
      <c r="E59" s="454"/>
      <c r="F59" s="466"/>
      <c r="G59" s="467"/>
      <c r="H59" s="148"/>
      <c r="I59" s="138"/>
      <c r="J59" s="29"/>
      <c r="K59" s="149"/>
      <c r="L59" s="150"/>
      <c r="M59" s="83"/>
      <c r="N59" s="61"/>
      <c r="O59" s="61"/>
      <c r="P59" s="61" t="s">
        <v>268</v>
      </c>
      <c r="Q59" s="61" t="e">
        <f>IF(F59="Exempt all taxes",0,(J58*FICA)+(J58*Medicare))</f>
        <v>#DIV/0!</v>
      </c>
    </row>
    <row r="60" spans="2:17" s="278" customFormat="1" ht="13.5" thickBot="1" x14ac:dyDescent="0.25">
      <c r="B60" s="464"/>
      <c r="C60" s="458"/>
      <c r="D60" s="459"/>
      <c r="E60" s="459"/>
      <c r="F60" s="459"/>
      <c r="G60" s="459"/>
      <c r="H60" s="459"/>
      <c r="I60" s="459"/>
      <c r="J60" s="459"/>
      <c r="K60" s="459"/>
      <c r="L60" s="460"/>
      <c r="M60" s="83"/>
      <c r="N60" s="61"/>
      <c r="O60" s="61"/>
      <c r="P60" s="61" t="s">
        <v>267</v>
      </c>
      <c r="Q60" s="61" t="e">
        <f>IF(J58&gt;=SUTA_Max,((FUTA_Max*FUTA)+(SUTA_Max*I58)+(J58*FICA)+(J58*Medicare)),IF(J58&gt;=FUTA_Max,((FUTA_Max*FUTA)+(J58*I58)+(J58*FICA)+(J58*Medicare)),IF(J58&lt;FUTA_Max,(J58*Total_Tax+I58))))</f>
        <v>#DIV/0!</v>
      </c>
    </row>
    <row r="61" spans="2:17" s="278" customFormat="1" ht="27" thickBot="1" x14ac:dyDescent="0.3">
      <c r="B61" s="464"/>
      <c r="C61" s="151" t="s">
        <v>52</v>
      </c>
      <c r="D61" s="60"/>
      <c r="E61" s="468" t="s">
        <v>85</v>
      </c>
      <c r="F61" s="469"/>
      <c r="G61" s="153" t="s">
        <v>245</v>
      </c>
      <c r="H61" s="152" t="s">
        <v>40</v>
      </c>
      <c r="I61" s="265" t="s">
        <v>45</v>
      </c>
      <c r="J61" s="153" t="s">
        <v>49</v>
      </c>
      <c r="K61" s="154" t="s">
        <v>41</v>
      </c>
      <c r="L61" s="150"/>
      <c r="M61" s="69"/>
      <c r="N61" s="61"/>
      <c r="O61" s="61"/>
      <c r="P61" s="61"/>
      <c r="Q61" s="61"/>
    </row>
    <row r="62" spans="2:17" s="278" customFormat="1" ht="13.5" thickBot="1" x14ac:dyDescent="0.25">
      <c r="B62" s="464"/>
      <c r="C62" s="277"/>
      <c r="E62" s="444"/>
      <c r="F62" s="445"/>
      <c r="G62" s="70"/>
      <c r="H62" s="168"/>
      <c r="I62" s="155">
        <f t="shared" ref="I62" si="5">H58</f>
        <v>0</v>
      </c>
      <c r="J62" s="156"/>
      <c r="K62" s="157">
        <f t="shared" ref="K62:K64" si="6">G62*H62*I62</f>
        <v>0</v>
      </c>
      <c r="L62" s="150"/>
      <c r="M62" s="104"/>
      <c r="N62" s="61"/>
      <c r="O62" s="266" t="e">
        <f t="shared" ref="O62" si="7">(G62/Q65)*H62</f>
        <v>#DIV/0!</v>
      </c>
      <c r="P62" s="61"/>
      <c r="Q62" s="267" t="e">
        <f t="shared" ref="Q62" si="8">SUM(O62:O64)</f>
        <v>#DIV/0!</v>
      </c>
    </row>
    <row r="63" spans="2:17" s="278" customFormat="1" ht="13.5" thickBot="1" x14ac:dyDescent="0.25">
      <c r="B63" s="464"/>
      <c r="C63" s="277"/>
      <c r="E63" s="446"/>
      <c r="F63" s="447"/>
      <c r="G63" s="70"/>
      <c r="H63" s="168"/>
      <c r="I63" s="155">
        <f t="shared" ref="I63" si="9">H58</f>
        <v>0</v>
      </c>
      <c r="J63" s="249"/>
      <c r="K63" s="157">
        <f t="shared" si="6"/>
        <v>0</v>
      </c>
      <c r="L63" s="150"/>
      <c r="M63" s="104"/>
      <c r="N63" s="61"/>
      <c r="O63" s="266" t="e">
        <f t="shared" ref="O63" si="10">(G63/Q65)*H63</f>
        <v>#DIV/0!</v>
      </c>
      <c r="P63" s="61"/>
      <c r="Q63" s="267"/>
    </row>
    <row r="64" spans="2:17" s="278" customFormat="1" ht="13.5" thickBot="1" x14ac:dyDescent="0.25">
      <c r="B64" s="464"/>
      <c r="C64" s="277"/>
      <c r="E64" s="446"/>
      <c r="F64" s="447"/>
      <c r="G64" s="70"/>
      <c r="H64" s="168"/>
      <c r="I64" s="155">
        <f t="shared" ref="I64" si="11">H58</f>
        <v>0</v>
      </c>
      <c r="J64" s="249"/>
      <c r="K64" s="157">
        <f t="shared" si="6"/>
        <v>0</v>
      </c>
      <c r="L64" s="150"/>
      <c r="M64" s="104"/>
      <c r="N64" s="61"/>
      <c r="O64" s="266" t="e">
        <f t="shared" ref="O64" si="12">(G64/Q65)*H64</f>
        <v>#DIV/0!</v>
      </c>
      <c r="P64" s="61"/>
      <c r="Q64" s="267"/>
    </row>
    <row r="65" spans="2:17" s="278" customFormat="1" ht="13.5" thickBot="1" x14ac:dyDescent="0.25">
      <c r="B65" s="464"/>
      <c r="C65" s="277"/>
      <c r="E65" s="470" t="s">
        <v>24</v>
      </c>
      <c r="F65" s="471"/>
      <c r="G65" s="70"/>
      <c r="H65" s="260"/>
      <c r="I65" s="261">
        <f t="shared" ref="I65" si="13">H58</f>
        <v>0</v>
      </c>
      <c r="J65" s="262" t="e">
        <f t="shared" ref="J65" si="14">Q62*1.5</f>
        <v>#DIV/0!</v>
      </c>
      <c r="K65" s="263" t="e">
        <f t="shared" ref="K65" si="15">G65*I65*J65</f>
        <v>#DIV/0!</v>
      </c>
      <c r="L65" s="150"/>
      <c r="M65" s="104"/>
      <c r="N65" s="61"/>
      <c r="O65" s="94"/>
      <c r="P65" s="61"/>
      <c r="Q65" s="267">
        <f t="shared" ref="Q65" si="16">SUM(G62:G64)</f>
        <v>0</v>
      </c>
    </row>
    <row r="66" spans="2:17" s="278" customFormat="1" x14ac:dyDescent="0.2">
      <c r="B66" s="464"/>
      <c r="C66" s="277"/>
      <c r="D66" s="472" t="s">
        <v>115</v>
      </c>
      <c r="E66" s="472"/>
      <c r="F66" s="472"/>
      <c r="G66" s="472"/>
      <c r="H66" s="472"/>
      <c r="I66" s="472"/>
      <c r="J66" s="472"/>
      <c r="K66" s="472"/>
      <c r="L66" s="158"/>
      <c r="M66" s="104"/>
      <c r="N66" s="61"/>
      <c r="O66" s="266"/>
      <c r="P66" s="61"/>
      <c r="Q66" s="267"/>
    </row>
    <row r="67" spans="2:17" s="278" customFormat="1" x14ac:dyDescent="0.2">
      <c r="B67" s="464"/>
      <c r="C67" s="159"/>
      <c r="D67" s="472"/>
      <c r="E67" s="472"/>
      <c r="F67" s="472"/>
      <c r="G67" s="472"/>
      <c r="H67" s="472"/>
      <c r="I67" s="472"/>
      <c r="J67" s="472"/>
      <c r="K67" s="472"/>
      <c r="L67" s="158"/>
      <c r="M67" s="104"/>
      <c r="N67" s="8"/>
      <c r="O67" s="266"/>
      <c r="P67" s="61"/>
      <c r="Q67" s="267"/>
    </row>
    <row r="68" spans="2:17" s="278" customFormat="1" ht="13.5" thickBot="1" x14ac:dyDescent="0.25">
      <c r="B68" s="464"/>
      <c r="C68" s="276"/>
      <c r="D68" s="5"/>
      <c r="E68" s="5"/>
      <c r="F68" s="5"/>
      <c r="G68" s="5"/>
      <c r="H68" s="5"/>
      <c r="I68" s="5"/>
      <c r="J68" s="5"/>
      <c r="K68" s="5"/>
      <c r="L68" s="160"/>
      <c r="M68" s="104"/>
      <c r="N68" s="8"/>
      <c r="O68" s="266"/>
      <c r="P68" s="61"/>
      <c r="Q68" s="267"/>
    </row>
    <row r="69" spans="2:17" s="278" customFormat="1" ht="27" thickBot="1" x14ac:dyDescent="0.3">
      <c r="B69" s="464"/>
      <c r="C69" s="151" t="s">
        <v>53</v>
      </c>
      <c r="D69" s="60"/>
      <c r="E69" s="473"/>
      <c r="F69" s="474"/>
      <c r="G69" s="161" t="s">
        <v>48</v>
      </c>
      <c r="H69" s="162" t="s">
        <v>54</v>
      </c>
      <c r="I69" s="163" t="s">
        <v>41</v>
      </c>
      <c r="L69" s="150"/>
      <c r="M69" s="280"/>
      <c r="N69" s="275"/>
      <c r="O69" s="266"/>
      <c r="P69" s="61"/>
      <c r="Q69" s="267"/>
    </row>
    <row r="70" spans="2:17" s="278" customFormat="1" ht="13.5" thickBot="1" x14ac:dyDescent="0.25">
      <c r="B70" s="464"/>
      <c r="C70" s="276"/>
      <c r="E70" s="475" t="s">
        <v>28</v>
      </c>
      <c r="F70" s="476"/>
      <c r="G70" s="108"/>
      <c r="H70" s="109"/>
      <c r="I70" s="71">
        <f t="shared" ref="I70:I74" si="17">G70*H70</f>
        <v>0</v>
      </c>
      <c r="L70" s="150"/>
      <c r="M70" s="104"/>
      <c r="N70" s="8"/>
      <c r="O70" s="266"/>
      <c r="P70" s="61"/>
      <c r="Q70" s="267"/>
    </row>
    <row r="71" spans="2:17" s="278" customFormat="1" ht="13.5" thickBot="1" x14ac:dyDescent="0.25">
      <c r="B71" s="464"/>
      <c r="C71" s="276"/>
      <c r="E71" s="450" t="s">
        <v>25</v>
      </c>
      <c r="F71" s="451"/>
      <c r="G71" s="110"/>
      <c r="H71" s="111"/>
      <c r="I71" s="71">
        <f t="shared" si="17"/>
        <v>0</v>
      </c>
      <c r="L71" s="150"/>
      <c r="M71" s="8"/>
      <c r="N71" s="8"/>
      <c r="O71" s="61"/>
      <c r="P71" s="61"/>
      <c r="Q71" s="61"/>
    </row>
    <row r="72" spans="2:17" s="278" customFormat="1" ht="13.5" thickBot="1" x14ac:dyDescent="0.25">
      <c r="B72" s="464"/>
      <c r="C72" s="276"/>
      <c r="E72" s="450" t="s">
        <v>26</v>
      </c>
      <c r="F72" s="451"/>
      <c r="G72" s="110"/>
      <c r="H72" s="111"/>
      <c r="I72" s="71">
        <f t="shared" si="17"/>
        <v>0</v>
      </c>
      <c r="L72" s="150"/>
      <c r="M72" s="104"/>
      <c r="N72" s="61"/>
      <c r="O72" s="61"/>
      <c r="P72" s="61"/>
      <c r="Q72" s="61"/>
    </row>
    <row r="73" spans="2:17" s="278" customFormat="1" ht="13.5" thickBot="1" x14ac:dyDescent="0.25">
      <c r="B73" s="464"/>
      <c r="C73" s="276"/>
      <c r="E73" s="448" t="s">
        <v>27</v>
      </c>
      <c r="F73" s="449"/>
      <c r="G73" s="110"/>
      <c r="H73" s="111"/>
      <c r="I73" s="71">
        <f t="shared" si="17"/>
        <v>0</v>
      </c>
      <c r="L73" s="150"/>
      <c r="M73" s="104"/>
      <c r="N73" s="8"/>
      <c r="O73" s="61"/>
      <c r="P73" s="61"/>
      <c r="Q73" s="61"/>
    </row>
    <row r="74" spans="2:17" s="278" customFormat="1" ht="13.5" thickBot="1" x14ac:dyDescent="0.25">
      <c r="B74" s="465"/>
      <c r="C74" s="279"/>
      <c r="D74" s="9"/>
      <c r="E74" s="461" t="s">
        <v>50</v>
      </c>
      <c r="F74" s="462"/>
      <c r="G74" s="112"/>
      <c r="H74" s="113"/>
      <c r="I74" s="165">
        <f t="shared" si="17"/>
        <v>0</v>
      </c>
      <c r="J74" s="9"/>
      <c r="K74" s="166"/>
      <c r="L74" s="147"/>
      <c r="M74" s="104"/>
      <c r="N74" s="61"/>
      <c r="O74" s="61"/>
      <c r="P74" s="61"/>
      <c r="Q74" s="61"/>
    </row>
    <row r="75" spans="2:17" s="278" customFormat="1" ht="13.5" thickBot="1" x14ac:dyDescent="0.25">
      <c r="B75" s="269"/>
      <c r="C75" s="69"/>
      <c r="D75" s="8"/>
      <c r="E75" s="270"/>
      <c r="F75" s="270"/>
      <c r="G75" s="271"/>
      <c r="H75" s="272"/>
      <c r="I75" s="138"/>
      <c r="J75" s="273"/>
      <c r="K75" s="274"/>
      <c r="L75" s="274"/>
      <c r="M75" s="104"/>
      <c r="N75" s="8"/>
      <c r="O75" s="8"/>
      <c r="P75" s="8"/>
      <c r="Q75" s="8"/>
    </row>
    <row r="76" spans="2:17" s="278" customFormat="1" ht="26.25" thickBot="1" x14ac:dyDescent="0.25">
      <c r="B76" s="463">
        <v>4</v>
      </c>
      <c r="C76" s="140" t="s">
        <v>112</v>
      </c>
      <c r="D76" s="122"/>
      <c r="E76" s="141"/>
      <c r="F76" s="141" t="s">
        <v>46</v>
      </c>
      <c r="G76" s="141" t="s">
        <v>47</v>
      </c>
      <c r="H76" s="121" t="s">
        <v>87</v>
      </c>
      <c r="I76" s="141" t="s">
        <v>51</v>
      </c>
      <c r="J76" s="142" t="s">
        <v>42</v>
      </c>
      <c r="K76" s="143" t="s">
        <v>43</v>
      </c>
      <c r="L76" s="144" t="s">
        <v>44</v>
      </c>
      <c r="M76" s="104"/>
      <c r="N76" s="8"/>
      <c r="O76" s="66"/>
      <c r="P76" s="61"/>
      <c r="Q76" s="61"/>
    </row>
    <row r="77" spans="2:17" s="278" customFormat="1" ht="13.5" thickBot="1" x14ac:dyDescent="0.25">
      <c r="B77" s="464"/>
      <c r="C77" s="455"/>
      <c r="D77" s="456"/>
      <c r="E77" s="457"/>
      <c r="F77" s="105"/>
      <c r="G77" s="106"/>
      <c r="H77" s="145">
        <f t="shared" ref="H77" si="18">ROUNDUP((G77-F77)/7,0)</f>
        <v>0</v>
      </c>
      <c r="I77" s="107"/>
      <c r="J77" s="146" t="e">
        <f t="shared" ref="J77" si="19">(SUM(K81:K84))+(SUM(I89:I93))</f>
        <v>#DIV/0!</v>
      </c>
      <c r="K77" s="268" t="e">
        <f t="shared" ref="K77" si="20">IF(F78="No",Q79,Q78)</f>
        <v>#DIV/0!</v>
      </c>
      <c r="L77" s="147" t="e">
        <f t="shared" ref="L77" si="21">SUM(J77:K77)</f>
        <v>#DIV/0!</v>
      </c>
      <c r="M77" s="8"/>
      <c r="N77" s="138">
        <f t="shared" ref="N77" si="22">IF(ISNUMBER(L77),L77,0)</f>
        <v>0</v>
      </c>
      <c r="O77" s="61"/>
      <c r="P77" s="61"/>
      <c r="Q77" s="61"/>
    </row>
    <row r="78" spans="2:17" s="278" customFormat="1" ht="13.5" thickBot="1" x14ac:dyDescent="0.25">
      <c r="B78" s="464"/>
      <c r="C78" s="452" t="s">
        <v>269</v>
      </c>
      <c r="D78" s="453"/>
      <c r="E78" s="454"/>
      <c r="F78" s="466"/>
      <c r="G78" s="467"/>
      <c r="H78" s="148"/>
      <c r="I78" s="138"/>
      <c r="J78" s="29"/>
      <c r="K78" s="149"/>
      <c r="L78" s="150"/>
      <c r="M78" s="83"/>
      <c r="N78" s="61"/>
      <c r="O78" s="61"/>
      <c r="P78" s="61" t="s">
        <v>268</v>
      </c>
      <c r="Q78" s="61" t="e">
        <f>IF(F78="Exempt all taxes",0,(J77*FICA)+(J77*Medicare))</f>
        <v>#DIV/0!</v>
      </c>
    </row>
    <row r="79" spans="2:17" s="278" customFormat="1" ht="13.5" thickBot="1" x14ac:dyDescent="0.25">
      <c r="B79" s="464"/>
      <c r="C79" s="458"/>
      <c r="D79" s="459"/>
      <c r="E79" s="459"/>
      <c r="F79" s="459"/>
      <c r="G79" s="459"/>
      <c r="H79" s="459"/>
      <c r="I79" s="459"/>
      <c r="J79" s="459"/>
      <c r="K79" s="459"/>
      <c r="L79" s="460"/>
      <c r="M79" s="83"/>
      <c r="N79" s="61"/>
      <c r="O79" s="61"/>
      <c r="P79" s="61" t="s">
        <v>267</v>
      </c>
      <c r="Q79" s="61" t="e">
        <f>IF(J77&gt;=SUTA_Max,((FUTA_Max*FUTA)+(SUTA_Max*I77)+(J77*FICA)+(J77*Medicare)),IF(J77&gt;=FUTA_Max,((FUTA_Max*FUTA)+(J77*I77)+(J77*FICA)+(J77*Medicare)),IF(J77&lt;FUTA_Max,(J77*Total_Tax+I77))))</f>
        <v>#DIV/0!</v>
      </c>
    </row>
    <row r="80" spans="2:17" s="278" customFormat="1" ht="27" thickBot="1" x14ac:dyDescent="0.3">
      <c r="B80" s="464"/>
      <c r="C80" s="151" t="s">
        <v>52</v>
      </c>
      <c r="D80" s="60"/>
      <c r="E80" s="468" t="s">
        <v>85</v>
      </c>
      <c r="F80" s="469"/>
      <c r="G80" s="153" t="s">
        <v>245</v>
      </c>
      <c r="H80" s="152" t="s">
        <v>40</v>
      </c>
      <c r="I80" s="265" t="s">
        <v>45</v>
      </c>
      <c r="J80" s="153" t="s">
        <v>49</v>
      </c>
      <c r="K80" s="154" t="s">
        <v>41</v>
      </c>
      <c r="L80" s="150"/>
      <c r="M80" s="69"/>
      <c r="N80" s="61"/>
      <c r="O80" s="61"/>
      <c r="P80" s="61"/>
      <c r="Q80" s="61"/>
    </row>
    <row r="81" spans="2:17" s="278" customFormat="1" ht="13.5" thickBot="1" x14ac:dyDescent="0.25">
      <c r="B81" s="464"/>
      <c r="C81" s="277"/>
      <c r="E81" s="444"/>
      <c r="F81" s="445"/>
      <c r="G81" s="70"/>
      <c r="H81" s="168"/>
      <c r="I81" s="155">
        <f t="shared" ref="I81" si="23">H77</f>
        <v>0</v>
      </c>
      <c r="J81" s="156"/>
      <c r="K81" s="157">
        <f t="shared" ref="K81:K83" si="24">G81*H81*I81</f>
        <v>0</v>
      </c>
      <c r="L81" s="150"/>
      <c r="M81" s="104"/>
      <c r="N81" s="61"/>
      <c r="O81" s="266" t="e">
        <f t="shared" ref="O81" si="25">(G81/Q84)*H81</f>
        <v>#DIV/0!</v>
      </c>
      <c r="P81" s="61"/>
      <c r="Q81" s="267" t="e">
        <f t="shared" ref="Q81" si="26">SUM(O81:O83)</f>
        <v>#DIV/0!</v>
      </c>
    </row>
    <row r="82" spans="2:17" s="278" customFormat="1" ht="13.5" thickBot="1" x14ac:dyDescent="0.25">
      <c r="B82" s="464"/>
      <c r="C82" s="277"/>
      <c r="E82" s="446"/>
      <c r="F82" s="447"/>
      <c r="G82" s="70"/>
      <c r="H82" s="168"/>
      <c r="I82" s="155">
        <f t="shared" ref="I82" si="27">H77</f>
        <v>0</v>
      </c>
      <c r="J82" s="249"/>
      <c r="K82" s="157">
        <f t="shared" si="24"/>
        <v>0</v>
      </c>
      <c r="L82" s="150"/>
      <c r="M82" s="104"/>
      <c r="N82" s="61"/>
      <c r="O82" s="266" t="e">
        <f t="shared" ref="O82" si="28">(G82/Q84)*H82</f>
        <v>#DIV/0!</v>
      </c>
      <c r="P82" s="61"/>
      <c r="Q82" s="267"/>
    </row>
    <row r="83" spans="2:17" s="278" customFormat="1" ht="13.5" thickBot="1" x14ac:dyDescent="0.25">
      <c r="B83" s="464"/>
      <c r="C83" s="277"/>
      <c r="E83" s="446"/>
      <c r="F83" s="447"/>
      <c r="G83" s="70"/>
      <c r="H83" s="168"/>
      <c r="I83" s="155">
        <f t="shared" ref="I83" si="29">H77</f>
        <v>0</v>
      </c>
      <c r="J83" s="249"/>
      <c r="K83" s="157">
        <f t="shared" si="24"/>
        <v>0</v>
      </c>
      <c r="L83" s="150"/>
      <c r="M83" s="104"/>
      <c r="N83" s="61"/>
      <c r="O83" s="266" t="e">
        <f t="shared" ref="O83" si="30">(G83/Q84)*H83</f>
        <v>#DIV/0!</v>
      </c>
      <c r="P83" s="61"/>
      <c r="Q83" s="267"/>
    </row>
    <row r="84" spans="2:17" s="278" customFormat="1" ht="13.5" thickBot="1" x14ac:dyDescent="0.25">
      <c r="B84" s="464"/>
      <c r="C84" s="277"/>
      <c r="E84" s="470" t="s">
        <v>24</v>
      </c>
      <c r="F84" s="471"/>
      <c r="G84" s="70"/>
      <c r="H84" s="260"/>
      <c r="I84" s="261">
        <f t="shared" ref="I84" si="31">H77</f>
        <v>0</v>
      </c>
      <c r="J84" s="262" t="e">
        <f t="shared" ref="J84" si="32">Q81*1.5</f>
        <v>#DIV/0!</v>
      </c>
      <c r="K84" s="263" t="e">
        <f t="shared" ref="K84" si="33">G84*I84*J84</f>
        <v>#DIV/0!</v>
      </c>
      <c r="L84" s="150"/>
      <c r="M84" s="104"/>
      <c r="N84" s="61"/>
      <c r="O84" s="94"/>
      <c r="P84" s="61"/>
      <c r="Q84" s="267">
        <f t="shared" ref="Q84" si="34">SUM(G81:G83)</f>
        <v>0</v>
      </c>
    </row>
    <row r="85" spans="2:17" s="278" customFormat="1" x14ac:dyDescent="0.2">
      <c r="B85" s="464"/>
      <c r="C85" s="277"/>
      <c r="D85" s="472" t="s">
        <v>115</v>
      </c>
      <c r="E85" s="472"/>
      <c r="F85" s="472"/>
      <c r="G85" s="472"/>
      <c r="H85" s="472"/>
      <c r="I85" s="472"/>
      <c r="J85" s="472"/>
      <c r="K85" s="472"/>
      <c r="L85" s="158"/>
      <c r="M85" s="104"/>
      <c r="N85" s="61"/>
      <c r="O85" s="266"/>
      <c r="P85" s="61"/>
      <c r="Q85" s="267"/>
    </row>
    <row r="86" spans="2:17" s="278" customFormat="1" x14ac:dyDescent="0.2">
      <c r="B86" s="464"/>
      <c r="C86" s="159"/>
      <c r="D86" s="472"/>
      <c r="E86" s="472"/>
      <c r="F86" s="472"/>
      <c r="G86" s="472"/>
      <c r="H86" s="472"/>
      <c r="I86" s="472"/>
      <c r="J86" s="472"/>
      <c r="K86" s="472"/>
      <c r="L86" s="158"/>
      <c r="M86" s="104"/>
      <c r="N86" s="8"/>
      <c r="O86" s="266"/>
      <c r="P86" s="61"/>
      <c r="Q86" s="267"/>
    </row>
    <row r="87" spans="2:17" s="278" customFormat="1" ht="13.5" thickBot="1" x14ac:dyDescent="0.25">
      <c r="B87" s="464"/>
      <c r="C87" s="276"/>
      <c r="D87" s="5"/>
      <c r="E87" s="5"/>
      <c r="F87" s="5"/>
      <c r="G87" s="5"/>
      <c r="H87" s="5"/>
      <c r="I87" s="5"/>
      <c r="J87" s="5"/>
      <c r="K87" s="5"/>
      <c r="L87" s="160"/>
      <c r="M87" s="104"/>
      <c r="N87" s="8"/>
      <c r="O87" s="266"/>
      <c r="P87" s="61"/>
      <c r="Q87" s="267"/>
    </row>
    <row r="88" spans="2:17" s="278" customFormat="1" ht="27" thickBot="1" x14ac:dyDescent="0.3">
      <c r="B88" s="464"/>
      <c r="C88" s="151" t="s">
        <v>53</v>
      </c>
      <c r="D88" s="60"/>
      <c r="E88" s="473"/>
      <c r="F88" s="474"/>
      <c r="G88" s="161" t="s">
        <v>48</v>
      </c>
      <c r="H88" s="162" t="s">
        <v>54</v>
      </c>
      <c r="I88" s="163" t="s">
        <v>41</v>
      </c>
      <c r="L88" s="150"/>
      <c r="M88" s="280"/>
      <c r="N88" s="275"/>
      <c r="O88" s="266"/>
      <c r="P88" s="61"/>
      <c r="Q88" s="267"/>
    </row>
    <row r="89" spans="2:17" s="278" customFormat="1" ht="13.5" thickBot="1" x14ac:dyDescent="0.25">
      <c r="B89" s="464"/>
      <c r="C89" s="276"/>
      <c r="E89" s="475" t="s">
        <v>28</v>
      </c>
      <c r="F89" s="476"/>
      <c r="G89" s="108"/>
      <c r="H89" s="109"/>
      <c r="I89" s="71">
        <f t="shared" ref="I89:I93" si="35">G89*H89</f>
        <v>0</v>
      </c>
      <c r="L89" s="150"/>
      <c r="M89" s="104"/>
      <c r="N89" s="8"/>
      <c r="O89" s="266"/>
      <c r="P89" s="61"/>
      <c r="Q89" s="267"/>
    </row>
    <row r="90" spans="2:17" s="278" customFormat="1" ht="13.5" thickBot="1" x14ac:dyDescent="0.25">
      <c r="B90" s="464"/>
      <c r="C90" s="276"/>
      <c r="E90" s="450" t="s">
        <v>25</v>
      </c>
      <c r="F90" s="451"/>
      <c r="G90" s="110"/>
      <c r="H90" s="111"/>
      <c r="I90" s="71">
        <f t="shared" si="35"/>
        <v>0</v>
      </c>
      <c r="L90" s="150"/>
      <c r="M90" s="8"/>
      <c r="N90" s="8"/>
      <c r="O90" s="61"/>
      <c r="P90" s="61"/>
      <c r="Q90" s="61"/>
    </row>
    <row r="91" spans="2:17" s="278" customFormat="1" ht="13.5" thickBot="1" x14ac:dyDescent="0.25">
      <c r="B91" s="464"/>
      <c r="C91" s="276"/>
      <c r="E91" s="450" t="s">
        <v>26</v>
      </c>
      <c r="F91" s="451"/>
      <c r="G91" s="110"/>
      <c r="H91" s="111"/>
      <c r="I91" s="71">
        <f t="shared" si="35"/>
        <v>0</v>
      </c>
      <c r="L91" s="150"/>
      <c r="M91" s="104"/>
      <c r="N91" s="61"/>
      <c r="O91" s="61"/>
      <c r="P91" s="61"/>
      <c r="Q91" s="61"/>
    </row>
    <row r="92" spans="2:17" s="278" customFormat="1" ht="13.5" thickBot="1" x14ac:dyDescent="0.25">
      <c r="B92" s="464"/>
      <c r="C92" s="276"/>
      <c r="E92" s="448" t="s">
        <v>27</v>
      </c>
      <c r="F92" s="449"/>
      <c r="G92" s="110"/>
      <c r="H92" s="111"/>
      <c r="I92" s="71">
        <f t="shared" si="35"/>
        <v>0</v>
      </c>
      <c r="L92" s="150"/>
      <c r="M92" s="104"/>
      <c r="N92" s="8"/>
      <c r="O92" s="61"/>
      <c r="P92" s="61"/>
      <c r="Q92" s="61"/>
    </row>
    <row r="93" spans="2:17" s="278" customFormat="1" ht="13.5" thickBot="1" x14ac:dyDescent="0.25">
      <c r="B93" s="465"/>
      <c r="C93" s="279"/>
      <c r="D93" s="9"/>
      <c r="E93" s="461" t="s">
        <v>50</v>
      </c>
      <c r="F93" s="462"/>
      <c r="G93" s="112"/>
      <c r="H93" s="113"/>
      <c r="I93" s="165">
        <f t="shared" si="35"/>
        <v>0</v>
      </c>
      <c r="J93" s="9"/>
      <c r="K93" s="166"/>
      <c r="L93" s="147"/>
      <c r="M93" s="104"/>
      <c r="N93" s="61"/>
      <c r="O93" s="61"/>
      <c r="P93" s="61"/>
      <c r="Q93" s="61"/>
    </row>
    <row r="94" spans="2:17" s="278" customFormat="1" ht="13.5" thickBot="1" x14ac:dyDescent="0.25">
      <c r="B94" s="269"/>
      <c r="C94" s="69"/>
      <c r="D94" s="8"/>
      <c r="E94" s="270"/>
      <c r="F94" s="270"/>
      <c r="G94" s="271"/>
      <c r="H94" s="272"/>
      <c r="I94" s="138"/>
      <c r="J94" s="273"/>
      <c r="K94" s="274"/>
      <c r="L94" s="274"/>
      <c r="M94" s="104"/>
      <c r="N94" s="8"/>
      <c r="O94" s="8"/>
      <c r="P94" s="8"/>
      <c r="Q94" s="8"/>
    </row>
    <row r="95" spans="2:17" s="278" customFormat="1" ht="26.25" thickBot="1" x14ac:dyDescent="0.25">
      <c r="B95" s="463">
        <v>5</v>
      </c>
      <c r="C95" s="140" t="s">
        <v>112</v>
      </c>
      <c r="D95" s="122"/>
      <c r="E95" s="141"/>
      <c r="F95" s="141" t="s">
        <v>46</v>
      </c>
      <c r="G95" s="141" t="s">
        <v>47</v>
      </c>
      <c r="H95" s="121" t="s">
        <v>87</v>
      </c>
      <c r="I95" s="141" t="s">
        <v>51</v>
      </c>
      <c r="J95" s="142" t="s">
        <v>42</v>
      </c>
      <c r="K95" s="143" t="s">
        <v>43</v>
      </c>
      <c r="L95" s="144" t="s">
        <v>44</v>
      </c>
      <c r="M95" s="104"/>
      <c r="N95" s="8"/>
      <c r="O95" s="66"/>
      <c r="P95" s="61"/>
      <c r="Q95" s="61"/>
    </row>
    <row r="96" spans="2:17" s="278" customFormat="1" ht="13.5" thickBot="1" x14ac:dyDescent="0.25">
      <c r="B96" s="464"/>
      <c r="C96" s="455"/>
      <c r="D96" s="456"/>
      <c r="E96" s="457"/>
      <c r="F96" s="105"/>
      <c r="G96" s="106"/>
      <c r="H96" s="145">
        <f t="shared" ref="H96" si="36">ROUNDUP((G96-F96)/7,0)</f>
        <v>0</v>
      </c>
      <c r="I96" s="107"/>
      <c r="J96" s="146" t="e">
        <f t="shared" ref="J96" si="37">(SUM(K100:K103))+(SUM(I108:I112))</f>
        <v>#DIV/0!</v>
      </c>
      <c r="K96" s="268" t="e">
        <f t="shared" ref="K96" si="38">IF(F97="No",Q98,Q97)</f>
        <v>#DIV/0!</v>
      </c>
      <c r="L96" s="147" t="e">
        <f t="shared" ref="L96" si="39">SUM(J96:K96)</f>
        <v>#DIV/0!</v>
      </c>
      <c r="M96" s="8"/>
      <c r="N96" s="138">
        <f t="shared" ref="N96" si="40">IF(ISNUMBER(L96),L96,0)</f>
        <v>0</v>
      </c>
      <c r="O96" s="61"/>
      <c r="P96" s="61"/>
      <c r="Q96" s="61"/>
    </row>
    <row r="97" spans="2:17" s="278" customFormat="1" ht="13.5" thickBot="1" x14ac:dyDescent="0.25">
      <c r="B97" s="464"/>
      <c r="C97" s="452" t="s">
        <v>269</v>
      </c>
      <c r="D97" s="453"/>
      <c r="E97" s="454"/>
      <c r="F97" s="466"/>
      <c r="G97" s="467"/>
      <c r="H97" s="148"/>
      <c r="I97" s="138"/>
      <c r="J97" s="29"/>
      <c r="K97" s="149"/>
      <c r="L97" s="150"/>
      <c r="M97" s="83"/>
      <c r="N97" s="61"/>
      <c r="O97" s="61"/>
      <c r="P97" s="61" t="s">
        <v>268</v>
      </c>
      <c r="Q97" s="61" t="e">
        <f>IF(F97="Exempt all taxes",0,(J96*FICA)+(J96*Medicare))</f>
        <v>#DIV/0!</v>
      </c>
    </row>
    <row r="98" spans="2:17" s="278" customFormat="1" ht="13.5" thickBot="1" x14ac:dyDescent="0.25">
      <c r="B98" s="464"/>
      <c r="C98" s="458"/>
      <c r="D98" s="459"/>
      <c r="E98" s="459"/>
      <c r="F98" s="459"/>
      <c r="G98" s="459"/>
      <c r="H98" s="459"/>
      <c r="I98" s="459"/>
      <c r="J98" s="459"/>
      <c r="K98" s="459"/>
      <c r="L98" s="460"/>
      <c r="M98" s="83"/>
      <c r="N98" s="61"/>
      <c r="O98" s="61"/>
      <c r="P98" s="61" t="s">
        <v>267</v>
      </c>
      <c r="Q98" s="61" t="e">
        <f>IF(J96&gt;=SUTA_Max,((FUTA_Max*FUTA)+(SUTA_Max*I96)+(J96*FICA)+(J96*Medicare)),IF(J96&gt;=FUTA_Max,((FUTA_Max*FUTA)+(J96*I96)+(J96*FICA)+(J96*Medicare)),IF(J96&lt;FUTA_Max,(J96*Total_Tax+I96))))</f>
        <v>#DIV/0!</v>
      </c>
    </row>
    <row r="99" spans="2:17" s="278" customFormat="1" ht="27" thickBot="1" x14ac:dyDescent="0.3">
      <c r="B99" s="464"/>
      <c r="C99" s="151" t="s">
        <v>52</v>
      </c>
      <c r="D99" s="60"/>
      <c r="E99" s="468" t="s">
        <v>85</v>
      </c>
      <c r="F99" s="469"/>
      <c r="G99" s="153" t="s">
        <v>245</v>
      </c>
      <c r="H99" s="152" t="s">
        <v>40</v>
      </c>
      <c r="I99" s="265" t="s">
        <v>45</v>
      </c>
      <c r="J99" s="153" t="s">
        <v>49</v>
      </c>
      <c r="K99" s="154" t="s">
        <v>41</v>
      </c>
      <c r="L99" s="150"/>
      <c r="M99" s="69"/>
      <c r="N99" s="61"/>
      <c r="O99" s="61"/>
      <c r="P99" s="61"/>
      <c r="Q99" s="61"/>
    </row>
    <row r="100" spans="2:17" s="278" customFormat="1" ht="13.5" thickBot="1" x14ac:dyDescent="0.25">
      <c r="B100" s="464"/>
      <c r="C100" s="277"/>
      <c r="E100" s="444"/>
      <c r="F100" s="445"/>
      <c r="G100" s="70"/>
      <c r="H100" s="168"/>
      <c r="I100" s="155">
        <f t="shared" ref="I100" si="41">H96</f>
        <v>0</v>
      </c>
      <c r="J100" s="156"/>
      <c r="K100" s="157">
        <f t="shared" ref="K100:K102" si="42">G100*H100*I100</f>
        <v>0</v>
      </c>
      <c r="L100" s="150"/>
      <c r="M100" s="104"/>
      <c r="N100" s="61"/>
      <c r="O100" s="266" t="e">
        <f t="shared" ref="O100" si="43">(G100/Q103)*H100</f>
        <v>#DIV/0!</v>
      </c>
      <c r="P100" s="61"/>
      <c r="Q100" s="267" t="e">
        <f t="shared" ref="Q100" si="44">SUM(O100:O102)</f>
        <v>#DIV/0!</v>
      </c>
    </row>
    <row r="101" spans="2:17" s="278" customFormat="1" ht="13.5" thickBot="1" x14ac:dyDescent="0.25">
      <c r="B101" s="464"/>
      <c r="C101" s="277"/>
      <c r="E101" s="446"/>
      <c r="F101" s="447"/>
      <c r="G101" s="70"/>
      <c r="H101" s="168"/>
      <c r="I101" s="155">
        <f t="shared" ref="I101" si="45">H96</f>
        <v>0</v>
      </c>
      <c r="J101" s="249"/>
      <c r="K101" s="157">
        <f t="shared" si="42"/>
        <v>0</v>
      </c>
      <c r="L101" s="150"/>
      <c r="M101" s="104"/>
      <c r="N101" s="61"/>
      <c r="O101" s="266" t="e">
        <f t="shared" ref="O101" si="46">(G101/Q103)*H101</f>
        <v>#DIV/0!</v>
      </c>
      <c r="P101" s="61"/>
      <c r="Q101" s="267"/>
    </row>
    <row r="102" spans="2:17" s="278" customFormat="1" ht="13.5" thickBot="1" x14ac:dyDescent="0.25">
      <c r="B102" s="464"/>
      <c r="C102" s="277"/>
      <c r="E102" s="446"/>
      <c r="F102" s="447"/>
      <c r="G102" s="70"/>
      <c r="H102" s="168"/>
      <c r="I102" s="155">
        <f t="shared" ref="I102" si="47">H96</f>
        <v>0</v>
      </c>
      <c r="J102" s="249"/>
      <c r="K102" s="157">
        <f t="shared" si="42"/>
        <v>0</v>
      </c>
      <c r="L102" s="150"/>
      <c r="M102" s="104"/>
      <c r="N102" s="61"/>
      <c r="O102" s="266" t="e">
        <f t="shared" ref="O102" si="48">(G102/Q103)*H102</f>
        <v>#DIV/0!</v>
      </c>
      <c r="P102" s="61"/>
      <c r="Q102" s="267"/>
    </row>
    <row r="103" spans="2:17" s="278" customFormat="1" ht="13.5" thickBot="1" x14ac:dyDescent="0.25">
      <c r="B103" s="464"/>
      <c r="C103" s="277"/>
      <c r="E103" s="470" t="s">
        <v>24</v>
      </c>
      <c r="F103" s="471"/>
      <c r="G103" s="70"/>
      <c r="H103" s="260"/>
      <c r="I103" s="261">
        <f t="shared" ref="I103" si="49">H96</f>
        <v>0</v>
      </c>
      <c r="J103" s="262" t="e">
        <f t="shared" ref="J103" si="50">Q100*1.5</f>
        <v>#DIV/0!</v>
      </c>
      <c r="K103" s="263" t="e">
        <f t="shared" ref="K103" si="51">G103*I103*J103</f>
        <v>#DIV/0!</v>
      </c>
      <c r="L103" s="150"/>
      <c r="M103" s="104"/>
      <c r="N103" s="61"/>
      <c r="O103" s="94"/>
      <c r="P103" s="61"/>
      <c r="Q103" s="267">
        <f t="shared" ref="Q103" si="52">SUM(G100:G102)</f>
        <v>0</v>
      </c>
    </row>
    <row r="104" spans="2:17" s="278" customFormat="1" x14ac:dyDescent="0.2">
      <c r="B104" s="464"/>
      <c r="C104" s="277"/>
      <c r="D104" s="472" t="s">
        <v>115</v>
      </c>
      <c r="E104" s="472"/>
      <c r="F104" s="472"/>
      <c r="G104" s="472"/>
      <c r="H104" s="472"/>
      <c r="I104" s="472"/>
      <c r="J104" s="472"/>
      <c r="K104" s="472"/>
      <c r="L104" s="158"/>
      <c r="M104" s="104"/>
      <c r="N104" s="61"/>
      <c r="O104" s="266"/>
      <c r="P104" s="61"/>
      <c r="Q104" s="267"/>
    </row>
    <row r="105" spans="2:17" s="278" customFormat="1" x14ac:dyDescent="0.2">
      <c r="B105" s="464"/>
      <c r="C105" s="159"/>
      <c r="D105" s="472"/>
      <c r="E105" s="472"/>
      <c r="F105" s="472"/>
      <c r="G105" s="472"/>
      <c r="H105" s="472"/>
      <c r="I105" s="472"/>
      <c r="J105" s="472"/>
      <c r="K105" s="472"/>
      <c r="L105" s="158"/>
      <c r="M105" s="104"/>
      <c r="N105" s="8"/>
      <c r="O105" s="266"/>
      <c r="P105" s="61"/>
      <c r="Q105" s="267"/>
    </row>
    <row r="106" spans="2:17" s="278" customFormat="1" ht="13.5" thickBot="1" x14ac:dyDescent="0.25">
      <c r="B106" s="464"/>
      <c r="C106" s="276"/>
      <c r="D106" s="5"/>
      <c r="E106" s="5"/>
      <c r="F106" s="5"/>
      <c r="G106" s="5"/>
      <c r="H106" s="5"/>
      <c r="I106" s="5"/>
      <c r="J106" s="5"/>
      <c r="K106" s="5"/>
      <c r="L106" s="160"/>
      <c r="M106" s="104"/>
      <c r="N106" s="8"/>
      <c r="O106" s="266"/>
      <c r="P106" s="61"/>
      <c r="Q106" s="267"/>
    </row>
    <row r="107" spans="2:17" s="278" customFormat="1" ht="27" thickBot="1" x14ac:dyDescent="0.3">
      <c r="B107" s="464"/>
      <c r="C107" s="151" t="s">
        <v>53</v>
      </c>
      <c r="D107" s="60"/>
      <c r="E107" s="473"/>
      <c r="F107" s="474"/>
      <c r="G107" s="161" t="s">
        <v>48</v>
      </c>
      <c r="H107" s="162" t="s">
        <v>54</v>
      </c>
      <c r="I107" s="163" t="s">
        <v>41</v>
      </c>
      <c r="L107" s="150"/>
      <c r="M107" s="280"/>
      <c r="N107" s="275"/>
      <c r="O107" s="266"/>
      <c r="P107" s="61"/>
      <c r="Q107" s="267"/>
    </row>
    <row r="108" spans="2:17" s="278" customFormat="1" ht="13.5" thickBot="1" x14ac:dyDescent="0.25">
      <c r="B108" s="464"/>
      <c r="C108" s="276"/>
      <c r="E108" s="475" t="s">
        <v>28</v>
      </c>
      <c r="F108" s="476"/>
      <c r="G108" s="108"/>
      <c r="H108" s="109"/>
      <c r="I108" s="71">
        <f t="shared" ref="I108:I112" si="53">G108*H108</f>
        <v>0</v>
      </c>
      <c r="L108" s="150"/>
      <c r="M108" s="104"/>
      <c r="N108" s="8"/>
      <c r="O108" s="266"/>
      <c r="P108" s="61"/>
      <c r="Q108" s="267"/>
    </row>
    <row r="109" spans="2:17" s="278" customFormat="1" ht="13.5" thickBot="1" x14ac:dyDescent="0.25">
      <c r="B109" s="464"/>
      <c r="C109" s="276"/>
      <c r="E109" s="450" t="s">
        <v>25</v>
      </c>
      <c r="F109" s="451"/>
      <c r="G109" s="110"/>
      <c r="H109" s="111"/>
      <c r="I109" s="71">
        <f t="shared" si="53"/>
        <v>0</v>
      </c>
      <c r="L109" s="150"/>
      <c r="M109" s="8"/>
      <c r="N109" s="8"/>
      <c r="O109" s="61"/>
      <c r="P109" s="61"/>
      <c r="Q109" s="61"/>
    </row>
    <row r="110" spans="2:17" s="278" customFormat="1" ht="13.5" thickBot="1" x14ac:dyDescent="0.25">
      <c r="B110" s="464"/>
      <c r="C110" s="276"/>
      <c r="E110" s="450" t="s">
        <v>26</v>
      </c>
      <c r="F110" s="451"/>
      <c r="G110" s="110"/>
      <c r="H110" s="111"/>
      <c r="I110" s="71">
        <f t="shared" si="53"/>
        <v>0</v>
      </c>
      <c r="L110" s="150"/>
      <c r="M110" s="104"/>
      <c r="N110" s="61"/>
      <c r="O110" s="61"/>
      <c r="P110" s="61"/>
      <c r="Q110" s="61"/>
    </row>
    <row r="111" spans="2:17" s="278" customFormat="1" ht="13.5" thickBot="1" x14ac:dyDescent="0.25">
      <c r="B111" s="464"/>
      <c r="C111" s="276"/>
      <c r="E111" s="448" t="s">
        <v>27</v>
      </c>
      <c r="F111" s="449"/>
      <c r="G111" s="110"/>
      <c r="H111" s="111"/>
      <c r="I111" s="71">
        <f t="shared" si="53"/>
        <v>0</v>
      </c>
      <c r="L111" s="150"/>
      <c r="M111" s="104"/>
      <c r="N111" s="8"/>
      <c r="O111" s="61"/>
      <c r="P111" s="61"/>
      <c r="Q111" s="61"/>
    </row>
    <row r="112" spans="2:17" s="278" customFormat="1" ht="13.5" thickBot="1" x14ac:dyDescent="0.25">
      <c r="B112" s="465"/>
      <c r="C112" s="279"/>
      <c r="D112" s="9"/>
      <c r="E112" s="461" t="s">
        <v>50</v>
      </c>
      <c r="F112" s="462"/>
      <c r="G112" s="112"/>
      <c r="H112" s="113"/>
      <c r="I112" s="165">
        <f t="shared" si="53"/>
        <v>0</v>
      </c>
      <c r="J112" s="9"/>
      <c r="K112" s="166"/>
      <c r="L112" s="147"/>
      <c r="M112" s="104"/>
      <c r="N112" s="61"/>
      <c r="O112" s="61"/>
      <c r="P112" s="61"/>
      <c r="Q112" s="61"/>
    </row>
    <row r="113" spans="2:17" s="278" customFormat="1" ht="13.5" thickBot="1" x14ac:dyDescent="0.25">
      <c r="B113" s="269"/>
      <c r="C113" s="69"/>
      <c r="D113" s="8"/>
      <c r="E113" s="270"/>
      <c r="F113" s="270"/>
      <c r="G113" s="271"/>
      <c r="H113" s="272"/>
      <c r="I113" s="138"/>
      <c r="J113" s="273"/>
      <c r="K113" s="274"/>
      <c r="L113" s="274"/>
      <c r="M113" s="104"/>
      <c r="N113" s="8"/>
      <c r="O113" s="8"/>
      <c r="P113" s="8"/>
      <c r="Q113" s="8"/>
    </row>
    <row r="114" spans="2:17" s="278" customFormat="1" ht="26.25" thickBot="1" x14ac:dyDescent="0.25">
      <c r="B114" s="463">
        <v>6</v>
      </c>
      <c r="C114" s="140" t="s">
        <v>112</v>
      </c>
      <c r="D114" s="122"/>
      <c r="E114" s="141"/>
      <c r="F114" s="141" t="s">
        <v>46</v>
      </c>
      <c r="G114" s="141" t="s">
        <v>47</v>
      </c>
      <c r="H114" s="121" t="s">
        <v>87</v>
      </c>
      <c r="I114" s="141" t="s">
        <v>51</v>
      </c>
      <c r="J114" s="142" t="s">
        <v>42</v>
      </c>
      <c r="K114" s="143" t="s">
        <v>43</v>
      </c>
      <c r="L114" s="144" t="s">
        <v>44</v>
      </c>
      <c r="M114" s="104"/>
      <c r="N114" s="8"/>
      <c r="O114" s="66"/>
      <c r="P114" s="61"/>
      <c r="Q114" s="61"/>
    </row>
    <row r="115" spans="2:17" s="278" customFormat="1" ht="13.5" thickBot="1" x14ac:dyDescent="0.25">
      <c r="B115" s="464"/>
      <c r="C115" s="455"/>
      <c r="D115" s="456"/>
      <c r="E115" s="457"/>
      <c r="F115" s="105"/>
      <c r="G115" s="106"/>
      <c r="H115" s="145">
        <f t="shared" ref="H115" si="54">ROUNDUP((G115-F115)/7,0)</f>
        <v>0</v>
      </c>
      <c r="I115" s="107"/>
      <c r="J115" s="146" t="e">
        <f t="shared" ref="J115" si="55">(SUM(K119:K122))+(SUM(I127:I131))</f>
        <v>#DIV/0!</v>
      </c>
      <c r="K115" s="268" t="e">
        <f t="shared" ref="K115" si="56">IF(F116="No",Q117,Q116)</f>
        <v>#DIV/0!</v>
      </c>
      <c r="L115" s="147" t="e">
        <f t="shared" ref="L115" si="57">SUM(J115:K115)</f>
        <v>#DIV/0!</v>
      </c>
      <c r="M115" s="8"/>
      <c r="N115" s="138">
        <f t="shared" ref="N115" si="58">IF(ISNUMBER(L115),L115,0)</f>
        <v>0</v>
      </c>
      <c r="O115" s="61"/>
      <c r="P115" s="61"/>
      <c r="Q115" s="61"/>
    </row>
    <row r="116" spans="2:17" s="278" customFormat="1" ht="13.5" thickBot="1" x14ac:dyDescent="0.25">
      <c r="B116" s="464"/>
      <c r="C116" s="452" t="s">
        <v>269</v>
      </c>
      <c r="D116" s="453"/>
      <c r="E116" s="454"/>
      <c r="F116" s="466"/>
      <c r="G116" s="467"/>
      <c r="H116" s="148"/>
      <c r="I116" s="138"/>
      <c r="J116" s="29"/>
      <c r="K116" s="149"/>
      <c r="L116" s="150"/>
      <c r="M116" s="83"/>
      <c r="N116" s="61"/>
      <c r="O116" s="61"/>
      <c r="P116" s="61" t="s">
        <v>268</v>
      </c>
      <c r="Q116" s="61" t="e">
        <f>IF(F116="Exempt all taxes",0,(J115*FICA)+(J115*Medicare))</f>
        <v>#DIV/0!</v>
      </c>
    </row>
    <row r="117" spans="2:17" s="278" customFormat="1" ht="13.5" thickBot="1" x14ac:dyDescent="0.25">
      <c r="B117" s="464"/>
      <c r="C117" s="458"/>
      <c r="D117" s="459"/>
      <c r="E117" s="459"/>
      <c r="F117" s="459"/>
      <c r="G117" s="459"/>
      <c r="H117" s="459"/>
      <c r="I117" s="459"/>
      <c r="J117" s="459"/>
      <c r="K117" s="459"/>
      <c r="L117" s="460"/>
      <c r="M117" s="83"/>
      <c r="N117" s="61"/>
      <c r="O117" s="61"/>
      <c r="P117" s="61" t="s">
        <v>267</v>
      </c>
      <c r="Q117" s="61" t="e">
        <f>IF(J115&gt;=SUTA_Max,((FUTA_Max*FUTA)+(SUTA_Max*I115)+(J115*FICA)+(J115*Medicare)),IF(J115&gt;=FUTA_Max,((FUTA_Max*FUTA)+(J115*I115)+(J115*FICA)+(J115*Medicare)),IF(J115&lt;FUTA_Max,(J115*Total_Tax+I115))))</f>
        <v>#DIV/0!</v>
      </c>
    </row>
    <row r="118" spans="2:17" s="278" customFormat="1" ht="27" thickBot="1" x14ac:dyDescent="0.3">
      <c r="B118" s="464"/>
      <c r="C118" s="151" t="s">
        <v>52</v>
      </c>
      <c r="D118" s="60"/>
      <c r="E118" s="468" t="s">
        <v>85</v>
      </c>
      <c r="F118" s="469"/>
      <c r="G118" s="153" t="s">
        <v>245</v>
      </c>
      <c r="H118" s="152" t="s">
        <v>40</v>
      </c>
      <c r="I118" s="265" t="s">
        <v>45</v>
      </c>
      <c r="J118" s="153" t="s">
        <v>49</v>
      </c>
      <c r="K118" s="154" t="s">
        <v>41</v>
      </c>
      <c r="L118" s="150"/>
      <c r="M118" s="69"/>
      <c r="N118" s="61"/>
      <c r="O118" s="61"/>
      <c r="P118" s="61"/>
      <c r="Q118" s="61"/>
    </row>
    <row r="119" spans="2:17" s="278" customFormat="1" ht="13.5" thickBot="1" x14ac:dyDescent="0.25">
      <c r="B119" s="464"/>
      <c r="C119" s="277"/>
      <c r="E119" s="444"/>
      <c r="F119" s="445"/>
      <c r="G119" s="70"/>
      <c r="H119" s="168"/>
      <c r="I119" s="155">
        <f t="shared" ref="I119" si="59">H115</f>
        <v>0</v>
      </c>
      <c r="J119" s="156"/>
      <c r="K119" s="157">
        <f t="shared" ref="K119:K121" si="60">G119*H119*I119</f>
        <v>0</v>
      </c>
      <c r="L119" s="150"/>
      <c r="M119" s="104"/>
      <c r="N119" s="61"/>
      <c r="O119" s="266" t="e">
        <f t="shared" ref="O119" si="61">(G119/Q122)*H119</f>
        <v>#DIV/0!</v>
      </c>
      <c r="P119" s="61"/>
      <c r="Q119" s="267" t="e">
        <f t="shared" ref="Q119" si="62">SUM(O119:O121)</f>
        <v>#DIV/0!</v>
      </c>
    </row>
    <row r="120" spans="2:17" s="278" customFormat="1" ht="13.5" thickBot="1" x14ac:dyDescent="0.25">
      <c r="B120" s="464"/>
      <c r="C120" s="277"/>
      <c r="E120" s="446"/>
      <c r="F120" s="447"/>
      <c r="G120" s="70"/>
      <c r="H120" s="168"/>
      <c r="I120" s="155">
        <f t="shared" ref="I120" si="63">H115</f>
        <v>0</v>
      </c>
      <c r="J120" s="249"/>
      <c r="K120" s="157">
        <f t="shared" si="60"/>
        <v>0</v>
      </c>
      <c r="L120" s="150"/>
      <c r="M120" s="104"/>
      <c r="N120" s="61"/>
      <c r="O120" s="266" t="e">
        <f t="shared" ref="O120" si="64">(G120/Q122)*H120</f>
        <v>#DIV/0!</v>
      </c>
      <c r="P120" s="61"/>
      <c r="Q120" s="267"/>
    </row>
    <row r="121" spans="2:17" s="278" customFormat="1" ht="13.5" thickBot="1" x14ac:dyDescent="0.25">
      <c r="B121" s="464"/>
      <c r="C121" s="277"/>
      <c r="E121" s="446"/>
      <c r="F121" s="447"/>
      <c r="G121" s="70"/>
      <c r="H121" s="168"/>
      <c r="I121" s="155">
        <f t="shared" ref="I121" si="65">H115</f>
        <v>0</v>
      </c>
      <c r="J121" s="249"/>
      <c r="K121" s="157">
        <f t="shared" si="60"/>
        <v>0</v>
      </c>
      <c r="L121" s="150"/>
      <c r="M121" s="104"/>
      <c r="N121" s="61"/>
      <c r="O121" s="266" t="e">
        <f t="shared" ref="O121" si="66">(G121/Q122)*H121</f>
        <v>#DIV/0!</v>
      </c>
      <c r="P121" s="61"/>
      <c r="Q121" s="267"/>
    </row>
    <row r="122" spans="2:17" s="278" customFormat="1" ht="13.5" thickBot="1" x14ac:dyDescent="0.25">
      <c r="B122" s="464"/>
      <c r="C122" s="277"/>
      <c r="E122" s="470" t="s">
        <v>24</v>
      </c>
      <c r="F122" s="471"/>
      <c r="G122" s="70"/>
      <c r="H122" s="260"/>
      <c r="I122" s="261">
        <f t="shared" ref="I122" si="67">H115</f>
        <v>0</v>
      </c>
      <c r="J122" s="262" t="e">
        <f t="shared" ref="J122" si="68">Q119*1.5</f>
        <v>#DIV/0!</v>
      </c>
      <c r="K122" s="263" t="e">
        <f t="shared" ref="K122" si="69">G122*I122*J122</f>
        <v>#DIV/0!</v>
      </c>
      <c r="L122" s="150"/>
      <c r="M122" s="104"/>
      <c r="N122" s="61"/>
      <c r="O122" s="94"/>
      <c r="P122" s="61"/>
      <c r="Q122" s="267">
        <f t="shared" ref="Q122" si="70">SUM(G119:G121)</f>
        <v>0</v>
      </c>
    </row>
    <row r="123" spans="2:17" s="278" customFormat="1" x14ac:dyDescent="0.2">
      <c r="B123" s="464"/>
      <c r="C123" s="277"/>
      <c r="D123" s="472" t="s">
        <v>115</v>
      </c>
      <c r="E123" s="472"/>
      <c r="F123" s="472"/>
      <c r="G123" s="472"/>
      <c r="H123" s="472"/>
      <c r="I123" s="472"/>
      <c r="J123" s="472"/>
      <c r="K123" s="472"/>
      <c r="L123" s="158"/>
      <c r="M123" s="104"/>
      <c r="N123" s="61"/>
      <c r="O123" s="266"/>
      <c r="P123" s="61"/>
      <c r="Q123" s="267"/>
    </row>
    <row r="124" spans="2:17" s="278" customFormat="1" x14ac:dyDescent="0.2">
      <c r="B124" s="464"/>
      <c r="C124" s="159"/>
      <c r="D124" s="472"/>
      <c r="E124" s="472"/>
      <c r="F124" s="472"/>
      <c r="G124" s="472"/>
      <c r="H124" s="472"/>
      <c r="I124" s="472"/>
      <c r="J124" s="472"/>
      <c r="K124" s="472"/>
      <c r="L124" s="158"/>
      <c r="M124" s="104"/>
      <c r="N124" s="8"/>
      <c r="O124" s="266"/>
      <c r="P124" s="61"/>
      <c r="Q124" s="267"/>
    </row>
    <row r="125" spans="2:17" s="278" customFormat="1" ht="13.5" thickBot="1" x14ac:dyDescent="0.25">
      <c r="B125" s="464"/>
      <c r="C125" s="276"/>
      <c r="D125" s="5"/>
      <c r="E125" s="5"/>
      <c r="F125" s="5"/>
      <c r="G125" s="5"/>
      <c r="H125" s="5"/>
      <c r="I125" s="5"/>
      <c r="J125" s="5"/>
      <c r="K125" s="5"/>
      <c r="L125" s="160"/>
      <c r="M125" s="104"/>
      <c r="N125" s="8"/>
      <c r="O125" s="266"/>
      <c r="P125" s="61"/>
      <c r="Q125" s="267"/>
    </row>
    <row r="126" spans="2:17" s="278" customFormat="1" ht="27" thickBot="1" x14ac:dyDescent="0.3">
      <c r="B126" s="464"/>
      <c r="C126" s="151" t="s">
        <v>53</v>
      </c>
      <c r="D126" s="60"/>
      <c r="E126" s="473"/>
      <c r="F126" s="474"/>
      <c r="G126" s="161" t="s">
        <v>48</v>
      </c>
      <c r="H126" s="162" t="s">
        <v>54</v>
      </c>
      <c r="I126" s="163" t="s">
        <v>41</v>
      </c>
      <c r="L126" s="150"/>
      <c r="M126" s="280"/>
      <c r="N126" s="275"/>
      <c r="O126" s="266"/>
      <c r="P126" s="61"/>
      <c r="Q126" s="267"/>
    </row>
    <row r="127" spans="2:17" s="278" customFormat="1" ht="13.5" thickBot="1" x14ac:dyDescent="0.25">
      <c r="B127" s="464"/>
      <c r="C127" s="276"/>
      <c r="E127" s="475" t="s">
        <v>28</v>
      </c>
      <c r="F127" s="476"/>
      <c r="G127" s="108"/>
      <c r="H127" s="109"/>
      <c r="I127" s="71">
        <f t="shared" ref="I127:I131" si="71">G127*H127</f>
        <v>0</v>
      </c>
      <c r="L127" s="150"/>
      <c r="M127" s="104"/>
      <c r="N127" s="8"/>
      <c r="O127" s="266"/>
      <c r="P127" s="61"/>
      <c r="Q127" s="267"/>
    </row>
    <row r="128" spans="2:17" s="278" customFormat="1" ht="13.5" thickBot="1" x14ac:dyDescent="0.25">
      <c r="B128" s="464"/>
      <c r="C128" s="276"/>
      <c r="E128" s="450" t="s">
        <v>25</v>
      </c>
      <c r="F128" s="451"/>
      <c r="G128" s="110"/>
      <c r="H128" s="111"/>
      <c r="I128" s="71">
        <f t="shared" si="71"/>
        <v>0</v>
      </c>
      <c r="L128" s="150"/>
      <c r="M128" s="8"/>
      <c r="N128" s="8"/>
      <c r="O128" s="61"/>
      <c r="P128" s="61"/>
      <c r="Q128" s="61"/>
    </row>
    <row r="129" spans="2:17" s="278" customFormat="1" ht="13.5" thickBot="1" x14ac:dyDescent="0.25">
      <c r="B129" s="464"/>
      <c r="C129" s="276"/>
      <c r="E129" s="450" t="s">
        <v>26</v>
      </c>
      <c r="F129" s="451"/>
      <c r="G129" s="110"/>
      <c r="H129" s="111"/>
      <c r="I129" s="71">
        <f t="shared" si="71"/>
        <v>0</v>
      </c>
      <c r="L129" s="150"/>
      <c r="M129" s="104"/>
      <c r="N129" s="61"/>
      <c r="O129" s="61"/>
      <c r="P129" s="61"/>
      <c r="Q129" s="61"/>
    </row>
    <row r="130" spans="2:17" s="278" customFormat="1" ht="13.5" thickBot="1" x14ac:dyDescent="0.25">
      <c r="B130" s="464"/>
      <c r="C130" s="276"/>
      <c r="E130" s="448" t="s">
        <v>27</v>
      </c>
      <c r="F130" s="449"/>
      <c r="G130" s="110"/>
      <c r="H130" s="111"/>
      <c r="I130" s="71">
        <f t="shared" si="71"/>
        <v>0</v>
      </c>
      <c r="L130" s="150"/>
      <c r="M130" s="104"/>
      <c r="N130" s="8"/>
      <c r="O130" s="61"/>
      <c r="P130" s="61"/>
      <c r="Q130" s="61"/>
    </row>
    <row r="131" spans="2:17" s="278" customFormat="1" ht="13.5" thickBot="1" x14ac:dyDescent="0.25">
      <c r="B131" s="465"/>
      <c r="C131" s="279"/>
      <c r="D131" s="9"/>
      <c r="E131" s="461" t="s">
        <v>50</v>
      </c>
      <c r="F131" s="462"/>
      <c r="G131" s="112"/>
      <c r="H131" s="113"/>
      <c r="I131" s="165">
        <f t="shared" si="71"/>
        <v>0</v>
      </c>
      <c r="J131" s="9"/>
      <c r="K131" s="166"/>
      <c r="L131" s="147"/>
      <c r="M131" s="104"/>
      <c r="N131" s="61"/>
      <c r="O131" s="61"/>
      <c r="P131" s="61"/>
      <c r="Q131" s="61"/>
    </row>
    <row r="132" spans="2:17" s="278" customFormat="1" ht="13.5" thickBot="1" x14ac:dyDescent="0.25">
      <c r="B132" s="269"/>
      <c r="C132" s="69"/>
      <c r="D132" s="8"/>
      <c r="E132" s="270"/>
      <c r="F132" s="270"/>
      <c r="G132" s="271"/>
      <c r="H132" s="272"/>
      <c r="I132" s="138"/>
      <c r="J132" s="273"/>
      <c r="K132" s="274"/>
      <c r="L132" s="274"/>
      <c r="M132" s="104"/>
      <c r="N132" s="8"/>
      <c r="O132" s="8"/>
      <c r="P132" s="8"/>
      <c r="Q132" s="8"/>
    </row>
    <row r="133" spans="2:17" s="278" customFormat="1" ht="26.25" thickBot="1" x14ac:dyDescent="0.25">
      <c r="B133" s="463">
        <v>7</v>
      </c>
      <c r="C133" s="140" t="s">
        <v>112</v>
      </c>
      <c r="D133" s="122"/>
      <c r="E133" s="141"/>
      <c r="F133" s="141" t="s">
        <v>46</v>
      </c>
      <c r="G133" s="141" t="s">
        <v>47</v>
      </c>
      <c r="H133" s="121" t="s">
        <v>87</v>
      </c>
      <c r="I133" s="141" t="s">
        <v>51</v>
      </c>
      <c r="J133" s="142" t="s">
        <v>42</v>
      </c>
      <c r="K133" s="143" t="s">
        <v>43</v>
      </c>
      <c r="L133" s="144" t="s">
        <v>44</v>
      </c>
      <c r="M133" s="104"/>
      <c r="N133" s="8"/>
      <c r="O133" s="66"/>
      <c r="P133" s="61"/>
      <c r="Q133" s="61"/>
    </row>
    <row r="134" spans="2:17" s="278" customFormat="1" ht="13.5" thickBot="1" x14ac:dyDescent="0.25">
      <c r="B134" s="464"/>
      <c r="C134" s="455"/>
      <c r="D134" s="456"/>
      <c r="E134" s="457"/>
      <c r="F134" s="105"/>
      <c r="G134" s="106"/>
      <c r="H134" s="145">
        <f t="shared" ref="H134" si="72">ROUNDUP((G134-F134)/7,0)</f>
        <v>0</v>
      </c>
      <c r="I134" s="107"/>
      <c r="J134" s="146" t="e">
        <f t="shared" ref="J134" si="73">(SUM(K138:K141))+(SUM(I146:I150))</f>
        <v>#DIV/0!</v>
      </c>
      <c r="K134" s="268" t="e">
        <f t="shared" ref="K134" si="74">IF(F135="No",Q136,Q135)</f>
        <v>#DIV/0!</v>
      </c>
      <c r="L134" s="147" t="e">
        <f t="shared" ref="L134" si="75">SUM(J134:K134)</f>
        <v>#DIV/0!</v>
      </c>
      <c r="M134" s="8"/>
      <c r="N134" s="138">
        <f t="shared" ref="N134" si="76">IF(ISNUMBER(L134),L134,0)</f>
        <v>0</v>
      </c>
      <c r="O134" s="61"/>
      <c r="P134" s="61"/>
      <c r="Q134" s="61"/>
    </row>
    <row r="135" spans="2:17" s="278" customFormat="1" ht="13.5" thickBot="1" x14ac:dyDescent="0.25">
      <c r="B135" s="464"/>
      <c r="C135" s="452" t="s">
        <v>269</v>
      </c>
      <c r="D135" s="453"/>
      <c r="E135" s="454"/>
      <c r="F135" s="466"/>
      <c r="G135" s="467"/>
      <c r="H135" s="148"/>
      <c r="I135" s="138"/>
      <c r="J135" s="29"/>
      <c r="K135" s="149"/>
      <c r="L135" s="150"/>
      <c r="M135" s="83"/>
      <c r="N135" s="61"/>
      <c r="O135" s="61"/>
      <c r="P135" s="61" t="s">
        <v>268</v>
      </c>
      <c r="Q135" s="61" t="e">
        <f>IF(F135="Exempt all taxes",0,(J134*FICA)+(J134*Medicare))</f>
        <v>#DIV/0!</v>
      </c>
    </row>
    <row r="136" spans="2:17" s="278" customFormat="1" ht="13.5" thickBot="1" x14ac:dyDescent="0.25">
      <c r="B136" s="464"/>
      <c r="C136" s="458"/>
      <c r="D136" s="459"/>
      <c r="E136" s="459"/>
      <c r="F136" s="459"/>
      <c r="G136" s="459"/>
      <c r="H136" s="459"/>
      <c r="I136" s="459"/>
      <c r="J136" s="459"/>
      <c r="K136" s="459"/>
      <c r="L136" s="460"/>
      <c r="M136" s="83"/>
      <c r="N136" s="61"/>
      <c r="O136" s="61"/>
      <c r="P136" s="61" t="s">
        <v>267</v>
      </c>
      <c r="Q136" s="61" t="e">
        <f>IF(J134&gt;=SUTA_Max,((FUTA_Max*FUTA)+(SUTA_Max*I134)+(J134*FICA)+(J134*Medicare)),IF(J134&gt;=FUTA_Max,((FUTA_Max*FUTA)+(J134*I134)+(J134*FICA)+(J134*Medicare)),IF(J134&lt;FUTA_Max,(J134*Total_Tax+I134))))</f>
        <v>#DIV/0!</v>
      </c>
    </row>
    <row r="137" spans="2:17" s="278" customFormat="1" ht="27" thickBot="1" x14ac:dyDescent="0.3">
      <c r="B137" s="464"/>
      <c r="C137" s="151" t="s">
        <v>52</v>
      </c>
      <c r="D137" s="60"/>
      <c r="E137" s="468" t="s">
        <v>85</v>
      </c>
      <c r="F137" s="469"/>
      <c r="G137" s="153" t="s">
        <v>245</v>
      </c>
      <c r="H137" s="152" t="s">
        <v>40</v>
      </c>
      <c r="I137" s="265" t="s">
        <v>45</v>
      </c>
      <c r="J137" s="153" t="s">
        <v>49</v>
      </c>
      <c r="K137" s="154" t="s">
        <v>41</v>
      </c>
      <c r="L137" s="150"/>
      <c r="M137" s="69"/>
      <c r="N137" s="61"/>
      <c r="O137" s="61"/>
      <c r="P137" s="61"/>
      <c r="Q137" s="61"/>
    </row>
    <row r="138" spans="2:17" s="278" customFormat="1" ht="13.5" thickBot="1" x14ac:dyDescent="0.25">
      <c r="B138" s="464"/>
      <c r="C138" s="277"/>
      <c r="E138" s="444"/>
      <c r="F138" s="445"/>
      <c r="G138" s="70"/>
      <c r="H138" s="168"/>
      <c r="I138" s="155">
        <f t="shared" ref="I138" si="77">H134</f>
        <v>0</v>
      </c>
      <c r="J138" s="156"/>
      <c r="K138" s="157">
        <f t="shared" ref="K138:K140" si="78">G138*H138*I138</f>
        <v>0</v>
      </c>
      <c r="L138" s="150"/>
      <c r="M138" s="104"/>
      <c r="N138" s="61"/>
      <c r="O138" s="266" t="e">
        <f t="shared" ref="O138" si="79">(G138/Q141)*H138</f>
        <v>#DIV/0!</v>
      </c>
      <c r="P138" s="61"/>
      <c r="Q138" s="267" t="e">
        <f t="shared" ref="Q138" si="80">SUM(O138:O140)</f>
        <v>#DIV/0!</v>
      </c>
    </row>
    <row r="139" spans="2:17" s="278" customFormat="1" ht="13.5" thickBot="1" x14ac:dyDescent="0.25">
      <c r="B139" s="464"/>
      <c r="C139" s="277"/>
      <c r="E139" s="446"/>
      <c r="F139" s="447"/>
      <c r="G139" s="70"/>
      <c r="H139" s="168"/>
      <c r="I139" s="155">
        <f t="shared" ref="I139" si="81">H134</f>
        <v>0</v>
      </c>
      <c r="J139" s="249"/>
      <c r="K139" s="157">
        <f t="shared" si="78"/>
        <v>0</v>
      </c>
      <c r="L139" s="150"/>
      <c r="M139" s="104"/>
      <c r="N139" s="61"/>
      <c r="O139" s="266" t="e">
        <f t="shared" ref="O139" si="82">(G139/Q141)*H139</f>
        <v>#DIV/0!</v>
      </c>
      <c r="P139" s="61"/>
      <c r="Q139" s="267"/>
    </row>
    <row r="140" spans="2:17" s="278" customFormat="1" ht="13.5" thickBot="1" x14ac:dyDescent="0.25">
      <c r="B140" s="464"/>
      <c r="C140" s="277"/>
      <c r="E140" s="446"/>
      <c r="F140" s="447"/>
      <c r="G140" s="70"/>
      <c r="H140" s="168"/>
      <c r="I140" s="155">
        <f t="shared" ref="I140" si="83">H134</f>
        <v>0</v>
      </c>
      <c r="J140" s="249"/>
      <c r="K140" s="157">
        <f t="shared" si="78"/>
        <v>0</v>
      </c>
      <c r="L140" s="150"/>
      <c r="M140" s="104"/>
      <c r="N140" s="61"/>
      <c r="O140" s="266" t="e">
        <f t="shared" ref="O140" si="84">(G140/Q141)*H140</f>
        <v>#DIV/0!</v>
      </c>
      <c r="P140" s="61"/>
      <c r="Q140" s="267"/>
    </row>
    <row r="141" spans="2:17" s="278" customFormat="1" ht="13.5" thickBot="1" x14ac:dyDescent="0.25">
      <c r="B141" s="464"/>
      <c r="C141" s="277"/>
      <c r="E141" s="470" t="s">
        <v>24</v>
      </c>
      <c r="F141" s="471"/>
      <c r="G141" s="70"/>
      <c r="H141" s="260"/>
      <c r="I141" s="261">
        <f t="shared" ref="I141" si="85">H134</f>
        <v>0</v>
      </c>
      <c r="J141" s="262" t="e">
        <f t="shared" ref="J141" si="86">Q138*1.5</f>
        <v>#DIV/0!</v>
      </c>
      <c r="K141" s="263" t="e">
        <f t="shared" ref="K141" si="87">G141*I141*J141</f>
        <v>#DIV/0!</v>
      </c>
      <c r="L141" s="150"/>
      <c r="M141" s="104"/>
      <c r="N141" s="61"/>
      <c r="O141" s="94"/>
      <c r="P141" s="61"/>
      <c r="Q141" s="267">
        <f t="shared" ref="Q141" si="88">SUM(G138:G140)</f>
        <v>0</v>
      </c>
    </row>
    <row r="142" spans="2:17" s="278" customFormat="1" x14ac:dyDescent="0.2">
      <c r="B142" s="464"/>
      <c r="C142" s="277"/>
      <c r="D142" s="472" t="s">
        <v>115</v>
      </c>
      <c r="E142" s="472"/>
      <c r="F142" s="472"/>
      <c r="G142" s="472"/>
      <c r="H142" s="472"/>
      <c r="I142" s="472"/>
      <c r="J142" s="472"/>
      <c r="K142" s="472"/>
      <c r="L142" s="158"/>
      <c r="M142" s="104"/>
      <c r="N142" s="61"/>
      <c r="O142" s="266"/>
      <c r="P142" s="61"/>
      <c r="Q142" s="267"/>
    </row>
    <row r="143" spans="2:17" s="278" customFormat="1" x14ac:dyDescent="0.2">
      <c r="B143" s="464"/>
      <c r="C143" s="159"/>
      <c r="D143" s="472"/>
      <c r="E143" s="472"/>
      <c r="F143" s="472"/>
      <c r="G143" s="472"/>
      <c r="H143" s="472"/>
      <c r="I143" s="472"/>
      <c r="J143" s="472"/>
      <c r="K143" s="472"/>
      <c r="L143" s="158"/>
      <c r="M143" s="104"/>
      <c r="N143" s="8"/>
      <c r="O143" s="266"/>
      <c r="P143" s="61"/>
      <c r="Q143" s="267"/>
    </row>
    <row r="144" spans="2:17" s="278" customFormat="1" ht="13.5" thickBot="1" x14ac:dyDescent="0.25">
      <c r="B144" s="464"/>
      <c r="C144" s="276"/>
      <c r="D144" s="5"/>
      <c r="E144" s="5"/>
      <c r="F144" s="5"/>
      <c r="G144" s="5"/>
      <c r="H144" s="5"/>
      <c r="I144" s="5"/>
      <c r="J144" s="5"/>
      <c r="K144" s="5"/>
      <c r="L144" s="160"/>
      <c r="M144" s="104"/>
      <c r="N144" s="8"/>
      <c r="O144" s="266"/>
      <c r="P144" s="61"/>
      <c r="Q144" s="267"/>
    </row>
    <row r="145" spans="2:17" s="278" customFormat="1" ht="27" thickBot="1" x14ac:dyDescent="0.3">
      <c r="B145" s="464"/>
      <c r="C145" s="151" t="s">
        <v>53</v>
      </c>
      <c r="D145" s="60"/>
      <c r="E145" s="473"/>
      <c r="F145" s="474"/>
      <c r="G145" s="161" t="s">
        <v>48</v>
      </c>
      <c r="H145" s="162" t="s">
        <v>54</v>
      </c>
      <c r="I145" s="163" t="s">
        <v>41</v>
      </c>
      <c r="L145" s="150"/>
      <c r="M145" s="280"/>
      <c r="N145" s="275"/>
      <c r="O145" s="266"/>
      <c r="P145" s="61"/>
      <c r="Q145" s="267"/>
    </row>
    <row r="146" spans="2:17" s="278" customFormat="1" ht="13.5" thickBot="1" x14ac:dyDescent="0.25">
      <c r="B146" s="464"/>
      <c r="C146" s="276"/>
      <c r="E146" s="475" t="s">
        <v>28</v>
      </c>
      <c r="F146" s="476"/>
      <c r="G146" s="108"/>
      <c r="H146" s="109"/>
      <c r="I146" s="71">
        <f t="shared" ref="I146:I150" si="89">G146*H146</f>
        <v>0</v>
      </c>
      <c r="L146" s="150"/>
      <c r="M146" s="104"/>
      <c r="N146" s="8"/>
      <c r="O146" s="266"/>
      <c r="P146" s="61"/>
      <c r="Q146" s="267"/>
    </row>
    <row r="147" spans="2:17" s="278" customFormat="1" ht="13.5" thickBot="1" x14ac:dyDescent="0.25">
      <c r="B147" s="464"/>
      <c r="C147" s="276"/>
      <c r="E147" s="450" t="s">
        <v>25</v>
      </c>
      <c r="F147" s="451"/>
      <c r="G147" s="110"/>
      <c r="H147" s="111"/>
      <c r="I147" s="71">
        <f t="shared" si="89"/>
        <v>0</v>
      </c>
      <c r="L147" s="150"/>
      <c r="M147" s="8"/>
      <c r="N147" s="8"/>
      <c r="O147" s="61"/>
      <c r="P147" s="61"/>
      <c r="Q147" s="61"/>
    </row>
    <row r="148" spans="2:17" s="278" customFormat="1" ht="13.5" thickBot="1" x14ac:dyDescent="0.25">
      <c r="B148" s="464"/>
      <c r="C148" s="276"/>
      <c r="E148" s="450" t="s">
        <v>26</v>
      </c>
      <c r="F148" s="451"/>
      <c r="G148" s="110"/>
      <c r="H148" s="111"/>
      <c r="I148" s="71">
        <f t="shared" si="89"/>
        <v>0</v>
      </c>
      <c r="L148" s="150"/>
      <c r="M148" s="104"/>
      <c r="N148" s="61"/>
      <c r="O148" s="61"/>
      <c r="P148" s="61"/>
      <c r="Q148" s="61"/>
    </row>
    <row r="149" spans="2:17" s="278" customFormat="1" ht="13.5" thickBot="1" x14ac:dyDescent="0.25">
      <c r="B149" s="464"/>
      <c r="C149" s="276"/>
      <c r="E149" s="448" t="s">
        <v>27</v>
      </c>
      <c r="F149" s="449"/>
      <c r="G149" s="110"/>
      <c r="H149" s="111"/>
      <c r="I149" s="71">
        <f t="shared" si="89"/>
        <v>0</v>
      </c>
      <c r="L149" s="150"/>
      <c r="M149" s="104"/>
      <c r="N149" s="8"/>
      <c r="O149" s="61"/>
      <c r="P149" s="61"/>
      <c r="Q149" s="61"/>
    </row>
    <row r="150" spans="2:17" s="278" customFormat="1" ht="13.5" thickBot="1" x14ac:dyDescent="0.25">
      <c r="B150" s="465"/>
      <c r="C150" s="279"/>
      <c r="D150" s="9"/>
      <c r="E150" s="461" t="s">
        <v>50</v>
      </c>
      <c r="F150" s="462"/>
      <c r="G150" s="112"/>
      <c r="H150" s="113"/>
      <c r="I150" s="165">
        <f t="shared" si="89"/>
        <v>0</v>
      </c>
      <c r="J150" s="9"/>
      <c r="K150" s="166"/>
      <c r="L150" s="147"/>
      <c r="M150" s="104"/>
      <c r="N150" s="61"/>
      <c r="O150" s="61"/>
      <c r="P150" s="61"/>
      <c r="Q150" s="61"/>
    </row>
    <row r="151" spans="2:17" s="278" customFormat="1" ht="13.5" thickBot="1" x14ac:dyDescent="0.25">
      <c r="B151" s="269"/>
      <c r="C151" s="69"/>
      <c r="D151" s="8"/>
      <c r="E151" s="270"/>
      <c r="F151" s="270"/>
      <c r="G151" s="271"/>
      <c r="H151" s="272"/>
      <c r="I151" s="138"/>
      <c r="J151" s="273"/>
      <c r="K151" s="274"/>
      <c r="L151" s="274"/>
      <c r="M151" s="104"/>
      <c r="N151" s="8"/>
      <c r="O151" s="8"/>
      <c r="P151" s="8"/>
      <c r="Q151" s="8"/>
    </row>
    <row r="152" spans="2:17" s="278" customFormat="1" ht="26.25" thickBot="1" x14ac:dyDescent="0.25">
      <c r="B152" s="463">
        <v>8</v>
      </c>
      <c r="C152" s="140" t="s">
        <v>112</v>
      </c>
      <c r="D152" s="122"/>
      <c r="E152" s="141"/>
      <c r="F152" s="141" t="s">
        <v>46</v>
      </c>
      <c r="G152" s="141" t="s">
        <v>47</v>
      </c>
      <c r="H152" s="121" t="s">
        <v>87</v>
      </c>
      <c r="I152" s="141" t="s">
        <v>51</v>
      </c>
      <c r="J152" s="142" t="s">
        <v>42</v>
      </c>
      <c r="K152" s="143" t="s">
        <v>43</v>
      </c>
      <c r="L152" s="144" t="s">
        <v>44</v>
      </c>
      <c r="M152" s="104"/>
      <c r="N152" s="8"/>
      <c r="O152" s="66"/>
      <c r="P152" s="61"/>
      <c r="Q152" s="61"/>
    </row>
    <row r="153" spans="2:17" s="278" customFormat="1" ht="13.5" thickBot="1" x14ac:dyDescent="0.25">
      <c r="B153" s="464"/>
      <c r="C153" s="455"/>
      <c r="D153" s="456"/>
      <c r="E153" s="457"/>
      <c r="F153" s="105"/>
      <c r="G153" s="106"/>
      <c r="H153" s="145">
        <f t="shared" ref="H153" si="90">ROUNDUP((G153-F153)/7,0)</f>
        <v>0</v>
      </c>
      <c r="I153" s="107"/>
      <c r="J153" s="146" t="e">
        <f t="shared" ref="J153" si="91">(SUM(K157:K160))+(SUM(I165:I169))</f>
        <v>#DIV/0!</v>
      </c>
      <c r="K153" s="268" t="e">
        <f t="shared" ref="K153" si="92">IF(F154="No",Q155,Q154)</f>
        <v>#DIV/0!</v>
      </c>
      <c r="L153" s="147" t="e">
        <f t="shared" ref="L153" si="93">SUM(J153:K153)</f>
        <v>#DIV/0!</v>
      </c>
      <c r="M153" s="8"/>
      <c r="N153" s="138">
        <f t="shared" ref="N153" si="94">IF(ISNUMBER(L153),L153,0)</f>
        <v>0</v>
      </c>
      <c r="O153" s="61"/>
      <c r="P153" s="61"/>
      <c r="Q153" s="61"/>
    </row>
    <row r="154" spans="2:17" s="278" customFormat="1" ht="13.5" thickBot="1" x14ac:dyDescent="0.25">
      <c r="B154" s="464"/>
      <c r="C154" s="452" t="s">
        <v>269</v>
      </c>
      <c r="D154" s="453"/>
      <c r="E154" s="454"/>
      <c r="F154" s="466"/>
      <c r="G154" s="467"/>
      <c r="H154" s="148"/>
      <c r="I154" s="138"/>
      <c r="J154" s="29"/>
      <c r="K154" s="149"/>
      <c r="L154" s="150"/>
      <c r="M154" s="83"/>
      <c r="N154" s="61"/>
      <c r="O154" s="61"/>
      <c r="P154" s="61" t="s">
        <v>268</v>
      </c>
      <c r="Q154" s="61" t="e">
        <f>IF(F154="Exempt all taxes",0,(J153*FICA)+(J153*Medicare))</f>
        <v>#DIV/0!</v>
      </c>
    </row>
    <row r="155" spans="2:17" s="278" customFormat="1" ht="13.5" thickBot="1" x14ac:dyDescent="0.25">
      <c r="B155" s="464"/>
      <c r="C155" s="458"/>
      <c r="D155" s="459"/>
      <c r="E155" s="459"/>
      <c r="F155" s="459"/>
      <c r="G155" s="459"/>
      <c r="H155" s="459"/>
      <c r="I155" s="459"/>
      <c r="J155" s="459"/>
      <c r="K155" s="459"/>
      <c r="L155" s="460"/>
      <c r="M155" s="83"/>
      <c r="N155" s="61"/>
      <c r="O155" s="61"/>
      <c r="P155" s="61" t="s">
        <v>267</v>
      </c>
      <c r="Q155" s="61" t="e">
        <f>IF(J153&gt;=SUTA_Max,((FUTA_Max*FUTA)+(SUTA_Max*I153)+(J153*FICA)+(J153*Medicare)),IF(J153&gt;=FUTA_Max,((FUTA_Max*FUTA)+(J153*I153)+(J153*FICA)+(J153*Medicare)),IF(J153&lt;FUTA_Max,(J153*Total_Tax+I153))))</f>
        <v>#DIV/0!</v>
      </c>
    </row>
    <row r="156" spans="2:17" s="278" customFormat="1" ht="27" thickBot="1" x14ac:dyDescent="0.3">
      <c r="B156" s="464"/>
      <c r="C156" s="151" t="s">
        <v>52</v>
      </c>
      <c r="D156" s="60"/>
      <c r="E156" s="468" t="s">
        <v>85</v>
      </c>
      <c r="F156" s="469"/>
      <c r="G156" s="153" t="s">
        <v>245</v>
      </c>
      <c r="H156" s="152" t="s">
        <v>40</v>
      </c>
      <c r="I156" s="265" t="s">
        <v>45</v>
      </c>
      <c r="J156" s="153" t="s">
        <v>49</v>
      </c>
      <c r="K156" s="154" t="s">
        <v>41</v>
      </c>
      <c r="L156" s="150"/>
      <c r="M156" s="69"/>
      <c r="N156" s="61"/>
      <c r="O156" s="61"/>
      <c r="P156" s="61"/>
      <c r="Q156" s="61"/>
    </row>
    <row r="157" spans="2:17" s="278" customFormat="1" ht="13.5" thickBot="1" x14ac:dyDescent="0.25">
      <c r="B157" s="464"/>
      <c r="C157" s="277"/>
      <c r="E157" s="444"/>
      <c r="F157" s="445"/>
      <c r="G157" s="70"/>
      <c r="H157" s="168"/>
      <c r="I157" s="155">
        <f t="shared" ref="I157" si="95">H153</f>
        <v>0</v>
      </c>
      <c r="J157" s="156"/>
      <c r="K157" s="157">
        <f t="shared" ref="K157:K159" si="96">G157*H157*I157</f>
        <v>0</v>
      </c>
      <c r="L157" s="150"/>
      <c r="M157" s="104"/>
      <c r="N157" s="61"/>
      <c r="O157" s="266" t="e">
        <f t="shared" ref="O157" si="97">(G157/Q160)*H157</f>
        <v>#DIV/0!</v>
      </c>
      <c r="P157" s="61"/>
      <c r="Q157" s="267" t="e">
        <f t="shared" ref="Q157" si="98">SUM(O157:O159)</f>
        <v>#DIV/0!</v>
      </c>
    </row>
    <row r="158" spans="2:17" s="278" customFormat="1" ht="13.5" thickBot="1" x14ac:dyDescent="0.25">
      <c r="B158" s="464"/>
      <c r="C158" s="277"/>
      <c r="E158" s="446"/>
      <c r="F158" s="447"/>
      <c r="G158" s="70"/>
      <c r="H158" s="168"/>
      <c r="I158" s="155">
        <f t="shared" ref="I158" si="99">H153</f>
        <v>0</v>
      </c>
      <c r="J158" s="249"/>
      <c r="K158" s="157">
        <f t="shared" si="96"/>
        <v>0</v>
      </c>
      <c r="L158" s="150"/>
      <c r="M158" s="104"/>
      <c r="N158" s="61"/>
      <c r="O158" s="266" t="e">
        <f t="shared" ref="O158" si="100">(G158/Q160)*H158</f>
        <v>#DIV/0!</v>
      </c>
      <c r="P158" s="61"/>
      <c r="Q158" s="267"/>
    </row>
    <row r="159" spans="2:17" s="278" customFormat="1" ht="13.5" thickBot="1" x14ac:dyDescent="0.25">
      <c r="B159" s="464"/>
      <c r="C159" s="277"/>
      <c r="E159" s="446"/>
      <c r="F159" s="447"/>
      <c r="G159" s="70"/>
      <c r="H159" s="168"/>
      <c r="I159" s="155">
        <f t="shared" ref="I159" si="101">H153</f>
        <v>0</v>
      </c>
      <c r="J159" s="249"/>
      <c r="K159" s="157">
        <f t="shared" si="96"/>
        <v>0</v>
      </c>
      <c r="L159" s="150"/>
      <c r="M159" s="104"/>
      <c r="N159" s="61"/>
      <c r="O159" s="266" t="e">
        <f t="shared" ref="O159" si="102">(G159/Q160)*H159</f>
        <v>#DIV/0!</v>
      </c>
      <c r="P159" s="61"/>
      <c r="Q159" s="267"/>
    </row>
    <row r="160" spans="2:17" s="278" customFormat="1" ht="13.5" thickBot="1" x14ac:dyDescent="0.25">
      <c r="B160" s="464"/>
      <c r="C160" s="277"/>
      <c r="E160" s="470" t="s">
        <v>24</v>
      </c>
      <c r="F160" s="471"/>
      <c r="G160" s="70"/>
      <c r="H160" s="260"/>
      <c r="I160" s="261">
        <f t="shared" ref="I160" si="103">H153</f>
        <v>0</v>
      </c>
      <c r="J160" s="262" t="e">
        <f t="shared" ref="J160" si="104">Q157*1.5</f>
        <v>#DIV/0!</v>
      </c>
      <c r="K160" s="263" t="e">
        <f t="shared" ref="K160" si="105">G160*I160*J160</f>
        <v>#DIV/0!</v>
      </c>
      <c r="L160" s="150"/>
      <c r="M160" s="104"/>
      <c r="N160" s="61"/>
      <c r="O160" s="94"/>
      <c r="P160" s="61"/>
      <c r="Q160" s="267">
        <f t="shared" ref="Q160" si="106">SUM(G157:G159)</f>
        <v>0</v>
      </c>
    </row>
    <row r="161" spans="2:17" s="278" customFormat="1" x14ac:dyDescent="0.2">
      <c r="B161" s="464"/>
      <c r="C161" s="277"/>
      <c r="D161" s="472" t="s">
        <v>115</v>
      </c>
      <c r="E161" s="472"/>
      <c r="F161" s="472"/>
      <c r="G161" s="472"/>
      <c r="H161" s="472"/>
      <c r="I161" s="472"/>
      <c r="J161" s="472"/>
      <c r="K161" s="472"/>
      <c r="L161" s="158"/>
      <c r="M161" s="104"/>
      <c r="N161" s="61"/>
      <c r="O161" s="266"/>
      <c r="P161" s="61"/>
      <c r="Q161" s="267"/>
    </row>
    <row r="162" spans="2:17" s="278" customFormat="1" x14ac:dyDescent="0.2">
      <c r="B162" s="464"/>
      <c r="C162" s="159"/>
      <c r="D162" s="472"/>
      <c r="E162" s="472"/>
      <c r="F162" s="472"/>
      <c r="G162" s="472"/>
      <c r="H162" s="472"/>
      <c r="I162" s="472"/>
      <c r="J162" s="472"/>
      <c r="K162" s="472"/>
      <c r="L162" s="158"/>
      <c r="M162" s="104"/>
      <c r="N162" s="8"/>
      <c r="O162" s="266"/>
      <c r="P162" s="61"/>
      <c r="Q162" s="267"/>
    </row>
    <row r="163" spans="2:17" s="278" customFormat="1" ht="13.5" thickBot="1" x14ac:dyDescent="0.25">
      <c r="B163" s="464"/>
      <c r="C163" s="276"/>
      <c r="D163" s="5"/>
      <c r="E163" s="5"/>
      <c r="F163" s="5"/>
      <c r="G163" s="5"/>
      <c r="H163" s="5"/>
      <c r="I163" s="5"/>
      <c r="J163" s="5"/>
      <c r="K163" s="5"/>
      <c r="L163" s="160"/>
      <c r="M163" s="104"/>
      <c r="N163" s="8"/>
      <c r="O163" s="266"/>
      <c r="P163" s="61"/>
      <c r="Q163" s="267"/>
    </row>
    <row r="164" spans="2:17" s="278" customFormat="1" ht="27" thickBot="1" x14ac:dyDescent="0.3">
      <c r="B164" s="464"/>
      <c r="C164" s="151" t="s">
        <v>53</v>
      </c>
      <c r="D164" s="60"/>
      <c r="E164" s="473"/>
      <c r="F164" s="474"/>
      <c r="G164" s="161" t="s">
        <v>48</v>
      </c>
      <c r="H164" s="162" t="s">
        <v>54</v>
      </c>
      <c r="I164" s="163" t="s">
        <v>41</v>
      </c>
      <c r="L164" s="150"/>
      <c r="M164" s="280"/>
      <c r="N164" s="275"/>
      <c r="O164" s="266"/>
      <c r="P164" s="61"/>
      <c r="Q164" s="267"/>
    </row>
    <row r="165" spans="2:17" s="278" customFormat="1" ht="13.5" thickBot="1" x14ac:dyDescent="0.25">
      <c r="B165" s="464"/>
      <c r="C165" s="276"/>
      <c r="E165" s="475" t="s">
        <v>28</v>
      </c>
      <c r="F165" s="476"/>
      <c r="G165" s="108"/>
      <c r="H165" s="109"/>
      <c r="I165" s="71">
        <f t="shared" ref="I165:I169" si="107">G165*H165</f>
        <v>0</v>
      </c>
      <c r="L165" s="150"/>
      <c r="M165" s="104"/>
      <c r="N165" s="8"/>
      <c r="O165" s="266"/>
      <c r="P165" s="61"/>
      <c r="Q165" s="267"/>
    </row>
    <row r="166" spans="2:17" s="278" customFormat="1" ht="13.5" thickBot="1" x14ac:dyDescent="0.25">
      <c r="B166" s="464"/>
      <c r="C166" s="276"/>
      <c r="E166" s="450" t="s">
        <v>25</v>
      </c>
      <c r="F166" s="451"/>
      <c r="G166" s="110"/>
      <c r="H166" s="111"/>
      <c r="I166" s="71">
        <f t="shared" si="107"/>
        <v>0</v>
      </c>
      <c r="L166" s="150"/>
      <c r="M166" s="8"/>
      <c r="N166" s="8"/>
      <c r="O166" s="61"/>
      <c r="P166" s="61"/>
      <c r="Q166" s="61"/>
    </row>
    <row r="167" spans="2:17" s="278" customFormat="1" ht="13.5" thickBot="1" x14ac:dyDescent="0.25">
      <c r="B167" s="464"/>
      <c r="C167" s="276"/>
      <c r="E167" s="450" t="s">
        <v>26</v>
      </c>
      <c r="F167" s="451"/>
      <c r="G167" s="110"/>
      <c r="H167" s="111"/>
      <c r="I167" s="71">
        <f t="shared" si="107"/>
        <v>0</v>
      </c>
      <c r="L167" s="150"/>
      <c r="M167" s="104"/>
      <c r="N167" s="61"/>
      <c r="O167" s="61"/>
      <c r="P167" s="61"/>
      <c r="Q167" s="61"/>
    </row>
    <row r="168" spans="2:17" s="278" customFormat="1" ht="13.5" thickBot="1" x14ac:dyDescent="0.25">
      <c r="B168" s="464"/>
      <c r="C168" s="276"/>
      <c r="E168" s="448" t="s">
        <v>27</v>
      </c>
      <c r="F168" s="449"/>
      <c r="G168" s="110"/>
      <c r="H168" s="111"/>
      <c r="I168" s="71">
        <f t="shared" si="107"/>
        <v>0</v>
      </c>
      <c r="L168" s="150"/>
      <c r="M168" s="104"/>
      <c r="N168" s="8"/>
      <c r="O168" s="61"/>
      <c r="P168" s="61"/>
      <c r="Q168" s="61"/>
    </row>
    <row r="169" spans="2:17" s="278" customFormat="1" ht="13.5" thickBot="1" x14ac:dyDescent="0.25">
      <c r="B169" s="465"/>
      <c r="C169" s="279"/>
      <c r="D169" s="9"/>
      <c r="E169" s="461" t="s">
        <v>50</v>
      </c>
      <c r="F169" s="462"/>
      <c r="G169" s="112"/>
      <c r="H169" s="113"/>
      <c r="I169" s="165">
        <f t="shared" si="107"/>
        <v>0</v>
      </c>
      <c r="J169" s="9"/>
      <c r="K169" s="166"/>
      <c r="L169" s="147"/>
      <c r="M169" s="104"/>
      <c r="N169" s="61"/>
      <c r="O169" s="61"/>
      <c r="P169" s="61"/>
      <c r="Q169" s="61"/>
    </row>
    <row r="170" spans="2:17" s="278" customFormat="1" ht="13.5" thickBot="1" x14ac:dyDescent="0.25">
      <c r="B170" s="269"/>
      <c r="C170" s="69"/>
      <c r="D170" s="8"/>
      <c r="E170" s="270"/>
      <c r="F170" s="270"/>
      <c r="G170" s="271"/>
      <c r="H170" s="272"/>
      <c r="I170" s="138"/>
      <c r="J170" s="273"/>
      <c r="K170" s="274"/>
      <c r="L170" s="274"/>
      <c r="M170" s="104"/>
      <c r="N170" s="8"/>
      <c r="O170" s="8"/>
      <c r="P170" s="8"/>
      <c r="Q170" s="8"/>
    </row>
    <row r="171" spans="2:17" s="278" customFormat="1" ht="26.25" thickBot="1" x14ac:dyDescent="0.25">
      <c r="B171" s="463">
        <v>9</v>
      </c>
      <c r="C171" s="140" t="s">
        <v>112</v>
      </c>
      <c r="D171" s="122"/>
      <c r="E171" s="141"/>
      <c r="F171" s="141" t="s">
        <v>46</v>
      </c>
      <c r="G171" s="141" t="s">
        <v>47</v>
      </c>
      <c r="H171" s="121" t="s">
        <v>87</v>
      </c>
      <c r="I171" s="141" t="s">
        <v>51</v>
      </c>
      <c r="J171" s="142" t="s">
        <v>42</v>
      </c>
      <c r="K171" s="143" t="s">
        <v>43</v>
      </c>
      <c r="L171" s="144" t="s">
        <v>44</v>
      </c>
      <c r="M171" s="104"/>
      <c r="N171" s="8"/>
      <c r="O171" s="66"/>
      <c r="P171" s="61"/>
      <c r="Q171" s="61"/>
    </row>
    <row r="172" spans="2:17" s="278" customFormat="1" ht="13.5" thickBot="1" x14ac:dyDescent="0.25">
      <c r="B172" s="464"/>
      <c r="C172" s="455"/>
      <c r="D172" s="456"/>
      <c r="E172" s="457"/>
      <c r="F172" s="105"/>
      <c r="G172" s="106"/>
      <c r="H172" s="145">
        <f t="shared" ref="H172" si="108">ROUNDUP((G172-F172)/7,0)</f>
        <v>0</v>
      </c>
      <c r="I172" s="107"/>
      <c r="J172" s="146" t="e">
        <f t="shared" ref="J172" si="109">(SUM(K176:K179))+(SUM(I184:I188))</f>
        <v>#DIV/0!</v>
      </c>
      <c r="K172" s="268" t="e">
        <f t="shared" ref="K172" si="110">IF(F173="No",Q174,Q173)</f>
        <v>#DIV/0!</v>
      </c>
      <c r="L172" s="147" t="e">
        <f t="shared" ref="L172" si="111">SUM(J172:K172)</f>
        <v>#DIV/0!</v>
      </c>
      <c r="M172" s="8"/>
      <c r="N172" s="138">
        <f t="shared" ref="N172" si="112">IF(ISNUMBER(L172),L172,0)</f>
        <v>0</v>
      </c>
      <c r="O172" s="61"/>
      <c r="P172" s="61"/>
      <c r="Q172" s="61"/>
    </row>
    <row r="173" spans="2:17" s="278" customFormat="1" ht="13.5" thickBot="1" x14ac:dyDescent="0.25">
      <c r="B173" s="464"/>
      <c r="C173" s="452" t="s">
        <v>269</v>
      </c>
      <c r="D173" s="453"/>
      <c r="E173" s="454"/>
      <c r="F173" s="466"/>
      <c r="G173" s="467"/>
      <c r="H173" s="148"/>
      <c r="I173" s="138"/>
      <c r="J173" s="29"/>
      <c r="K173" s="149"/>
      <c r="L173" s="150"/>
      <c r="M173" s="83"/>
      <c r="N173" s="61"/>
      <c r="O173" s="61"/>
      <c r="P173" s="61" t="s">
        <v>268</v>
      </c>
      <c r="Q173" s="61" t="e">
        <f>IF(F173="Exempt all taxes",0,(J172*FICA)+(J172*Medicare))</f>
        <v>#DIV/0!</v>
      </c>
    </row>
    <row r="174" spans="2:17" s="278" customFormat="1" ht="13.5" thickBot="1" x14ac:dyDescent="0.25">
      <c r="B174" s="464"/>
      <c r="C174" s="458"/>
      <c r="D174" s="459"/>
      <c r="E174" s="459"/>
      <c r="F174" s="459"/>
      <c r="G174" s="459"/>
      <c r="H174" s="459"/>
      <c r="I174" s="459"/>
      <c r="J174" s="459"/>
      <c r="K174" s="459"/>
      <c r="L174" s="460"/>
      <c r="M174" s="83"/>
      <c r="N174" s="61"/>
      <c r="O174" s="61"/>
      <c r="P174" s="61" t="s">
        <v>267</v>
      </c>
      <c r="Q174" s="61" t="e">
        <f>IF(J172&gt;=SUTA_Max,((FUTA_Max*FUTA)+(SUTA_Max*I172)+(J172*FICA)+(J172*Medicare)),IF(J172&gt;=FUTA_Max,((FUTA_Max*FUTA)+(J172*I172)+(J172*FICA)+(J172*Medicare)),IF(J172&lt;FUTA_Max,(J172*Total_Tax+I172))))</f>
        <v>#DIV/0!</v>
      </c>
    </row>
    <row r="175" spans="2:17" s="278" customFormat="1" ht="27" thickBot="1" x14ac:dyDescent="0.3">
      <c r="B175" s="464"/>
      <c r="C175" s="151" t="s">
        <v>52</v>
      </c>
      <c r="D175" s="60"/>
      <c r="E175" s="468" t="s">
        <v>85</v>
      </c>
      <c r="F175" s="469"/>
      <c r="G175" s="153" t="s">
        <v>245</v>
      </c>
      <c r="H175" s="152" t="s">
        <v>40</v>
      </c>
      <c r="I175" s="265" t="s">
        <v>45</v>
      </c>
      <c r="J175" s="153" t="s">
        <v>49</v>
      </c>
      <c r="K175" s="154" t="s">
        <v>41</v>
      </c>
      <c r="L175" s="150"/>
      <c r="M175" s="69"/>
      <c r="N175" s="61"/>
      <c r="O175" s="61"/>
      <c r="P175" s="61"/>
      <c r="Q175" s="61"/>
    </row>
    <row r="176" spans="2:17" s="278" customFormat="1" ht="13.5" thickBot="1" x14ac:dyDescent="0.25">
      <c r="B176" s="464"/>
      <c r="C176" s="277"/>
      <c r="E176" s="444"/>
      <c r="F176" s="445"/>
      <c r="G176" s="70"/>
      <c r="H176" s="168"/>
      <c r="I176" s="155">
        <f t="shared" ref="I176" si="113">H172</f>
        <v>0</v>
      </c>
      <c r="J176" s="156"/>
      <c r="K176" s="157">
        <f t="shared" ref="K176:K178" si="114">G176*H176*I176</f>
        <v>0</v>
      </c>
      <c r="L176" s="150"/>
      <c r="M176" s="104"/>
      <c r="N176" s="61"/>
      <c r="O176" s="266" t="e">
        <f t="shared" ref="O176" si="115">(G176/Q179)*H176</f>
        <v>#DIV/0!</v>
      </c>
      <c r="P176" s="61"/>
      <c r="Q176" s="267" t="e">
        <f t="shared" ref="Q176" si="116">SUM(O176:O178)</f>
        <v>#DIV/0!</v>
      </c>
    </row>
    <row r="177" spans="2:17" s="278" customFormat="1" ht="13.5" thickBot="1" x14ac:dyDescent="0.25">
      <c r="B177" s="464"/>
      <c r="C177" s="277"/>
      <c r="E177" s="446"/>
      <c r="F177" s="447"/>
      <c r="G177" s="70"/>
      <c r="H177" s="168"/>
      <c r="I177" s="155">
        <f t="shared" ref="I177" si="117">H172</f>
        <v>0</v>
      </c>
      <c r="J177" s="249"/>
      <c r="K177" s="157">
        <f t="shared" si="114"/>
        <v>0</v>
      </c>
      <c r="L177" s="150"/>
      <c r="M177" s="104"/>
      <c r="N177" s="61"/>
      <c r="O177" s="266" t="e">
        <f t="shared" ref="O177" si="118">(G177/Q179)*H177</f>
        <v>#DIV/0!</v>
      </c>
      <c r="P177" s="61"/>
      <c r="Q177" s="267"/>
    </row>
    <row r="178" spans="2:17" s="278" customFormat="1" ht="13.5" thickBot="1" x14ac:dyDescent="0.25">
      <c r="B178" s="464"/>
      <c r="C178" s="277"/>
      <c r="E178" s="446"/>
      <c r="F178" s="447"/>
      <c r="G178" s="70"/>
      <c r="H178" s="168"/>
      <c r="I178" s="155">
        <f t="shared" ref="I178" si="119">H172</f>
        <v>0</v>
      </c>
      <c r="J178" s="249"/>
      <c r="K178" s="157">
        <f t="shared" si="114"/>
        <v>0</v>
      </c>
      <c r="L178" s="150"/>
      <c r="M178" s="104"/>
      <c r="N178" s="61"/>
      <c r="O178" s="266" t="e">
        <f t="shared" ref="O178" si="120">(G178/Q179)*H178</f>
        <v>#DIV/0!</v>
      </c>
      <c r="P178" s="61"/>
      <c r="Q178" s="267"/>
    </row>
    <row r="179" spans="2:17" s="278" customFormat="1" ht="13.5" thickBot="1" x14ac:dyDescent="0.25">
      <c r="B179" s="464"/>
      <c r="C179" s="277"/>
      <c r="E179" s="470" t="s">
        <v>24</v>
      </c>
      <c r="F179" s="471"/>
      <c r="G179" s="70"/>
      <c r="H179" s="260"/>
      <c r="I179" s="261">
        <f t="shared" ref="I179" si="121">H172</f>
        <v>0</v>
      </c>
      <c r="J179" s="262" t="e">
        <f t="shared" ref="J179" si="122">Q176*1.5</f>
        <v>#DIV/0!</v>
      </c>
      <c r="K179" s="263" t="e">
        <f t="shared" ref="K179" si="123">G179*I179*J179</f>
        <v>#DIV/0!</v>
      </c>
      <c r="L179" s="150"/>
      <c r="M179" s="104"/>
      <c r="N179" s="61"/>
      <c r="O179" s="94"/>
      <c r="P179" s="61"/>
      <c r="Q179" s="267">
        <f t="shared" ref="Q179" si="124">SUM(G176:G178)</f>
        <v>0</v>
      </c>
    </row>
    <row r="180" spans="2:17" s="278" customFormat="1" x14ac:dyDescent="0.2">
      <c r="B180" s="464"/>
      <c r="C180" s="277"/>
      <c r="D180" s="472" t="s">
        <v>115</v>
      </c>
      <c r="E180" s="472"/>
      <c r="F180" s="472"/>
      <c r="G180" s="472"/>
      <c r="H180" s="472"/>
      <c r="I180" s="472"/>
      <c r="J180" s="472"/>
      <c r="K180" s="472"/>
      <c r="L180" s="158"/>
      <c r="M180" s="104"/>
      <c r="N180" s="61"/>
      <c r="O180" s="266"/>
      <c r="P180" s="61"/>
      <c r="Q180" s="267"/>
    </row>
    <row r="181" spans="2:17" s="278" customFormat="1" x14ac:dyDescent="0.2">
      <c r="B181" s="464"/>
      <c r="C181" s="159"/>
      <c r="D181" s="472"/>
      <c r="E181" s="472"/>
      <c r="F181" s="472"/>
      <c r="G181" s="472"/>
      <c r="H181" s="472"/>
      <c r="I181" s="472"/>
      <c r="J181" s="472"/>
      <c r="K181" s="472"/>
      <c r="L181" s="158"/>
      <c r="M181" s="104"/>
      <c r="N181" s="8"/>
      <c r="O181" s="266"/>
      <c r="P181" s="61"/>
      <c r="Q181" s="267"/>
    </row>
    <row r="182" spans="2:17" s="278" customFormat="1" ht="13.5" thickBot="1" x14ac:dyDescent="0.25">
      <c r="B182" s="464"/>
      <c r="C182" s="276"/>
      <c r="D182" s="5"/>
      <c r="E182" s="5"/>
      <c r="F182" s="5"/>
      <c r="G182" s="5"/>
      <c r="H182" s="5"/>
      <c r="I182" s="5"/>
      <c r="J182" s="5"/>
      <c r="K182" s="5"/>
      <c r="L182" s="160"/>
      <c r="M182" s="104"/>
      <c r="N182" s="8"/>
      <c r="O182" s="266"/>
      <c r="P182" s="61"/>
      <c r="Q182" s="267"/>
    </row>
    <row r="183" spans="2:17" s="278" customFormat="1" ht="27" thickBot="1" x14ac:dyDescent="0.3">
      <c r="B183" s="464"/>
      <c r="C183" s="151" t="s">
        <v>53</v>
      </c>
      <c r="D183" s="60"/>
      <c r="E183" s="473"/>
      <c r="F183" s="474"/>
      <c r="G183" s="161" t="s">
        <v>48</v>
      </c>
      <c r="H183" s="162" t="s">
        <v>54</v>
      </c>
      <c r="I183" s="163" t="s">
        <v>41</v>
      </c>
      <c r="L183" s="150"/>
      <c r="M183" s="280"/>
      <c r="N183" s="275"/>
      <c r="O183" s="266"/>
      <c r="P183" s="61"/>
      <c r="Q183" s="267"/>
    </row>
    <row r="184" spans="2:17" s="278" customFormat="1" ht="13.5" thickBot="1" x14ac:dyDescent="0.25">
      <c r="B184" s="464"/>
      <c r="C184" s="276"/>
      <c r="E184" s="475" t="s">
        <v>28</v>
      </c>
      <c r="F184" s="476"/>
      <c r="G184" s="108"/>
      <c r="H184" s="109"/>
      <c r="I184" s="71">
        <f t="shared" ref="I184:I188" si="125">G184*H184</f>
        <v>0</v>
      </c>
      <c r="L184" s="150"/>
      <c r="M184" s="104"/>
      <c r="N184" s="8"/>
      <c r="O184" s="266"/>
      <c r="P184" s="61"/>
      <c r="Q184" s="267"/>
    </row>
    <row r="185" spans="2:17" s="278" customFormat="1" ht="13.5" thickBot="1" x14ac:dyDescent="0.25">
      <c r="B185" s="464"/>
      <c r="C185" s="276"/>
      <c r="E185" s="450" t="s">
        <v>25</v>
      </c>
      <c r="F185" s="451"/>
      <c r="G185" s="110"/>
      <c r="H185" s="111"/>
      <c r="I185" s="71">
        <f t="shared" si="125"/>
        <v>0</v>
      </c>
      <c r="L185" s="150"/>
      <c r="M185" s="8"/>
      <c r="N185" s="8"/>
      <c r="O185" s="61"/>
      <c r="P185" s="61"/>
      <c r="Q185" s="61"/>
    </row>
    <row r="186" spans="2:17" s="278" customFormat="1" ht="13.5" thickBot="1" x14ac:dyDescent="0.25">
      <c r="B186" s="464"/>
      <c r="C186" s="276"/>
      <c r="E186" s="450" t="s">
        <v>26</v>
      </c>
      <c r="F186" s="451"/>
      <c r="G186" s="110"/>
      <c r="H186" s="111"/>
      <c r="I186" s="71">
        <f t="shared" si="125"/>
        <v>0</v>
      </c>
      <c r="L186" s="150"/>
      <c r="M186" s="104"/>
      <c r="N186" s="61"/>
      <c r="O186" s="61"/>
      <c r="P186" s="61"/>
      <c r="Q186" s="61"/>
    </row>
    <row r="187" spans="2:17" s="278" customFormat="1" ht="13.5" thickBot="1" x14ac:dyDescent="0.25">
      <c r="B187" s="464"/>
      <c r="C187" s="276"/>
      <c r="E187" s="448" t="s">
        <v>27</v>
      </c>
      <c r="F187" s="449"/>
      <c r="G187" s="110"/>
      <c r="H187" s="111"/>
      <c r="I187" s="71">
        <f t="shared" si="125"/>
        <v>0</v>
      </c>
      <c r="L187" s="150"/>
      <c r="M187" s="104"/>
      <c r="N187" s="8"/>
      <c r="O187" s="61"/>
      <c r="P187" s="61"/>
      <c r="Q187" s="61"/>
    </row>
    <row r="188" spans="2:17" s="278" customFormat="1" ht="13.5" thickBot="1" x14ac:dyDescent="0.25">
      <c r="B188" s="465"/>
      <c r="C188" s="279"/>
      <c r="D188" s="9"/>
      <c r="E188" s="461" t="s">
        <v>50</v>
      </c>
      <c r="F188" s="462"/>
      <c r="G188" s="112"/>
      <c r="H188" s="113"/>
      <c r="I188" s="165">
        <f t="shared" si="125"/>
        <v>0</v>
      </c>
      <c r="J188" s="9"/>
      <c r="K188" s="166"/>
      <c r="L188" s="147"/>
      <c r="M188" s="104"/>
      <c r="N188" s="61"/>
      <c r="O188" s="61"/>
      <c r="P188" s="61"/>
      <c r="Q188" s="61"/>
    </row>
    <row r="189" spans="2:17" s="278" customFormat="1" ht="13.5" thickBot="1" x14ac:dyDescent="0.25">
      <c r="B189" s="269"/>
      <c r="C189" s="69"/>
      <c r="D189" s="8"/>
      <c r="E189" s="270"/>
      <c r="F189" s="270"/>
      <c r="G189" s="271"/>
      <c r="H189" s="272"/>
      <c r="I189" s="138"/>
      <c r="J189" s="273"/>
      <c r="K189" s="274"/>
      <c r="L189" s="274"/>
      <c r="M189" s="104"/>
      <c r="N189" s="8"/>
      <c r="O189" s="8"/>
      <c r="P189" s="8"/>
      <c r="Q189" s="8"/>
    </row>
    <row r="190" spans="2:17" s="278" customFormat="1" ht="26.25" thickBot="1" x14ac:dyDescent="0.25">
      <c r="B190" s="463">
        <v>10</v>
      </c>
      <c r="C190" s="140" t="s">
        <v>112</v>
      </c>
      <c r="D190" s="122"/>
      <c r="E190" s="141"/>
      <c r="F190" s="141" t="s">
        <v>46</v>
      </c>
      <c r="G190" s="141" t="s">
        <v>47</v>
      </c>
      <c r="H190" s="121" t="s">
        <v>87</v>
      </c>
      <c r="I190" s="141" t="s">
        <v>51</v>
      </c>
      <c r="J190" s="142" t="s">
        <v>42</v>
      </c>
      <c r="K190" s="143" t="s">
        <v>43</v>
      </c>
      <c r="L190" s="144" t="s">
        <v>44</v>
      </c>
      <c r="M190" s="104"/>
      <c r="N190" s="8"/>
      <c r="O190" s="66"/>
      <c r="P190" s="61"/>
      <c r="Q190" s="61"/>
    </row>
    <row r="191" spans="2:17" s="278" customFormat="1" ht="13.5" thickBot="1" x14ac:dyDescent="0.25">
      <c r="B191" s="464"/>
      <c r="C191" s="455"/>
      <c r="D191" s="456"/>
      <c r="E191" s="457"/>
      <c r="F191" s="105"/>
      <c r="G191" s="106"/>
      <c r="H191" s="145">
        <f t="shared" ref="H191" si="126">ROUNDUP((G191-F191)/7,0)</f>
        <v>0</v>
      </c>
      <c r="I191" s="107"/>
      <c r="J191" s="146" t="e">
        <f t="shared" ref="J191" si="127">(SUM(K195:K198))+(SUM(I203:I207))</f>
        <v>#DIV/0!</v>
      </c>
      <c r="K191" s="268" t="e">
        <f t="shared" ref="K191" si="128">IF(F192="No",Q193,Q192)</f>
        <v>#DIV/0!</v>
      </c>
      <c r="L191" s="147" t="e">
        <f t="shared" ref="L191" si="129">SUM(J191:K191)</f>
        <v>#DIV/0!</v>
      </c>
      <c r="M191" s="8"/>
      <c r="N191" s="138">
        <f t="shared" ref="N191" si="130">IF(ISNUMBER(L191),L191,0)</f>
        <v>0</v>
      </c>
      <c r="O191" s="61"/>
      <c r="P191" s="61"/>
      <c r="Q191" s="61"/>
    </row>
    <row r="192" spans="2:17" s="278" customFormat="1" ht="13.5" thickBot="1" x14ac:dyDescent="0.25">
      <c r="B192" s="464"/>
      <c r="C192" s="452" t="s">
        <v>269</v>
      </c>
      <c r="D192" s="453"/>
      <c r="E192" s="454"/>
      <c r="F192" s="466"/>
      <c r="G192" s="467"/>
      <c r="H192" s="148"/>
      <c r="I192" s="138"/>
      <c r="J192" s="29"/>
      <c r="K192" s="149"/>
      <c r="L192" s="150"/>
      <c r="M192" s="83"/>
      <c r="N192" s="61"/>
      <c r="O192" s="61"/>
      <c r="P192" s="61" t="s">
        <v>268</v>
      </c>
      <c r="Q192" s="61" t="e">
        <f>IF(F192="Exempt all taxes",0,(J191*FICA)+(J191*Medicare))</f>
        <v>#DIV/0!</v>
      </c>
    </row>
    <row r="193" spans="2:17" s="278" customFormat="1" ht="13.5" thickBot="1" x14ac:dyDescent="0.25">
      <c r="B193" s="464"/>
      <c r="C193" s="458"/>
      <c r="D193" s="459"/>
      <c r="E193" s="459"/>
      <c r="F193" s="459"/>
      <c r="G193" s="459"/>
      <c r="H193" s="459"/>
      <c r="I193" s="459"/>
      <c r="J193" s="459"/>
      <c r="K193" s="459"/>
      <c r="L193" s="460"/>
      <c r="M193" s="83"/>
      <c r="N193" s="61"/>
      <c r="O193" s="61"/>
      <c r="P193" s="61" t="s">
        <v>267</v>
      </c>
      <c r="Q193" s="61" t="e">
        <f>IF(J191&gt;=SUTA_Max,((FUTA_Max*FUTA)+(SUTA_Max*I191)+(J191*FICA)+(J191*Medicare)),IF(J191&gt;=FUTA_Max,((FUTA_Max*FUTA)+(J191*I191)+(J191*FICA)+(J191*Medicare)),IF(J191&lt;FUTA_Max,(J191*Total_Tax+I191))))</f>
        <v>#DIV/0!</v>
      </c>
    </row>
    <row r="194" spans="2:17" s="278" customFormat="1" ht="27" thickBot="1" x14ac:dyDescent="0.3">
      <c r="B194" s="464"/>
      <c r="C194" s="151" t="s">
        <v>52</v>
      </c>
      <c r="D194" s="60"/>
      <c r="E194" s="468" t="s">
        <v>85</v>
      </c>
      <c r="F194" s="469"/>
      <c r="G194" s="153" t="s">
        <v>245</v>
      </c>
      <c r="H194" s="152" t="s">
        <v>40</v>
      </c>
      <c r="I194" s="265" t="s">
        <v>45</v>
      </c>
      <c r="J194" s="153" t="s">
        <v>49</v>
      </c>
      <c r="K194" s="154" t="s">
        <v>41</v>
      </c>
      <c r="L194" s="150"/>
      <c r="M194" s="69"/>
      <c r="N194" s="61"/>
      <c r="O194" s="61"/>
      <c r="P194" s="61"/>
      <c r="Q194" s="61"/>
    </row>
    <row r="195" spans="2:17" s="278" customFormat="1" ht="13.5" thickBot="1" x14ac:dyDescent="0.25">
      <c r="B195" s="464"/>
      <c r="C195" s="277"/>
      <c r="E195" s="444"/>
      <c r="F195" s="445"/>
      <c r="G195" s="70"/>
      <c r="H195" s="168"/>
      <c r="I195" s="155">
        <f t="shared" ref="I195" si="131">H191</f>
        <v>0</v>
      </c>
      <c r="J195" s="156"/>
      <c r="K195" s="157">
        <f t="shared" ref="K195:K197" si="132">G195*H195*I195</f>
        <v>0</v>
      </c>
      <c r="L195" s="150"/>
      <c r="M195" s="104"/>
      <c r="N195" s="61"/>
      <c r="O195" s="266" t="e">
        <f t="shared" ref="O195" si="133">(G195/Q198)*H195</f>
        <v>#DIV/0!</v>
      </c>
      <c r="P195" s="61"/>
      <c r="Q195" s="267" t="e">
        <f t="shared" ref="Q195" si="134">SUM(O195:O197)</f>
        <v>#DIV/0!</v>
      </c>
    </row>
    <row r="196" spans="2:17" s="278" customFormat="1" ht="13.5" thickBot="1" x14ac:dyDescent="0.25">
      <c r="B196" s="464"/>
      <c r="C196" s="277"/>
      <c r="E196" s="446"/>
      <c r="F196" s="447"/>
      <c r="G196" s="70"/>
      <c r="H196" s="168"/>
      <c r="I196" s="155">
        <f t="shared" ref="I196" si="135">H191</f>
        <v>0</v>
      </c>
      <c r="J196" s="249"/>
      <c r="K196" s="157">
        <f t="shared" si="132"/>
        <v>0</v>
      </c>
      <c r="L196" s="150"/>
      <c r="M196" s="104"/>
      <c r="N196" s="61"/>
      <c r="O196" s="266" t="e">
        <f t="shared" ref="O196" si="136">(G196/Q198)*H196</f>
        <v>#DIV/0!</v>
      </c>
      <c r="P196" s="61"/>
      <c r="Q196" s="267"/>
    </row>
    <row r="197" spans="2:17" s="278" customFormat="1" ht="13.5" thickBot="1" x14ac:dyDescent="0.25">
      <c r="B197" s="464"/>
      <c r="C197" s="277"/>
      <c r="E197" s="446"/>
      <c r="F197" s="447"/>
      <c r="G197" s="70"/>
      <c r="H197" s="168"/>
      <c r="I197" s="155">
        <f t="shared" ref="I197" si="137">H191</f>
        <v>0</v>
      </c>
      <c r="J197" s="249"/>
      <c r="K197" s="157">
        <f t="shared" si="132"/>
        <v>0</v>
      </c>
      <c r="L197" s="150"/>
      <c r="M197" s="104"/>
      <c r="N197" s="61"/>
      <c r="O197" s="266" t="e">
        <f t="shared" ref="O197" si="138">(G197/Q198)*H197</f>
        <v>#DIV/0!</v>
      </c>
      <c r="P197" s="61"/>
      <c r="Q197" s="267"/>
    </row>
    <row r="198" spans="2:17" s="278" customFormat="1" ht="13.5" thickBot="1" x14ac:dyDescent="0.25">
      <c r="B198" s="464"/>
      <c r="C198" s="277"/>
      <c r="E198" s="470" t="s">
        <v>24</v>
      </c>
      <c r="F198" s="471"/>
      <c r="G198" s="70"/>
      <c r="H198" s="260"/>
      <c r="I198" s="261">
        <f t="shared" ref="I198" si="139">H191</f>
        <v>0</v>
      </c>
      <c r="J198" s="262" t="e">
        <f t="shared" ref="J198" si="140">Q195*1.5</f>
        <v>#DIV/0!</v>
      </c>
      <c r="K198" s="263" t="e">
        <f t="shared" ref="K198" si="141">G198*I198*J198</f>
        <v>#DIV/0!</v>
      </c>
      <c r="L198" s="150"/>
      <c r="M198" s="104"/>
      <c r="N198" s="61"/>
      <c r="O198" s="94"/>
      <c r="P198" s="61"/>
      <c r="Q198" s="267">
        <f t="shared" ref="Q198" si="142">SUM(G195:G197)</f>
        <v>0</v>
      </c>
    </row>
    <row r="199" spans="2:17" s="278" customFormat="1" x14ac:dyDescent="0.2">
      <c r="B199" s="464"/>
      <c r="C199" s="277"/>
      <c r="D199" s="472" t="s">
        <v>115</v>
      </c>
      <c r="E199" s="472"/>
      <c r="F199" s="472"/>
      <c r="G199" s="472"/>
      <c r="H199" s="472"/>
      <c r="I199" s="472"/>
      <c r="J199" s="472"/>
      <c r="K199" s="472"/>
      <c r="L199" s="158"/>
      <c r="M199" s="104"/>
      <c r="N199" s="61"/>
      <c r="O199" s="266"/>
      <c r="P199" s="61"/>
      <c r="Q199" s="267"/>
    </row>
    <row r="200" spans="2:17" s="278" customFormat="1" x14ac:dyDescent="0.2">
      <c r="B200" s="464"/>
      <c r="C200" s="159"/>
      <c r="D200" s="472"/>
      <c r="E200" s="472"/>
      <c r="F200" s="472"/>
      <c r="G200" s="472"/>
      <c r="H200" s="472"/>
      <c r="I200" s="472"/>
      <c r="J200" s="472"/>
      <c r="K200" s="472"/>
      <c r="L200" s="158"/>
      <c r="M200" s="104"/>
      <c r="N200" s="8"/>
      <c r="O200" s="266"/>
      <c r="P200" s="61"/>
      <c r="Q200" s="267"/>
    </row>
    <row r="201" spans="2:17" s="278" customFormat="1" ht="13.5" thickBot="1" x14ac:dyDescent="0.25">
      <c r="B201" s="464"/>
      <c r="C201" s="276"/>
      <c r="D201" s="5"/>
      <c r="E201" s="5"/>
      <c r="F201" s="5"/>
      <c r="G201" s="5"/>
      <c r="H201" s="5"/>
      <c r="I201" s="5"/>
      <c r="J201" s="5"/>
      <c r="K201" s="5"/>
      <c r="L201" s="160"/>
      <c r="M201" s="104"/>
      <c r="N201" s="8"/>
      <c r="O201" s="266"/>
      <c r="P201" s="61"/>
      <c r="Q201" s="267"/>
    </row>
    <row r="202" spans="2:17" s="278" customFormat="1" ht="27" thickBot="1" x14ac:dyDescent="0.3">
      <c r="B202" s="464"/>
      <c r="C202" s="151" t="s">
        <v>53</v>
      </c>
      <c r="D202" s="60"/>
      <c r="E202" s="473"/>
      <c r="F202" s="474"/>
      <c r="G202" s="161" t="s">
        <v>48</v>
      </c>
      <c r="H202" s="162" t="s">
        <v>54</v>
      </c>
      <c r="I202" s="163" t="s">
        <v>41</v>
      </c>
      <c r="L202" s="150"/>
      <c r="M202" s="280"/>
      <c r="N202" s="275"/>
      <c r="O202" s="266"/>
      <c r="P202" s="61"/>
      <c r="Q202" s="267"/>
    </row>
    <row r="203" spans="2:17" s="278" customFormat="1" ht="13.5" thickBot="1" x14ac:dyDescent="0.25">
      <c r="B203" s="464"/>
      <c r="C203" s="276"/>
      <c r="E203" s="475" t="s">
        <v>28</v>
      </c>
      <c r="F203" s="476"/>
      <c r="G203" s="108"/>
      <c r="H203" s="109"/>
      <c r="I203" s="71">
        <f t="shared" ref="I203:I207" si="143">G203*H203</f>
        <v>0</v>
      </c>
      <c r="L203" s="150"/>
      <c r="M203" s="104"/>
      <c r="N203" s="8"/>
      <c r="O203" s="266"/>
      <c r="P203" s="61"/>
      <c r="Q203" s="267"/>
    </row>
    <row r="204" spans="2:17" s="278" customFormat="1" ht="13.5" thickBot="1" x14ac:dyDescent="0.25">
      <c r="B204" s="464"/>
      <c r="C204" s="276"/>
      <c r="E204" s="450" t="s">
        <v>25</v>
      </c>
      <c r="F204" s="451"/>
      <c r="G204" s="110"/>
      <c r="H204" s="111"/>
      <c r="I204" s="71">
        <f t="shared" si="143"/>
        <v>0</v>
      </c>
      <c r="L204" s="150"/>
      <c r="M204" s="8"/>
      <c r="N204" s="8"/>
      <c r="O204" s="61"/>
      <c r="P204" s="61"/>
      <c r="Q204" s="61"/>
    </row>
    <row r="205" spans="2:17" s="278" customFormat="1" ht="13.5" thickBot="1" x14ac:dyDescent="0.25">
      <c r="B205" s="464"/>
      <c r="C205" s="276"/>
      <c r="E205" s="450" t="s">
        <v>26</v>
      </c>
      <c r="F205" s="451"/>
      <c r="G205" s="110"/>
      <c r="H205" s="111"/>
      <c r="I205" s="71">
        <f t="shared" si="143"/>
        <v>0</v>
      </c>
      <c r="L205" s="150"/>
      <c r="M205" s="104"/>
      <c r="N205" s="61"/>
      <c r="O205" s="61"/>
      <c r="P205" s="61"/>
      <c r="Q205" s="61"/>
    </row>
    <row r="206" spans="2:17" s="278" customFormat="1" ht="13.5" thickBot="1" x14ac:dyDescent="0.25">
      <c r="B206" s="464"/>
      <c r="C206" s="276"/>
      <c r="E206" s="448" t="s">
        <v>27</v>
      </c>
      <c r="F206" s="449"/>
      <c r="G206" s="110"/>
      <c r="H206" s="111"/>
      <c r="I206" s="71">
        <f t="shared" si="143"/>
        <v>0</v>
      </c>
      <c r="L206" s="150"/>
      <c r="M206" s="104"/>
      <c r="N206" s="8"/>
      <c r="O206" s="61"/>
      <c r="P206" s="61"/>
      <c r="Q206" s="61"/>
    </row>
    <row r="207" spans="2:17" s="278" customFormat="1" ht="13.5" thickBot="1" x14ac:dyDescent="0.25">
      <c r="B207" s="465"/>
      <c r="C207" s="279"/>
      <c r="D207" s="9"/>
      <c r="E207" s="461" t="s">
        <v>50</v>
      </c>
      <c r="F207" s="462"/>
      <c r="G207" s="112"/>
      <c r="H207" s="113"/>
      <c r="I207" s="165">
        <f t="shared" si="143"/>
        <v>0</v>
      </c>
      <c r="J207" s="9"/>
      <c r="K207" s="166"/>
      <c r="L207" s="147"/>
      <c r="M207" s="104"/>
      <c r="N207" s="61"/>
      <c r="O207" s="61"/>
      <c r="P207" s="61"/>
      <c r="Q207" s="61"/>
    </row>
    <row r="208" spans="2:17" s="278" customFormat="1" ht="13.5" thickBot="1" x14ac:dyDescent="0.25">
      <c r="B208" s="269"/>
      <c r="C208" s="69"/>
      <c r="D208" s="8"/>
      <c r="E208" s="270"/>
      <c r="F208" s="270"/>
      <c r="G208" s="271"/>
      <c r="H208" s="272"/>
      <c r="I208" s="138"/>
      <c r="J208" s="273"/>
      <c r="K208" s="274"/>
      <c r="L208" s="274"/>
      <c r="M208" s="104"/>
      <c r="N208" s="8"/>
      <c r="O208" s="8"/>
      <c r="P208" s="8"/>
      <c r="Q208" s="8"/>
    </row>
    <row r="209" spans="2:17" s="278" customFormat="1" ht="26.25" thickBot="1" x14ac:dyDescent="0.25">
      <c r="B209" s="463">
        <v>11</v>
      </c>
      <c r="C209" s="140" t="s">
        <v>112</v>
      </c>
      <c r="D209" s="122"/>
      <c r="E209" s="141"/>
      <c r="F209" s="141" t="s">
        <v>46</v>
      </c>
      <c r="G209" s="141" t="s">
        <v>47</v>
      </c>
      <c r="H209" s="121" t="s">
        <v>87</v>
      </c>
      <c r="I209" s="141" t="s">
        <v>51</v>
      </c>
      <c r="J209" s="142" t="s">
        <v>42</v>
      </c>
      <c r="K209" s="143" t="s">
        <v>43</v>
      </c>
      <c r="L209" s="144" t="s">
        <v>44</v>
      </c>
      <c r="M209" s="104"/>
      <c r="N209" s="8"/>
      <c r="O209" s="66"/>
      <c r="P209" s="61"/>
      <c r="Q209" s="61"/>
    </row>
    <row r="210" spans="2:17" s="278" customFormat="1" ht="13.5" thickBot="1" x14ac:dyDescent="0.25">
      <c r="B210" s="464"/>
      <c r="C210" s="455"/>
      <c r="D210" s="456"/>
      <c r="E210" s="457"/>
      <c r="F210" s="105"/>
      <c r="G210" s="106"/>
      <c r="H210" s="145">
        <f t="shared" ref="H210" si="144">ROUNDUP((G210-F210)/7,0)</f>
        <v>0</v>
      </c>
      <c r="I210" s="107"/>
      <c r="J210" s="146" t="e">
        <f t="shared" ref="J210" si="145">(SUM(K214:K217))+(SUM(I222:I226))</f>
        <v>#DIV/0!</v>
      </c>
      <c r="K210" s="268" t="e">
        <f t="shared" ref="K210" si="146">IF(F211="No",Q212,Q211)</f>
        <v>#DIV/0!</v>
      </c>
      <c r="L210" s="147" t="e">
        <f t="shared" ref="L210" si="147">SUM(J210:K210)</f>
        <v>#DIV/0!</v>
      </c>
      <c r="M210" s="8"/>
      <c r="N210" s="138">
        <f t="shared" ref="N210" si="148">IF(ISNUMBER(L210),L210,0)</f>
        <v>0</v>
      </c>
      <c r="O210" s="61"/>
      <c r="P210" s="61"/>
      <c r="Q210" s="61"/>
    </row>
    <row r="211" spans="2:17" s="278" customFormat="1" ht="13.5" thickBot="1" x14ac:dyDescent="0.25">
      <c r="B211" s="464"/>
      <c r="C211" s="452" t="s">
        <v>269</v>
      </c>
      <c r="D211" s="453"/>
      <c r="E211" s="454"/>
      <c r="F211" s="466"/>
      <c r="G211" s="467"/>
      <c r="H211" s="148"/>
      <c r="I211" s="138"/>
      <c r="J211" s="29"/>
      <c r="K211" s="149"/>
      <c r="L211" s="150"/>
      <c r="M211" s="83"/>
      <c r="N211" s="61"/>
      <c r="O211" s="61"/>
      <c r="P211" s="61" t="s">
        <v>268</v>
      </c>
      <c r="Q211" s="61" t="e">
        <f>IF(F211="Exempt all taxes",0,(J210*FICA)+(J210*Medicare))</f>
        <v>#DIV/0!</v>
      </c>
    </row>
    <row r="212" spans="2:17" s="278" customFormat="1" ht="13.5" thickBot="1" x14ac:dyDescent="0.25">
      <c r="B212" s="464"/>
      <c r="C212" s="458"/>
      <c r="D212" s="459"/>
      <c r="E212" s="459"/>
      <c r="F212" s="459"/>
      <c r="G212" s="459"/>
      <c r="H212" s="459"/>
      <c r="I212" s="459"/>
      <c r="J212" s="459"/>
      <c r="K212" s="459"/>
      <c r="L212" s="460"/>
      <c r="M212" s="83"/>
      <c r="N212" s="61"/>
      <c r="O212" s="61"/>
      <c r="P212" s="61" t="s">
        <v>267</v>
      </c>
      <c r="Q212" s="61" t="e">
        <f>IF(J210&gt;=SUTA_Max,((FUTA_Max*FUTA)+(SUTA_Max*I210)+(J210*FICA)+(J210*Medicare)),IF(J210&gt;=FUTA_Max,((FUTA_Max*FUTA)+(J210*I210)+(J210*FICA)+(J210*Medicare)),IF(J210&lt;FUTA_Max,(J210*Total_Tax+I210))))</f>
        <v>#DIV/0!</v>
      </c>
    </row>
    <row r="213" spans="2:17" s="278" customFormat="1" ht="27" thickBot="1" x14ac:dyDescent="0.3">
      <c r="B213" s="464"/>
      <c r="C213" s="151" t="s">
        <v>52</v>
      </c>
      <c r="D213" s="60"/>
      <c r="E213" s="468" t="s">
        <v>85</v>
      </c>
      <c r="F213" s="469"/>
      <c r="G213" s="153" t="s">
        <v>245</v>
      </c>
      <c r="H213" s="152" t="s">
        <v>40</v>
      </c>
      <c r="I213" s="265" t="s">
        <v>45</v>
      </c>
      <c r="J213" s="153" t="s">
        <v>49</v>
      </c>
      <c r="K213" s="154" t="s">
        <v>41</v>
      </c>
      <c r="L213" s="150"/>
      <c r="M213" s="69"/>
      <c r="N213" s="61"/>
      <c r="O213" s="61"/>
      <c r="P213" s="61"/>
      <c r="Q213" s="61"/>
    </row>
    <row r="214" spans="2:17" s="278" customFormat="1" ht="13.5" thickBot="1" x14ac:dyDescent="0.25">
      <c r="B214" s="464"/>
      <c r="C214" s="277"/>
      <c r="E214" s="444"/>
      <c r="F214" s="445"/>
      <c r="G214" s="70"/>
      <c r="H214" s="168"/>
      <c r="I214" s="155">
        <f t="shared" ref="I214" si="149">H210</f>
        <v>0</v>
      </c>
      <c r="J214" s="156"/>
      <c r="K214" s="157">
        <f t="shared" ref="K214:K216" si="150">G214*H214*I214</f>
        <v>0</v>
      </c>
      <c r="L214" s="150"/>
      <c r="M214" s="104"/>
      <c r="N214" s="61"/>
      <c r="O214" s="266" t="e">
        <f t="shared" ref="O214" si="151">(G214/Q217)*H214</f>
        <v>#DIV/0!</v>
      </c>
      <c r="P214" s="61"/>
      <c r="Q214" s="267" t="e">
        <f t="shared" ref="Q214" si="152">SUM(O214:O216)</f>
        <v>#DIV/0!</v>
      </c>
    </row>
    <row r="215" spans="2:17" s="278" customFormat="1" ht="13.5" thickBot="1" x14ac:dyDescent="0.25">
      <c r="B215" s="464"/>
      <c r="C215" s="277"/>
      <c r="E215" s="446"/>
      <c r="F215" s="447"/>
      <c r="G215" s="70"/>
      <c r="H215" s="168"/>
      <c r="I215" s="155">
        <f t="shared" ref="I215" si="153">H210</f>
        <v>0</v>
      </c>
      <c r="J215" s="249"/>
      <c r="K215" s="157">
        <f t="shared" si="150"/>
        <v>0</v>
      </c>
      <c r="L215" s="150"/>
      <c r="M215" s="104"/>
      <c r="N215" s="61"/>
      <c r="O215" s="266" t="e">
        <f t="shared" ref="O215" si="154">(G215/Q217)*H215</f>
        <v>#DIV/0!</v>
      </c>
      <c r="P215" s="61"/>
      <c r="Q215" s="267"/>
    </row>
    <row r="216" spans="2:17" s="278" customFormat="1" ht="13.5" thickBot="1" x14ac:dyDescent="0.25">
      <c r="B216" s="464"/>
      <c r="C216" s="277"/>
      <c r="E216" s="446"/>
      <c r="F216" s="447"/>
      <c r="G216" s="70"/>
      <c r="H216" s="168"/>
      <c r="I216" s="155">
        <f t="shared" ref="I216" si="155">H210</f>
        <v>0</v>
      </c>
      <c r="J216" s="249"/>
      <c r="K216" s="157">
        <f t="shared" si="150"/>
        <v>0</v>
      </c>
      <c r="L216" s="150"/>
      <c r="M216" s="104"/>
      <c r="N216" s="61"/>
      <c r="O216" s="266" t="e">
        <f t="shared" ref="O216" si="156">(G216/Q217)*H216</f>
        <v>#DIV/0!</v>
      </c>
      <c r="P216" s="61"/>
      <c r="Q216" s="267"/>
    </row>
    <row r="217" spans="2:17" s="278" customFormat="1" ht="13.5" thickBot="1" x14ac:dyDescent="0.25">
      <c r="B217" s="464"/>
      <c r="C217" s="277"/>
      <c r="E217" s="470" t="s">
        <v>24</v>
      </c>
      <c r="F217" s="471"/>
      <c r="G217" s="70"/>
      <c r="H217" s="260"/>
      <c r="I217" s="261">
        <f t="shared" ref="I217" si="157">H210</f>
        <v>0</v>
      </c>
      <c r="J217" s="262" t="e">
        <f t="shared" ref="J217" si="158">Q214*1.5</f>
        <v>#DIV/0!</v>
      </c>
      <c r="K217" s="263" t="e">
        <f t="shared" ref="K217" si="159">G217*I217*J217</f>
        <v>#DIV/0!</v>
      </c>
      <c r="L217" s="150"/>
      <c r="M217" s="104"/>
      <c r="N217" s="61"/>
      <c r="O217" s="94"/>
      <c r="P217" s="61"/>
      <c r="Q217" s="267">
        <f t="shared" ref="Q217" si="160">SUM(G214:G216)</f>
        <v>0</v>
      </c>
    </row>
    <row r="218" spans="2:17" s="278" customFormat="1" x14ac:dyDescent="0.2">
      <c r="B218" s="464"/>
      <c r="C218" s="277"/>
      <c r="D218" s="472" t="s">
        <v>115</v>
      </c>
      <c r="E218" s="472"/>
      <c r="F218" s="472"/>
      <c r="G218" s="472"/>
      <c r="H218" s="472"/>
      <c r="I218" s="472"/>
      <c r="J218" s="472"/>
      <c r="K218" s="472"/>
      <c r="L218" s="158"/>
      <c r="M218" s="104"/>
      <c r="N218" s="61"/>
      <c r="O218" s="266"/>
      <c r="P218" s="61"/>
      <c r="Q218" s="267"/>
    </row>
    <row r="219" spans="2:17" s="278" customFormat="1" x14ac:dyDescent="0.2">
      <c r="B219" s="464"/>
      <c r="C219" s="159"/>
      <c r="D219" s="472"/>
      <c r="E219" s="472"/>
      <c r="F219" s="472"/>
      <c r="G219" s="472"/>
      <c r="H219" s="472"/>
      <c r="I219" s="472"/>
      <c r="J219" s="472"/>
      <c r="K219" s="472"/>
      <c r="L219" s="158"/>
      <c r="M219" s="104"/>
      <c r="N219" s="8"/>
      <c r="O219" s="266"/>
      <c r="P219" s="61"/>
      <c r="Q219" s="267"/>
    </row>
    <row r="220" spans="2:17" s="278" customFormat="1" ht="13.5" thickBot="1" x14ac:dyDescent="0.25">
      <c r="B220" s="464"/>
      <c r="C220" s="276"/>
      <c r="D220" s="5"/>
      <c r="E220" s="5"/>
      <c r="F220" s="5"/>
      <c r="G220" s="5"/>
      <c r="H220" s="5"/>
      <c r="I220" s="5"/>
      <c r="J220" s="5"/>
      <c r="K220" s="5"/>
      <c r="L220" s="160"/>
      <c r="M220" s="104"/>
      <c r="N220" s="8"/>
      <c r="O220" s="266"/>
      <c r="P220" s="61"/>
      <c r="Q220" s="267"/>
    </row>
    <row r="221" spans="2:17" s="278" customFormat="1" ht="27" thickBot="1" x14ac:dyDescent="0.3">
      <c r="B221" s="464"/>
      <c r="C221" s="151" t="s">
        <v>53</v>
      </c>
      <c r="D221" s="60"/>
      <c r="E221" s="473"/>
      <c r="F221" s="474"/>
      <c r="G221" s="161" t="s">
        <v>48</v>
      </c>
      <c r="H221" s="162" t="s">
        <v>54</v>
      </c>
      <c r="I221" s="163" t="s">
        <v>41</v>
      </c>
      <c r="L221" s="150"/>
      <c r="M221" s="280"/>
      <c r="N221" s="275"/>
      <c r="O221" s="266"/>
      <c r="P221" s="61"/>
      <c r="Q221" s="267"/>
    </row>
    <row r="222" spans="2:17" s="278" customFormat="1" ht="13.5" thickBot="1" x14ac:dyDescent="0.25">
      <c r="B222" s="464"/>
      <c r="C222" s="276"/>
      <c r="E222" s="475" t="s">
        <v>28</v>
      </c>
      <c r="F222" s="476"/>
      <c r="G222" s="108"/>
      <c r="H222" s="109"/>
      <c r="I222" s="71">
        <f t="shared" ref="I222:I226" si="161">G222*H222</f>
        <v>0</v>
      </c>
      <c r="L222" s="150"/>
      <c r="M222" s="104"/>
      <c r="N222" s="8"/>
      <c r="O222" s="266"/>
      <c r="P222" s="61"/>
      <c r="Q222" s="267"/>
    </row>
    <row r="223" spans="2:17" s="278" customFormat="1" ht="13.5" thickBot="1" x14ac:dyDescent="0.25">
      <c r="B223" s="464"/>
      <c r="C223" s="276"/>
      <c r="E223" s="450" t="s">
        <v>25</v>
      </c>
      <c r="F223" s="451"/>
      <c r="G223" s="110"/>
      <c r="H223" s="111"/>
      <c r="I223" s="71">
        <f t="shared" si="161"/>
        <v>0</v>
      </c>
      <c r="L223" s="150"/>
      <c r="M223" s="8"/>
      <c r="N223" s="8"/>
      <c r="O223" s="61"/>
      <c r="P223" s="61"/>
      <c r="Q223" s="61"/>
    </row>
    <row r="224" spans="2:17" s="278" customFormat="1" ht="13.5" thickBot="1" x14ac:dyDescent="0.25">
      <c r="B224" s="464"/>
      <c r="C224" s="276"/>
      <c r="E224" s="450" t="s">
        <v>26</v>
      </c>
      <c r="F224" s="451"/>
      <c r="G224" s="110"/>
      <c r="H224" s="111"/>
      <c r="I224" s="71">
        <f t="shared" si="161"/>
        <v>0</v>
      </c>
      <c r="L224" s="150"/>
      <c r="M224" s="104"/>
      <c r="N224" s="61"/>
      <c r="O224" s="61"/>
      <c r="P224" s="61"/>
      <c r="Q224" s="61"/>
    </row>
    <row r="225" spans="2:17" s="278" customFormat="1" ht="13.5" thickBot="1" x14ac:dyDescent="0.25">
      <c r="B225" s="464"/>
      <c r="C225" s="276"/>
      <c r="E225" s="448" t="s">
        <v>27</v>
      </c>
      <c r="F225" s="449"/>
      <c r="G225" s="110"/>
      <c r="H225" s="111"/>
      <c r="I225" s="71">
        <f t="shared" si="161"/>
        <v>0</v>
      </c>
      <c r="L225" s="150"/>
      <c r="M225" s="104"/>
      <c r="N225" s="8"/>
      <c r="O225" s="61"/>
      <c r="P225" s="61"/>
      <c r="Q225" s="61"/>
    </row>
    <row r="226" spans="2:17" s="278" customFormat="1" ht="13.5" thickBot="1" x14ac:dyDescent="0.25">
      <c r="B226" s="465"/>
      <c r="C226" s="279"/>
      <c r="D226" s="9"/>
      <c r="E226" s="461" t="s">
        <v>50</v>
      </c>
      <c r="F226" s="462"/>
      <c r="G226" s="112"/>
      <c r="H226" s="113"/>
      <c r="I226" s="165">
        <f t="shared" si="161"/>
        <v>0</v>
      </c>
      <c r="J226" s="9"/>
      <c r="K226" s="166"/>
      <c r="L226" s="147"/>
      <c r="M226" s="104"/>
      <c r="N226" s="61"/>
      <c r="O226" s="61"/>
      <c r="P226" s="61"/>
      <c r="Q226" s="61"/>
    </row>
    <row r="227" spans="2:17" s="278" customFormat="1" ht="13.5" thickBot="1" x14ac:dyDescent="0.25">
      <c r="B227" s="269"/>
      <c r="C227" s="69"/>
      <c r="D227" s="8"/>
      <c r="E227" s="270"/>
      <c r="F227" s="270"/>
      <c r="G227" s="271"/>
      <c r="H227" s="272"/>
      <c r="I227" s="138"/>
      <c r="J227" s="273"/>
      <c r="K227" s="274"/>
      <c r="L227" s="274"/>
      <c r="M227" s="104"/>
      <c r="N227" s="8"/>
      <c r="O227" s="8"/>
      <c r="P227" s="8"/>
      <c r="Q227" s="8"/>
    </row>
    <row r="228" spans="2:17" s="278" customFormat="1" ht="26.25" thickBot="1" x14ac:dyDescent="0.25">
      <c r="B228" s="463">
        <v>12</v>
      </c>
      <c r="C228" s="140" t="s">
        <v>112</v>
      </c>
      <c r="D228" s="122"/>
      <c r="E228" s="141"/>
      <c r="F228" s="141" t="s">
        <v>46</v>
      </c>
      <c r="G228" s="141" t="s">
        <v>47</v>
      </c>
      <c r="H228" s="121" t="s">
        <v>87</v>
      </c>
      <c r="I228" s="141" t="s">
        <v>51</v>
      </c>
      <c r="J228" s="142" t="s">
        <v>42</v>
      </c>
      <c r="K228" s="143" t="s">
        <v>43</v>
      </c>
      <c r="L228" s="144" t="s">
        <v>44</v>
      </c>
      <c r="M228" s="104"/>
      <c r="N228" s="8"/>
      <c r="O228" s="66"/>
      <c r="P228" s="61"/>
      <c r="Q228" s="61"/>
    </row>
    <row r="229" spans="2:17" s="278" customFormat="1" ht="13.5" thickBot="1" x14ac:dyDescent="0.25">
      <c r="B229" s="464"/>
      <c r="C229" s="455"/>
      <c r="D229" s="456"/>
      <c r="E229" s="457"/>
      <c r="F229" s="105"/>
      <c r="G229" s="106"/>
      <c r="H229" s="145">
        <f t="shared" ref="H229" si="162">ROUNDUP((G229-F229)/7,0)</f>
        <v>0</v>
      </c>
      <c r="I229" s="107"/>
      <c r="J229" s="146" t="e">
        <f t="shared" ref="J229" si="163">(SUM(K233:K236))+(SUM(I241:I245))</f>
        <v>#DIV/0!</v>
      </c>
      <c r="K229" s="268" t="e">
        <f t="shared" ref="K229" si="164">IF(F230="No",Q231,Q230)</f>
        <v>#DIV/0!</v>
      </c>
      <c r="L229" s="147" t="e">
        <f t="shared" ref="L229" si="165">SUM(J229:K229)</f>
        <v>#DIV/0!</v>
      </c>
      <c r="M229" s="8"/>
      <c r="N229" s="138">
        <f t="shared" ref="N229" si="166">IF(ISNUMBER(L229),L229,0)</f>
        <v>0</v>
      </c>
      <c r="O229" s="61"/>
      <c r="P229" s="61"/>
      <c r="Q229" s="61"/>
    </row>
    <row r="230" spans="2:17" s="278" customFormat="1" ht="13.5" thickBot="1" x14ac:dyDescent="0.25">
      <c r="B230" s="464"/>
      <c r="C230" s="452" t="s">
        <v>269</v>
      </c>
      <c r="D230" s="453"/>
      <c r="E230" s="454"/>
      <c r="F230" s="466"/>
      <c r="G230" s="467"/>
      <c r="H230" s="148"/>
      <c r="I230" s="138"/>
      <c r="J230" s="29"/>
      <c r="K230" s="149"/>
      <c r="L230" s="150"/>
      <c r="M230" s="83"/>
      <c r="N230" s="61"/>
      <c r="O230" s="61"/>
      <c r="P230" s="61" t="s">
        <v>268</v>
      </c>
      <c r="Q230" s="61" t="e">
        <f>IF(F230="Exempt all taxes",0,(J229*FICA)+(J229*Medicare))</f>
        <v>#DIV/0!</v>
      </c>
    </row>
    <row r="231" spans="2:17" s="278" customFormat="1" ht="13.5" thickBot="1" x14ac:dyDescent="0.25">
      <c r="B231" s="464"/>
      <c r="C231" s="458"/>
      <c r="D231" s="459"/>
      <c r="E231" s="459"/>
      <c r="F231" s="459"/>
      <c r="G231" s="459"/>
      <c r="H231" s="459"/>
      <c r="I231" s="459"/>
      <c r="J231" s="459"/>
      <c r="K231" s="459"/>
      <c r="L231" s="460"/>
      <c r="M231" s="83"/>
      <c r="N231" s="61"/>
      <c r="O231" s="61"/>
      <c r="P231" s="61" t="s">
        <v>267</v>
      </c>
      <c r="Q231" s="61" t="e">
        <f>IF(J229&gt;=SUTA_Max,((FUTA_Max*FUTA)+(SUTA_Max*I229)+(J229*FICA)+(J229*Medicare)),IF(J229&gt;=FUTA_Max,((FUTA_Max*FUTA)+(J229*I229)+(J229*FICA)+(J229*Medicare)),IF(J229&lt;FUTA_Max,(J229*Total_Tax+I229))))</f>
        <v>#DIV/0!</v>
      </c>
    </row>
    <row r="232" spans="2:17" s="278" customFormat="1" ht="27" thickBot="1" x14ac:dyDescent="0.3">
      <c r="B232" s="464"/>
      <c r="C232" s="151" t="s">
        <v>52</v>
      </c>
      <c r="D232" s="60"/>
      <c r="E232" s="468" t="s">
        <v>85</v>
      </c>
      <c r="F232" s="469"/>
      <c r="G232" s="153" t="s">
        <v>245</v>
      </c>
      <c r="H232" s="152" t="s">
        <v>40</v>
      </c>
      <c r="I232" s="265" t="s">
        <v>45</v>
      </c>
      <c r="J232" s="153" t="s">
        <v>49</v>
      </c>
      <c r="K232" s="154" t="s">
        <v>41</v>
      </c>
      <c r="L232" s="150"/>
      <c r="M232" s="69"/>
      <c r="N232" s="61"/>
      <c r="O232" s="61"/>
      <c r="P232" s="61"/>
      <c r="Q232" s="61"/>
    </row>
    <row r="233" spans="2:17" s="278" customFormat="1" ht="13.5" thickBot="1" x14ac:dyDescent="0.25">
      <c r="B233" s="464"/>
      <c r="C233" s="277"/>
      <c r="E233" s="444"/>
      <c r="F233" s="445"/>
      <c r="G233" s="70"/>
      <c r="H233" s="168"/>
      <c r="I233" s="155">
        <f t="shared" ref="I233" si="167">H229</f>
        <v>0</v>
      </c>
      <c r="J233" s="156"/>
      <c r="K233" s="157">
        <f t="shared" ref="K233:K235" si="168">G233*H233*I233</f>
        <v>0</v>
      </c>
      <c r="L233" s="150"/>
      <c r="M233" s="104"/>
      <c r="N233" s="61"/>
      <c r="O233" s="266" t="e">
        <f t="shared" ref="O233" si="169">(G233/Q236)*H233</f>
        <v>#DIV/0!</v>
      </c>
      <c r="P233" s="61"/>
      <c r="Q233" s="267" t="e">
        <f t="shared" ref="Q233" si="170">SUM(O233:O235)</f>
        <v>#DIV/0!</v>
      </c>
    </row>
    <row r="234" spans="2:17" s="278" customFormat="1" ht="13.5" thickBot="1" x14ac:dyDescent="0.25">
      <c r="B234" s="464"/>
      <c r="C234" s="277"/>
      <c r="E234" s="446"/>
      <c r="F234" s="447"/>
      <c r="G234" s="70"/>
      <c r="H234" s="168"/>
      <c r="I234" s="155">
        <f t="shared" ref="I234" si="171">H229</f>
        <v>0</v>
      </c>
      <c r="J234" s="249"/>
      <c r="K234" s="157">
        <f t="shared" si="168"/>
        <v>0</v>
      </c>
      <c r="L234" s="150"/>
      <c r="M234" s="104"/>
      <c r="N234" s="61"/>
      <c r="O234" s="266" t="e">
        <f t="shared" ref="O234" si="172">(G234/Q236)*H234</f>
        <v>#DIV/0!</v>
      </c>
      <c r="P234" s="61"/>
      <c r="Q234" s="267"/>
    </row>
    <row r="235" spans="2:17" s="278" customFormat="1" ht="13.5" thickBot="1" x14ac:dyDescent="0.25">
      <c r="B235" s="464"/>
      <c r="C235" s="277"/>
      <c r="E235" s="446"/>
      <c r="F235" s="447"/>
      <c r="G235" s="70"/>
      <c r="H235" s="168"/>
      <c r="I235" s="155">
        <f t="shared" ref="I235" si="173">H229</f>
        <v>0</v>
      </c>
      <c r="J235" s="249"/>
      <c r="K235" s="157">
        <f t="shared" si="168"/>
        <v>0</v>
      </c>
      <c r="L235" s="150"/>
      <c r="M235" s="104"/>
      <c r="N235" s="61"/>
      <c r="O235" s="266" t="e">
        <f t="shared" ref="O235" si="174">(G235/Q236)*H235</f>
        <v>#DIV/0!</v>
      </c>
      <c r="P235" s="61"/>
      <c r="Q235" s="267"/>
    </row>
    <row r="236" spans="2:17" s="278" customFormat="1" ht="13.5" thickBot="1" x14ac:dyDescent="0.25">
      <c r="B236" s="464"/>
      <c r="C236" s="277"/>
      <c r="E236" s="470" t="s">
        <v>24</v>
      </c>
      <c r="F236" s="471"/>
      <c r="G236" s="70"/>
      <c r="H236" s="260"/>
      <c r="I236" s="261">
        <f t="shared" ref="I236" si="175">H229</f>
        <v>0</v>
      </c>
      <c r="J236" s="262" t="e">
        <f t="shared" ref="J236" si="176">Q233*1.5</f>
        <v>#DIV/0!</v>
      </c>
      <c r="K236" s="263" t="e">
        <f t="shared" ref="K236" si="177">G236*I236*J236</f>
        <v>#DIV/0!</v>
      </c>
      <c r="L236" s="150"/>
      <c r="M236" s="104"/>
      <c r="N236" s="61"/>
      <c r="O236" s="94"/>
      <c r="P236" s="61"/>
      <c r="Q236" s="267">
        <f t="shared" ref="Q236" si="178">SUM(G233:G235)</f>
        <v>0</v>
      </c>
    </row>
    <row r="237" spans="2:17" s="278" customFormat="1" x14ac:dyDescent="0.2">
      <c r="B237" s="464"/>
      <c r="C237" s="277"/>
      <c r="D237" s="472" t="s">
        <v>115</v>
      </c>
      <c r="E237" s="472"/>
      <c r="F237" s="472"/>
      <c r="G237" s="472"/>
      <c r="H237" s="472"/>
      <c r="I237" s="472"/>
      <c r="J237" s="472"/>
      <c r="K237" s="472"/>
      <c r="L237" s="158"/>
      <c r="M237" s="104"/>
      <c r="N237" s="61"/>
      <c r="O237" s="266"/>
      <c r="P237" s="61"/>
      <c r="Q237" s="267"/>
    </row>
    <row r="238" spans="2:17" s="278" customFormat="1" x14ac:dyDescent="0.2">
      <c r="B238" s="464"/>
      <c r="C238" s="159"/>
      <c r="D238" s="472"/>
      <c r="E238" s="472"/>
      <c r="F238" s="472"/>
      <c r="G238" s="472"/>
      <c r="H238" s="472"/>
      <c r="I238" s="472"/>
      <c r="J238" s="472"/>
      <c r="K238" s="472"/>
      <c r="L238" s="158"/>
      <c r="M238" s="104"/>
      <c r="N238" s="8"/>
      <c r="O238" s="266"/>
      <c r="P238" s="61"/>
      <c r="Q238" s="267"/>
    </row>
    <row r="239" spans="2:17" s="278" customFormat="1" ht="13.5" thickBot="1" x14ac:dyDescent="0.25">
      <c r="B239" s="464"/>
      <c r="C239" s="276"/>
      <c r="D239" s="5"/>
      <c r="E239" s="5"/>
      <c r="F239" s="5"/>
      <c r="G239" s="5"/>
      <c r="H239" s="5"/>
      <c r="I239" s="5"/>
      <c r="J239" s="5"/>
      <c r="K239" s="5"/>
      <c r="L239" s="160"/>
      <c r="M239" s="104"/>
      <c r="N239" s="8"/>
      <c r="O239" s="266"/>
      <c r="P239" s="61"/>
      <c r="Q239" s="267"/>
    </row>
    <row r="240" spans="2:17" s="278" customFormat="1" ht="27" thickBot="1" x14ac:dyDescent="0.3">
      <c r="B240" s="464"/>
      <c r="C240" s="151" t="s">
        <v>53</v>
      </c>
      <c r="D240" s="60"/>
      <c r="E240" s="473"/>
      <c r="F240" s="474"/>
      <c r="G240" s="161" t="s">
        <v>48</v>
      </c>
      <c r="H240" s="162" t="s">
        <v>54</v>
      </c>
      <c r="I240" s="163" t="s">
        <v>41</v>
      </c>
      <c r="L240" s="150"/>
      <c r="M240" s="280"/>
      <c r="N240" s="275"/>
      <c r="O240" s="266"/>
      <c r="P240" s="61"/>
      <c r="Q240" s="267"/>
    </row>
    <row r="241" spans="2:17" s="278" customFormat="1" ht="13.5" thickBot="1" x14ac:dyDescent="0.25">
      <c r="B241" s="464"/>
      <c r="C241" s="276"/>
      <c r="E241" s="475" t="s">
        <v>28</v>
      </c>
      <c r="F241" s="476"/>
      <c r="G241" s="108"/>
      <c r="H241" s="109"/>
      <c r="I241" s="71">
        <f t="shared" ref="I241:I245" si="179">G241*H241</f>
        <v>0</v>
      </c>
      <c r="L241" s="150"/>
      <c r="M241" s="104"/>
      <c r="N241" s="8"/>
      <c r="O241" s="266"/>
      <c r="P241" s="61"/>
      <c r="Q241" s="267"/>
    </row>
    <row r="242" spans="2:17" s="278" customFormat="1" ht="13.5" thickBot="1" x14ac:dyDescent="0.25">
      <c r="B242" s="464"/>
      <c r="C242" s="276"/>
      <c r="E242" s="450" t="s">
        <v>25</v>
      </c>
      <c r="F242" s="451"/>
      <c r="G242" s="110"/>
      <c r="H242" s="111"/>
      <c r="I242" s="71">
        <f t="shared" si="179"/>
        <v>0</v>
      </c>
      <c r="L242" s="150"/>
      <c r="M242" s="8"/>
      <c r="N242" s="8"/>
      <c r="O242" s="61"/>
      <c r="P242" s="61"/>
      <c r="Q242" s="61"/>
    </row>
    <row r="243" spans="2:17" s="278" customFormat="1" ht="13.5" thickBot="1" x14ac:dyDescent="0.25">
      <c r="B243" s="464"/>
      <c r="C243" s="276"/>
      <c r="E243" s="450" t="s">
        <v>26</v>
      </c>
      <c r="F243" s="451"/>
      <c r="G243" s="110"/>
      <c r="H243" s="111"/>
      <c r="I243" s="71">
        <f t="shared" si="179"/>
        <v>0</v>
      </c>
      <c r="L243" s="150"/>
      <c r="M243" s="104"/>
      <c r="N243" s="61"/>
      <c r="O243" s="61"/>
      <c r="P243" s="61"/>
      <c r="Q243" s="61"/>
    </row>
    <row r="244" spans="2:17" s="278" customFormat="1" ht="13.5" thickBot="1" x14ac:dyDescent="0.25">
      <c r="B244" s="464"/>
      <c r="C244" s="276"/>
      <c r="E244" s="448" t="s">
        <v>27</v>
      </c>
      <c r="F244" s="449"/>
      <c r="G244" s="110"/>
      <c r="H244" s="111"/>
      <c r="I244" s="71">
        <f t="shared" si="179"/>
        <v>0</v>
      </c>
      <c r="L244" s="150"/>
      <c r="M244" s="104"/>
      <c r="N244" s="8"/>
      <c r="O244" s="61"/>
      <c r="P244" s="61"/>
      <c r="Q244" s="61"/>
    </row>
    <row r="245" spans="2:17" s="278" customFormat="1" ht="13.5" thickBot="1" x14ac:dyDescent="0.25">
      <c r="B245" s="465"/>
      <c r="C245" s="279"/>
      <c r="D245" s="9"/>
      <c r="E245" s="461" t="s">
        <v>50</v>
      </c>
      <c r="F245" s="462"/>
      <c r="G245" s="112"/>
      <c r="H245" s="113"/>
      <c r="I245" s="165">
        <f t="shared" si="179"/>
        <v>0</v>
      </c>
      <c r="J245" s="9"/>
      <c r="K245" s="166"/>
      <c r="L245" s="147"/>
      <c r="M245" s="104"/>
      <c r="N245" s="61"/>
      <c r="O245" s="61"/>
      <c r="P245" s="61"/>
      <c r="Q245" s="61"/>
    </row>
    <row r="246" spans="2:17" s="278" customFormat="1" ht="13.5" thickBot="1" x14ac:dyDescent="0.25">
      <c r="B246" s="269"/>
      <c r="C246" s="69"/>
      <c r="D246" s="8"/>
      <c r="E246" s="270"/>
      <c r="F246" s="270"/>
      <c r="G246" s="271"/>
      <c r="H246" s="272"/>
      <c r="I246" s="138"/>
      <c r="J246" s="273"/>
      <c r="K246" s="274"/>
      <c r="L246" s="274"/>
      <c r="M246" s="104"/>
      <c r="N246" s="8"/>
      <c r="O246" s="8"/>
      <c r="P246" s="8"/>
      <c r="Q246" s="8"/>
    </row>
    <row r="247" spans="2:17" s="278" customFormat="1" ht="26.25" thickBot="1" x14ac:dyDescent="0.25">
      <c r="B247" s="463">
        <v>13</v>
      </c>
      <c r="C247" s="140" t="s">
        <v>112</v>
      </c>
      <c r="D247" s="122"/>
      <c r="E247" s="141"/>
      <c r="F247" s="141" t="s">
        <v>46</v>
      </c>
      <c r="G247" s="141" t="s">
        <v>47</v>
      </c>
      <c r="H247" s="121" t="s">
        <v>87</v>
      </c>
      <c r="I247" s="141" t="s">
        <v>51</v>
      </c>
      <c r="J247" s="142" t="s">
        <v>42</v>
      </c>
      <c r="K247" s="143" t="s">
        <v>43</v>
      </c>
      <c r="L247" s="144" t="s">
        <v>44</v>
      </c>
      <c r="M247" s="104"/>
      <c r="N247" s="8"/>
      <c r="O247" s="66"/>
      <c r="P247" s="61"/>
      <c r="Q247" s="61"/>
    </row>
    <row r="248" spans="2:17" s="278" customFormat="1" ht="13.5" thickBot="1" x14ac:dyDescent="0.25">
      <c r="B248" s="464"/>
      <c r="C248" s="455"/>
      <c r="D248" s="456"/>
      <c r="E248" s="457"/>
      <c r="F248" s="105"/>
      <c r="G248" s="106"/>
      <c r="H248" s="145">
        <f t="shared" ref="H248" si="180">ROUNDUP((G248-F248)/7,0)</f>
        <v>0</v>
      </c>
      <c r="I248" s="107"/>
      <c r="J248" s="146" t="e">
        <f t="shared" ref="J248" si="181">(SUM(K252:K255))+(SUM(I260:I264))</f>
        <v>#DIV/0!</v>
      </c>
      <c r="K248" s="268" t="e">
        <f t="shared" ref="K248" si="182">IF(F249="No",Q250,Q249)</f>
        <v>#DIV/0!</v>
      </c>
      <c r="L248" s="147" t="e">
        <f t="shared" ref="L248" si="183">SUM(J248:K248)</f>
        <v>#DIV/0!</v>
      </c>
      <c r="M248" s="8"/>
      <c r="N248" s="138">
        <f t="shared" ref="N248" si="184">IF(ISNUMBER(L248),L248,0)</f>
        <v>0</v>
      </c>
      <c r="O248" s="61"/>
      <c r="P248" s="61"/>
      <c r="Q248" s="61"/>
    </row>
    <row r="249" spans="2:17" s="278" customFormat="1" ht="13.5" thickBot="1" x14ac:dyDescent="0.25">
      <c r="B249" s="464"/>
      <c r="C249" s="452" t="s">
        <v>269</v>
      </c>
      <c r="D249" s="453"/>
      <c r="E249" s="454"/>
      <c r="F249" s="466"/>
      <c r="G249" s="467"/>
      <c r="H249" s="148"/>
      <c r="I249" s="138"/>
      <c r="J249" s="29"/>
      <c r="K249" s="149"/>
      <c r="L249" s="150"/>
      <c r="M249" s="83"/>
      <c r="N249" s="61"/>
      <c r="O249" s="61"/>
      <c r="P249" s="61" t="s">
        <v>268</v>
      </c>
      <c r="Q249" s="61" t="e">
        <f>IF(F249="Exempt all taxes",0,(J248*FICA)+(J248*Medicare))</f>
        <v>#DIV/0!</v>
      </c>
    </row>
    <row r="250" spans="2:17" s="278" customFormat="1" ht="13.5" thickBot="1" x14ac:dyDescent="0.25">
      <c r="B250" s="464"/>
      <c r="C250" s="458"/>
      <c r="D250" s="459"/>
      <c r="E250" s="459"/>
      <c r="F250" s="459"/>
      <c r="G250" s="459"/>
      <c r="H250" s="459"/>
      <c r="I250" s="459"/>
      <c r="J250" s="459"/>
      <c r="K250" s="459"/>
      <c r="L250" s="460"/>
      <c r="M250" s="83"/>
      <c r="N250" s="61"/>
      <c r="O250" s="61"/>
      <c r="P250" s="61" t="s">
        <v>267</v>
      </c>
      <c r="Q250" s="61" t="e">
        <f>IF(J248&gt;=SUTA_Max,((FUTA_Max*FUTA)+(SUTA_Max*I248)+(J248*FICA)+(J248*Medicare)),IF(J248&gt;=FUTA_Max,((FUTA_Max*FUTA)+(J248*I248)+(J248*FICA)+(J248*Medicare)),IF(J248&lt;FUTA_Max,(J248*Total_Tax+I248))))</f>
        <v>#DIV/0!</v>
      </c>
    </row>
    <row r="251" spans="2:17" s="278" customFormat="1" ht="27" thickBot="1" x14ac:dyDescent="0.3">
      <c r="B251" s="464"/>
      <c r="C251" s="151" t="s">
        <v>52</v>
      </c>
      <c r="D251" s="60"/>
      <c r="E251" s="468" t="s">
        <v>85</v>
      </c>
      <c r="F251" s="469"/>
      <c r="G251" s="153" t="s">
        <v>245</v>
      </c>
      <c r="H251" s="152" t="s">
        <v>40</v>
      </c>
      <c r="I251" s="265" t="s">
        <v>45</v>
      </c>
      <c r="J251" s="153" t="s">
        <v>49</v>
      </c>
      <c r="K251" s="154" t="s">
        <v>41</v>
      </c>
      <c r="L251" s="150"/>
      <c r="M251" s="69"/>
      <c r="N251" s="61"/>
      <c r="O251" s="61"/>
      <c r="P251" s="61"/>
      <c r="Q251" s="61"/>
    </row>
    <row r="252" spans="2:17" s="278" customFormat="1" ht="13.5" thickBot="1" x14ac:dyDescent="0.25">
      <c r="B252" s="464"/>
      <c r="C252" s="277"/>
      <c r="E252" s="444"/>
      <c r="F252" s="445"/>
      <c r="G252" s="70"/>
      <c r="H252" s="168"/>
      <c r="I252" s="155">
        <f t="shared" ref="I252" si="185">H248</f>
        <v>0</v>
      </c>
      <c r="J252" s="156"/>
      <c r="K252" s="157">
        <f t="shared" ref="K252:K254" si="186">G252*H252*I252</f>
        <v>0</v>
      </c>
      <c r="L252" s="150"/>
      <c r="M252" s="104"/>
      <c r="N252" s="61"/>
      <c r="O252" s="266" t="e">
        <f t="shared" ref="O252" si="187">(G252/Q255)*H252</f>
        <v>#DIV/0!</v>
      </c>
      <c r="P252" s="61"/>
      <c r="Q252" s="267" t="e">
        <f t="shared" ref="Q252" si="188">SUM(O252:O254)</f>
        <v>#DIV/0!</v>
      </c>
    </row>
    <row r="253" spans="2:17" s="278" customFormat="1" ht="13.5" thickBot="1" x14ac:dyDescent="0.25">
      <c r="B253" s="464"/>
      <c r="C253" s="277"/>
      <c r="E253" s="446"/>
      <c r="F253" s="447"/>
      <c r="G253" s="70"/>
      <c r="H253" s="168"/>
      <c r="I253" s="155">
        <f t="shared" ref="I253" si="189">H248</f>
        <v>0</v>
      </c>
      <c r="J253" s="249"/>
      <c r="K253" s="157">
        <f t="shared" si="186"/>
        <v>0</v>
      </c>
      <c r="L253" s="150"/>
      <c r="M253" s="104"/>
      <c r="N253" s="61"/>
      <c r="O253" s="266" t="e">
        <f t="shared" ref="O253" si="190">(G253/Q255)*H253</f>
        <v>#DIV/0!</v>
      </c>
      <c r="P253" s="61"/>
      <c r="Q253" s="267"/>
    </row>
    <row r="254" spans="2:17" s="278" customFormat="1" ht="13.5" thickBot="1" x14ac:dyDescent="0.25">
      <c r="B254" s="464"/>
      <c r="C254" s="277"/>
      <c r="E254" s="446"/>
      <c r="F254" s="447"/>
      <c r="G254" s="70"/>
      <c r="H254" s="168"/>
      <c r="I254" s="155">
        <f t="shared" ref="I254" si="191">H248</f>
        <v>0</v>
      </c>
      <c r="J254" s="249"/>
      <c r="K254" s="157">
        <f t="shared" si="186"/>
        <v>0</v>
      </c>
      <c r="L254" s="150"/>
      <c r="M254" s="104"/>
      <c r="N254" s="61"/>
      <c r="O254" s="266" t="e">
        <f t="shared" ref="O254" si="192">(G254/Q255)*H254</f>
        <v>#DIV/0!</v>
      </c>
      <c r="P254" s="61"/>
      <c r="Q254" s="267"/>
    </row>
    <row r="255" spans="2:17" s="278" customFormat="1" ht="13.5" thickBot="1" x14ac:dyDescent="0.25">
      <c r="B255" s="464"/>
      <c r="C255" s="277"/>
      <c r="E255" s="470" t="s">
        <v>24</v>
      </c>
      <c r="F255" s="471"/>
      <c r="G255" s="70"/>
      <c r="H255" s="260"/>
      <c r="I255" s="261">
        <f t="shared" ref="I255" si="193">H248</f>
        <v>0</v>
      </c>
      <c r="J255" s="262" t="e">
        <f t="shared" ref="J255" si="194">Q252*1.5</f>
        <v>#DIV/0!</v>
      </c>
      <c r="K255" s="263" t="e">
        <f t="shared" ref="K255" si="195">G255*I255*J255</f>
        <v>#DIV/0!</v>
      </c>
      <c r="L255" s="150"/>
      <c r="M255" s="104"/>
      <c r="N255" s="61"/>
      <c r="O255" s="94"/>
      <c r="P255" s="61"/>
      <c r="Q255" s="267">
        <f t="shared" ref="Q255" si="196">SUM(G252:G254)</f>
        <v>0</v>
      </c>
    </row>
    <row r="256" spans="2:17" s="278" customFormat="1" x14ac:dyDescent="0.2">
      <c r="B256" s="464"/>
      <c r="C256" s="277"/>
      <c r="D256" s="472" t="s">
        <v>115</v>
      </c>
      <c r="E256" s="472"/>
      <c r="F256" s="472"/>
      <c r="G256" s="472"/>
      <c r="H256" s="472"/>
      <c r="I256" s="472"/>
      <c r="J256" s="472"/>
      <c r="K256" s="472"/>
      <c r="L256" s="158"/>
      <c r="M256" s="104"/>
      <c r="N256" s="61"/>
      <c r="O256" s="266"/>
      <c r="P256" s="61"/>
      <c r="Q256" s="267"/>
    </row>
    <row r="257" spans="2:17" s="278" customFormat="1" x14ac:dyDescent="0.2">
      <c r="B257" s="464"/>
      <c r="C257" s="159"/>
      <c r="D257" s="472"/>
      <c r="E257" s="472"/>
      <c r="F257" s="472"/>
      <c r="G257" s="472"/>
      <c r="H257" s="472"/>
      <c r="I257" s="472"/>
      <c r="J257" s="472"/>
      <c r="K257" s="472"/>
      <c r="L257" s="158"/>
      <c r="M257" s="104"/>
      <c r="N257" s="8"/>
      <c r="O257" s="266"/>
      <c r="P257" s="61"/>
      <c r="Q257" s="267"/>
    </row>
    <row r="258" spans="2:17" s="278" customFormat="1" ht="13.5" thickBot="1" x14ac:dyDescent="0.25">
      <c r="B258" s="464"/>
      <c r="C258" s="276"/>
      <c r="D258" s="5"/>
      <c r="E258" s="5"/>
      <c r="F258" s="5"/>
      <c r="G258" s="5"/>
      <c r="H258" s="5"/>
      <c r="I258" s="5"/>
      <c r="J258" s="5"/>
      <c r="K258" s="5"/>
      <c r="L258" s="160"/>
      <c r="M258" s="104"/>
      <c r="N258" s="8"/>
      <c r="O258" s="266"/>
      <c r="P258" s="61"/>
      <c r="Q258" s="267"/>
    </row>
    <row r="259" spans="2:17" s="278" customFormat="1" ht="27" thickBot="1" x14ac:dyDescent="0.3">
      <c r="B259" s="464"/>
      <c r="C259" s="151" t="s">
        <v>53</v>
      </c>
      <c r="D259" s="60"/>
      <c r="E259" s="473"/>
      <c r="F259" s="474"/>
      <c r="G259" s="161" t="s">
        <v>48</v>
      </c>
      <c r="H259" s="162" t="s">
        <v>54</v>
      </c>
      <c r="I259" s="163" t="s">
        <v>41</v>
      </c>
      <c r="L259" s="150"/>
      <c r="M259" s="280"/>
      <c r="N259" s="275"/>
      <c r="O259" s="266"/>
      <c r="P259" s="61"/>
      <c r="Q259" s="267"/>
    </row>
    <row r="260" spans="2:17" s="278" customFormat="1" ht="13.5" thickBot="1" x14ac:dyDescent="0.25">
      <c r="B260" s="464"/>
      <c r="C260" s="276"/>
      <c r="E260" s="475" t="s">
        <v>28</v>
      </c>
      <c r="F260" s="476"/>
      <c r="G260" s="108"/>
      <c r="H260" s="109"/>
      <c r="I260" s="71">
        <f t="shared" ref="I260:I264" si="197">G260*H260</f>
        <v>0</v>
      </c>
      <c r="L260" s="150"/>
      <c r="M260" s="104"/>
      <c r="N260" s="8"/>
      <c r="O260" s="266"/>
      <c r="P260" s="61"/>
      <c r="Q260" s="267"/>
    </row>
    <row r="261" spans="2:17" s="278" customFormat="1" ht="13.5" thickBot="1" x14ac:dyDescent="0.25">
      <c r="B261" s="464"/>
      <c r="C261" s="276"/>
      <c r="E261" s="450" t="s">
        <v>25</v>
      </c>
      <c r="F261" s="451"/>
      <c r="G261" s="110"/>
      <c r="H261" s="111"/>
      <c r="I261" s="71">
        <f t="shared" si="197"/>
        <v>0</v>
      </c>
      <c r="L261" s="150"/>
      <c r="M261" s="8"/>
      <c r="N261" s="8"/>
      <c r="O261" s="61"/>
      <c r="P261" s="61"/>
      <c r="Q261" s="61"/>
    </row>
    <row r="262" spans="2:17" s="278" customFormat="1" ht="13.5" thickBot="1" x14ac:dyDescent="0.25">
      <c r="B262" s="464"/>
      <c r="C262" s="276"/>
      <c r="E262" s="450" t="s">
        <v>26</v>
      </c>
      <c r="F262" s="451"/>
      <c r="G262" s="110"/>
      <c r="H262" s="111"/>
      <c r="I262" s="71">
        <f t="shared" si="197"/>
        <v>0</v>
      </c>
      <c r="L262" s="150"/>
      <c r="M262" s="104"/>
      <c r="N262" s="61"/>
      <c r="O262" s="61"/>
      <c r="P262" s="61"/>
      <c r="Q262" s="61"/>
    </row>
    <row r="263" spans="2:17" s="278" customFormat="1" ht="13.5" thickBot="1" x14ac:dyDescent="0.25">
      <c r="B263" s="464"/>
      <c r="C263" s="276"/>
      <c r="E263" s="448" t="s">
        <v>27</v>
      </c>
      <c r="F263" s="449"/>
      <c r="G263" s="110"/>
      <c r="H263" s="111"/>
      <c r="I263" s="71">
        <f t="shared" si="197"/>
        <v>0</v>
      </c>
      <c r="L263" s="150"/>
      <c r="M263" s="104"/>
      <c r="N263" s="8"/>
      <c r="O263" s="61"/>
      <c r="P263" s="61"/>
      <c r="Q263" s="61"/>
    </row>
    <row r="264" spans="2:17" s="278" customFormat="1" ht="13.5" thickBot="1" x14ac:dyDescent="0.25">
      <c r="B264" s="465"/>
      <c r="C264" s="279"/>
      <c r="D264" s="9"/>
      <c r="E264" s="461" t="s">
        <v>50</v>
      </c>
      <c r="F264" s="462"/>
      <c r="G264" s="112"/>
      <c r="H264" s="113"/>
      <c r="I264" s="165">
        <f t="shared" si="197"/>
        <v>0</v>
      </c>
      <c r="J264" s="9"/>
      <c r="K264" s="166"/>
      <c r="L264" s="147"/>
      <c r="M264" s="104"/>
      <c r="N264" s="61"/>
      <c r="O264" s="61"/>
      <c r="P264" s="61"/>
      <c r="Q264" s="61"/>
    </row>
    <row r="265" spans="2:17" s="278" customFormat="1" ht="13.5" thickBot="1" x14ac:dyDescent="0.25">
      <c r="B265" s="269"/>
      <c r="C265" s="69"/>
      <c r="D265" s="8"/>
      <c r="E265" s="270"/>
      <c r="F265" s="270"/>
      <c r="G265" s="271"/>
      <c r="H265" s="272"/>
      <c r="I265" s="138"/>
      <c r="J265" s="273"/>
      <c r="K265" s="274"/>
      <c r="L265" s="274"/>
      <c r="M265" s="104"/>
      <c r="N265" s="8"/>
      <c r="O265" s="8"/>
      <c r="P265" s="8"/>
      <c r="Q265" s="8"/>
    </row>
    <row r="266" spans="2:17" s="278" customFormat="1" ht="26.25" thickBot="1" x14ac:dyDescent="0.25">
      <c r="B266" s="463">
        <v>14</v>
      </c>
      <c r="C266" s="140" t="s">
        <v>112</v>
      </c>
      <c r="D266" s="122"/>
      <c r="E266" s="141"/>
      <c r="F266" s="141" t="s">
        <v>46</v>
      </c>
      <c r="G266" s="141" t="s">
        <v>47</v>
      </c>
      <c r="H266" s="121" t="s">
        <v>87</v>
      </c>
      <c r="I266" s="141" t="s">
        <v>51</v>
      </c>
      <c r="J266" s="142" t="s">
        <v>42</v>
      </c>
      <c r="K266" s="143" t="s">
        <v>43</v>
      </c>
      <c r="L266" s="144" t="s">
        <v>44</v>
      </c>
      <c r="M266" s="104"/>
      <c r="N266" s="8"/>
      <c r="O266" s="66"/>
      <c r="P266" s="61"/>
      <c r="Q266" s="61"/>
    </row>
    <row r="267" spans="2:17" s="278" customFormat="1" ht="13.5" thickBot="1" x14ac:dyDescent="0.25">
      <c r="B267" s="464"/>
      <c r="C267" s="455"/>
      <c r="D267" s="456"/>
      <c r="E267" s="457"/>
      <c r="F267" s="105"/>
      <c r="G267" s="106"/>
      <c r="H267" s="145">
        <f t="shared" ref="H267" si="198">ROUNDUP((G267-F267)/7,0)</f>
        <v>0</v>
      </c>
      <c r="I267" s="107"/>
      <c r="J267" s="146" t="e">
        <f t="shared" ref="J267" si="199">(SUM(K271:K274))+(SUM(I279:I283))</f>
        <v>#DIV/0!</v>
      </c>
      <c r="K267" s="268" t="e">
        <f t="shared" ref="K267" si="200">IF(F268="No",Q269,Q268)</f>
        <v>#DIV/0!</v>
      </c>
      <c r="L267" s="147" t="e">
        <f t="shared" ref="L267" si="201">SUM(J267:K267)</f>
        <v>#DIV/0!</v>
      </c>
      <c r="M267" s="8"/>
      <c r="N267" s="138">
        <f t="shared" ref="N267" si="202">IF(ISNUMBER(L267),L267,0)</f>
        <v>0</v>
      </c>
      <c r="O267" s="61"/>
      <c r="P267" s="61"/>
      <c r="Q267" s="61"/>
    </row>
    <row r="268" spans="2:17" s="278" customFormat="1" ht="13.5" thickBot="1" x14ac:dyDescent="0.25">
      <c r="B268" s="464"/>
      <c r="C268" s="452" t="s">
        <v>269</v>
      </c>
      <c r="D268" s="453"/>
      <c r="E268" s="454"/>
      <c r="F268" s="466"/>
      <c r="G268" s="467"/>
      <c r="H268" s="148"/>
      <c r="I268" s="138"/>
      <c r="J268" s="29"/>
      <c r="K268" s="149"/>
      <c r="L268" s="150"/>
      <c r="M268" s="83"/>
      <c r="N268" s="61"/>
      <c r="O268" s="61"/>
      <c r="P268" s="61" t="s">
        <v>268</v>
      </c>
      <c r="Q268" s="61" t="e">
        <f>IF(F268="Exempt all taxes",0,(J267*FICA)+(J267*Medicare))</f>
        <v>#DIV/0!</v>
      </c>
    </row>
    <row r="269" spans="2:17" s="278" customFormat="1" ht="13.5" thickBot="1" x14ac:dyDescent="0.25">
      <c r="B269" s="464"/>
      <c r="C269" s="458"/>
      <c r="D269" s="459"/>
      <c r="E269" s="459"/>
      <c r="F269" s="459"/>
      <c r="G269" s="459"/>
      <c r="H269" s="459"/>
      <c r="I269" s="459"/>
      <c r="J269" s="459"/>
      <c r="K269" s="459"/>
      <c r="L269" s="460"/>
      <c r="M269" s="83"/>
      <c r="N269" s="61"/>
      <c r="O269" s="61"/>
      <c r="P269" s="61" t="s">
        <v>267</v>
      </c>
      <c r="Q269" s="61" t="e">
        <f>IF(J267&gt;=SUTA_Max,((FUTA_Max*FUTA)+(SUTA_Max*I267)+(J267*FICA)+(J267*Medicare)),IF(J267&gt;=FUTA_Max,((FUTA_Max*FUTA)+(J267*I267)+(J267*FICA)+(J267*Medicare)),IF(J267&lt;FUTA_Max,(J267*Total_Tax+I267))))</f>
        <v>#DIV/0!</v>
      </c>
    </row>
    <row r="270" spans="2:17" s="278" customFormat="1" ht="27" thickBot="1" x14ac:dyDescent="0.3">
      <c r="B270" s="464"/>
      <c r="C270" s="151" t="s">
        <v>52</v>
      </c>
      <c r="D270" s="60"/>
      <c r="E270" s="468" t="s">
        <v>85</v>
      </c>
      <c r="F270" s="469"/>
      <c r="G270" s="153" t="s">
        <v>245</v>
      </c>
      <c r="H270" s="152" t="s">
        <v>40</v>
      </c>
      <c r="I270" s="265" t="s">
        <v>45</v>
      </c>
      <c r="J270" s="153" t="s">
        <v>49</v>
      </c>
      <c r="K270" s="154" t="s">
        <v>41</v>
      </c>
      <c r="L270" s="150"/>
      <c r="M270" s="69"/>
      <c r="N270" s="61"/>
      <c r="O270" s="61"/>
      <c r="P270" s="61"/>
      <c r="Q270" s="61"/>
    </row>
    <row r="271" spans="2:17" s="278" customFormat="1" ht="13.5" thickBot="1" x14ac:dyDescent="0.25">
      <c r="B271" s="464"/>
      <c r="C271" s="277"/>
      <c r="E271" s="444"/>
      <c r="F271" s="445"/>
      <c r="G271" s="70"/>
      <c r="H271" s="168"/>
      <c r="I271" s="155">
        <f t="shared" ref="I271" si="203">H267</f>
        <v>0</v>
      </c>
      <c r="J271" s="156"/>
      <c r="K271" s="157">
        <f t="shared" ref="K271:K273" si="204">G271*H271*I271</f>
        <v>0</v>
      </c>
      <c r="L271" s="150"/>
      <c r="M271" s="104"/>
      <c r="N271" s="61"/>
      <c r="O271" s="266" t="e">
        <f t="shared" ref="O271" si="205">(G271/Q274)*H271</f>
        <v>#DIV/0!</v>
      </c>
      <c r="P271" s="61"/>
      <c r="Q271" s="267" t="e">
        <f t="shared" ref="Q271" si="206">SUM(O271:O273)</f>
        <v>#DIV/0!</v>
      </c>
    </row>
    <row r="272" spans="2:17" s="278" customFormat="1" ht="13.5" thickBot="1" x14ac:dyDescent="0.25">
      <c r="B272" s="464"/>
      <c r="C272" s="277"/>
      <c r="E272" s="446"/>
      <c r="F272" s="447"/>
      <c r="G272" s="70"/>
      <c r="H272" s="168"/>
      <c r="I272" s="155">
        <f t="shared" ref="I272" si="207">H267</f>
        <v>0</v>
      </c>
      <c r="J272" s="249"/>
      <c r="K272" s="157">
        <f t="shared" si="204"/>
        <v>0</v>
      </c>
      <c r="L272" s="150"/>
      <c r="M272" s="104"/>
      <c r="N272" s="61"/>
      <c r="O272" s="266" t="e">
        <f t="shared" ref="O272" si="208">(G272/Q274)*H272</f>
        <v>#DIV/0!</v>
      </c>
      <c r="P272" s="61"/>
      <c r="Q272" s="267"/>
    </row>
    <row r="273" spans="2:17" s="278" customFormat="1" ht="13.5" thickBot="1" x14ac:dyDescent="0.25">
      <c r="B273" s="464"/>
      <c r="C273" s="277"/>
      <c r="E273" s="446"/>
      <c r="F273" s="447"/>
      <c r="G273" s="70"/>
      <c r="H273" s="168"/>
      <c r="I273" s="155">
        <f t="shared" ref="I273" si="209">H267</f>
        <v>0</v>
      </c>
      <c r="J273" s="249"/>
      <c r="K273" s="157">
        <f t="shared" si="204"/>
        <v>0</v>
      </c>
      <c r="L273" s="150"/>
      <c r="M273" s="104"/>
      <c r="N273" s="61"/>
      <c r="O273" s="266" t="e">
        <f t="shared" ref="O273" si="210">(G273/Q274)*H273</f>
        <v>#DIV/0!</v>
      </c>
      <c r="P273" s="61"/>
      <c r="Q273" s="267"/>
    </row>
    <row r="274" spans="2:17" s="278" customFormat="1" ht="13.5" thickBot="1" x14ac:dyDescent="0.25">
      <c r="B274" s="464"/>
      <c r="C274" s="277"/>
      <c r="E274" s="470" t="s">
        <v>24</v>
      </c>
      <c r="F274" s="471"/>
      <c r="G274" s="70"/>
      <c r="H274" s="260"/>
      <c r="I274" s="261">
        <f t="shared" ref="I274" si="211">H267</f>
        <v>0</v>
      </c>
      <c r="J274" s="262" t="e">
        <f t="shared" ref="J274" si="212">Q271*1.5</f>
        <v>#DIV/0!</v>
      </c>
      <c r="K274" s="263" t="e">
        <f t="shared" ref="K274" si="213">G274*I274*J274</f>
        <v>#DIV/0!</v>
      </c>
      <c r="L274" s="150"/>
      <c r="M274" s="104"/>
      <c r="N274" s="61"/>
      <c r="O274" s="94"/>
      <c r="P274" s="61"/>
      <c r="Q274" s="267">
        <f t="shared" ref="Q274" si="214">SUM(G271:G273)</f>
        <v>0</v>
      </c>
    </row>
    <row r="275" spans="2:17" s="278" customFormat="1" x14ac:dyDescent="0.2">
      <c r="B275" s="464"/>
      <c r="C275" s="277"/>
      <c r="D275" s="472" t="s">
        <v>115</v>
      </c>
      <c r="E275" s="472"/>
      <c r="F275" s="472"/>
      <c r="G275" s="472"/>
      <c r="H275" s="472"/>
      <c r="I275" s="472"/>
      <c r="J275" s="472"/>
      <c r="K275" s="472"/>
      <c r="L275" s="158"/>
      <c r="M275" s="104"/>
      <c r="N275" s="61"/>
      <c r="O275" s="266"/>
      <c r="P275" s="61"/>
      <c r="Q275" s="267"/>
    </row>
    <row r="276" spans="2:17" s="278" customFormat="1" x14ac:dyDescent="0.2">
      <c r="B276" s="464"/>
      <c r="C276" s="159"/>
      <c r="D276" s="472"/>
      <c r="E276" s="472"/>
      <c r="F276" s="472"/>
      <c r="G276" s="472"/>
      <c r="H276" s="472"/>
      <c r="I276" s="472"/>
      <c r="J276" s="472"/>
      <c r="K276" s="472"/>
      <c r="L276" s="158"/>
      <c r="M276" s="104"/>
      <c r="N276" s="8"/>
      <c r="O276" s="266"/>
      <c r="P276" s="61"/>
      <c r="Q276" s="267"/>
    </row>
    <row r="277" spans="2:17" s="278" customFormat="1" ht="13.5" thickBot="1" x14ac:dyDescent="0.25">
      <c r="B277" s="464"/>
      <c r="C277" s="276"/>
      <c r="D277" s="5"/>
      <c r="E277" s="5"/>
      <c r="F277" s="5"/>
      <c r="G277" s="5"/>
      <c r="H277" s="5"/>
      <c r="I277" s="5"/>
      <c r="J277" s="5"/>
      <c r="K277" s="5"/>
      <c r="L277" s="160"/>
      <c r="M277" s="104"/>
      <c r="N277" s="8"/>
      <c r="O277" s="266"/>
      <c r="P277" s="61"/>
      <c r="Q277" s="267"/>
    </row>
    <row r="278" spans="2:17" s="278" customFormat="1" ht="27" thickBot="1" x14ac:dyDescent="0.3">
      <c r="B278" s="464"/>
      <c r="C278" s="151" t="s">
        <v>53</v>
      </c>
      <c r="D278" s="60"/>
      <c r="E278" s="473"/>
      <c r="F278" s="474"/>
      <c r="G278" s="161" t="s">
        <v>48</v>
      </c>
      <c r="H278" s="162" t="s">
        <v>54</v>
      </c>
      <c r="I278" s="163" t="s">
        <v>41</v>
      </c>
      <c r="L278" s="150"/>
      <c r="M278" s="280"/>
      <c r="N278" s="275"/>
      <c r="O278" s="266"/>
      <c r="P278" s="61"/>
      <c r="Q278" s="267"/>
    </row>
    <row r="279" spans="2:17" s="278" customFormat="1" ht="13.5" thickBot="1" x14ac:dyDescent="0.25">
      <c r="B279" s="464"/>
      <c r="C279" s="276"/>
      <c r="E279" s="475" t="s">
        <v>28</v>
      </c>
      <c r="F279" s="476"/>
      <c r="G279" s="108"/>
      <c r="H279" s="109"/>
      <c r="I279" s="71">
        <f t="shared" ref="I279:I283" si="215">G279*H279</f>
        <v>0</v>
      </c>
      <c r="L279" s="150"/>
      <c r="M279" s="104"/>
      <c r="N279" s="8"/>
      <c r="O279" s="266"/>
      <c r="P279" s="61"/>
      <c r="Q279" s="267"/>
    </row>
    <row r="280" spans="2:17" s="278" customFormat="1" ht="13.5" thickBot="1" x14ac:dyDescent="0.25">
      <c r="B280" s="464"/>
      <c r="C280" s="276"/>
      <c r="E280" s="450" t="s">
        <v>25</v>
      </c>
      <c r="F280" s="451"/>
      <c r="G280" s="110"/>
      <c r="H280" s="111"/>
      <c r="I280" s="71">
        <f t="shared" si="215"/>
        <v>0</v>
      </c>
      <c r="L280" s="150"/>
      <c r="M280" s="8"/>
      <c r="N280" s="8"/>
      <c r="O280" s="61"/>
      <c r="P280" s="61"/>
      <c r="Q280" s="61"/>
    </row>
    <row r="281" spans="2:17" s="278" customFormat="1" ht="13.5" thickBot="1" x14ac:dyDescent="0.25">
      <c r="B281" s="464"/>
      <c r="C281" s="276"/>
      <c r="E281" s="450" t="s">
        <v>26</v>
      </c>
      <c r="F281" s="451"/>
      <c r="G281" s="110"/>
      <c r="H281" s="111"/>
      <c r="I281" s="71">
        <f t="shared" si="215"/>
        <v>0</v>
      </c>
      <c r="L281" s="150"/>
      <c r="M281" s="104"/>
      <c r="N281" s="61"/>
      <c r="O281" s="61"/>
      <c r="P281" s="61"/>
      <c r="Q281" s="61"/>
    </row>
    <row r="282" spans="2:17" s="278" customFormat="1" ht="13.5" thickBot="1" x14ac:dyDescent="0.25">
      <c r="B282" s="464"/>
      <c r="C282" s="276"/>
      <c r="E282" s="448" t="s">
        <v>27</v>
      </c>
      <c r="F282" s="449"/>
      <c r="G282" s="110"/>
      <c r="H282" s="111"/>
      <c r="I282" s="71">
        <f t="shared" si="215"/>
        <v>0</v>
      </c>
      <c r="L282" s="150"/>
      <c r="M282" s="104"/>
      <c r="N282" s="8"/>
      <c r="O282" s="61"/>
      <c r="P282" s="61"/>
      <c r="Q282" s="61"/>
    </row>
    <row r="283" spans="2:17" s="278" customFormat="1" ht="13.5" thickBot="1" x14ac:dyDescent="0.25">
      <c r="B283" s="465"/>
      <c r="C283" s="279"/>
      <c r="D283" s="9"/>
      <c r="E283" s="461" t="s">
        <v>50</v>
      </c>
      <c r="F283" s="462"/>
      <c r="G283" s="112"/>
      <c r="H283" s="113"/>
      <c r="I283" s="165">
        <f t="shared" si="215"/>
        <v>0</v>
      </c>
      <c r="J283" s="9"/>
      <c r="K283" s="166"/>
      <c r="L283" s="147"/>
      <c r="M283" s="104"/>
      <c r="N283" s="61"/>
      <c r="O283" s="61"/>
      <c r="P283" s="61"/>
      <c r="Q283" s="61"/>
    </row>
    <row r="284" spans="2:17" s="278" customFormat="1" ht="13.5" thickBot="1" x14ac:dyDescent="0.25">
      <c r="B284" s="269"/>
      <c r="C284" s="69"/>
      <c r="D284" s="8"/>
      <c r="E284" s="270"/>
      <c r="F284" s="270"/>
      <c r="G284" s="271"/>
      <c r="H284" s="272"/>
      <c r="I284" s="138"/>
      <c r="J284" s="273"/>
      <c r="K284" s="274"/>
      <c r="L284" s="274"/>
      <c r="M284" s="104"/>
      <c r="N284" s="8"/>
      <c r="O284" s="8"/>
      <c r="P284" s="8"/>
      <c r="Q284" s="8"/>
    </row>
    <row r="285" spans="2:17" s="278" customFormat="1" ht="26.25" thickBot="1" x14ac:dyDescent="0.25">
      <c r="B285" s="463">
        <v>15</v>
      </c>
      <c r="C285" s="140" t="s">
        <v>112</v>
      </c>
      <c r="D285" s="122"/>
      <c r="E285" s="141"/>
      <c r="F285" s="141" t="s">
        <v>46</v>
      </c>
      <c r="G285" s="141" t="s">
        <v>47</v>
      </c>
      <c r="H285" s="121" t="s">
        <v>87</v>
      </c>
      <c r="I285" s="141" t="s">
        <v>51</v>
      </c>
      <c r="J285" s="142" t="s">
        <v>42</v>
      </c>
      <c r="K285" s="143" t="s">
        <v>43</v>
      </c>
      <c r="L285" s="144" t="s">
        <v>44</v>
      </c>
      <c r="M285" s="104"/>
      <c r="N285" s="8"/>
      <c r="O285" s="66"/>
      <c r="P285" s="61"/>
      <c r="Q285" s="61"/>
    </row>
    <row r="286" spans="2:17" s="278" customFormat="1" ht="13.5" thickBot="1" x14ac:dyDescent="0.25">
      <c r="B286" s="464"/>
      <c r="C286" s="455"/>
      <c r="D286" s="456"/>
      <c r="E286" s="457"/>
      <c r="F286" s="105"/>
      <c r="G286" s="106"/>
      <c r="H286" s="145">
        <f t="shared" ref="H286" si="216">ROUNDUP((G286-F286)/7,0)</f>
        <v>0</v>
      </c>
      <c r="I286" s="107"/>
      <c r="J286" s="146" t="e">
        <f t="shared" ref="J286" si="217">(SUM(K290:K293))+(SUM(I298:I302))</f>
        <v>#DIV/0!</v>
      </c>
      <c r="K286" s="268" t="e">
        <f t="shared" ref="K286" si="218">IF(F287="No",Q288,Q287)</f>
        <v>#DIV/0!</v>
      </c>
      <c r="L286" s="147" t="e">
        <f t="shared" ref="L286" si="219">SUM(J286:K286)</f>
        <v>#DIV/0!</v>
      </c>
      <c r="M286" s="8"/>
      <c r="N286" s="138">
        <f t="shared" ref="N286" si="220">IF(ISNUMBER(L286),L286,0)</f>
        <v>0</v>
      </c>
      <c r="O286" s="61"/>
      <c r="P286" s="61"/>
      <c r="Q286" s="61"/>
    </row>
    <row r="287" spans="2:17" s="278" customFormat="1" ht="13.5" thickBot="1" x14ac:dyDescent="0.25">
      <c r="B287" s="464"/>
      <c r="C287" s="452" t="s">
        <v>269</v>
      </c>
      <c r="D287" s="453"/>
      <c r="E287" s="454"/>
      <c r="F287" s="466"/>
      <c r="G287" s="467"/>
      <c r="H287" s="148"/>
      <c r="I287" s="138"/>
      <c r="J287" s="29"/>
      <c r="K287" s="149"/>
      <c r="L287" s="150"/>
      <c r="M287" s="83"/>
      <c r="N287" s="61"/>
      <c r="O287" s="61"/>
      <c r="P287" s="61" t="s">
        <v>268</v>
      </c>
      <c r="Q287" s="61" t="e">
        <f>IF(F287="Exempt all taxes",0,(J286*FICA)+(J286*Medicare))</f>
        <v>#DIV/0!</v>
      </c>
    </row>
    <row r="288" spans="2:17" s="278" customFormat="1" ht="13.5" thickBot="1" x14ac:dyDescent="0.25">
      <c r="B288" s="464"/>
      <c r="C288" s="458"/>
      <c r="D288" s="459"/>
      <c r="E288" s="459"/>
      <c r="F288" s="459"/>
      <c r="G288" s="459"/>
      <c r="H288" s="459"/>
      <c r="I288" s="459"/>
      <c r="J288" s="459"/>
      <c r="K288" s="459"/>
      <c r="L288" s="460"/>
      <c r="M288" s="83"/>
      <c r="N288" s="61"/>
      <c r="O288" s="61"/>
      <c r="P288" s="61" t="s">
        <v>267</v>
      </c>
      <c r="Q288" s="61" t="e">
        <f>IF(J286&gt;=SUTA_Max,((FUTA_Max*FUTA)+(SUTA_Max*I286)+(J286*FICA)+(J286*Medicare)),IF(J286&gt;=FUTA_Max,((FUTA_Max*FUTA)+(J286*I286)+(J286*FICA)+(J286*Medicare)),IF(J286&lt;FUTA_Max,(J286*Total_Tax+I286))))</f>
        <v>#DIV/0!</v>
      </c>
    </row>
    <row r="289" spans="2:17" s="278" customFormat="1" ht="27" thickBot="1" x14ac:dyDescent="0.3">
      <c r="B289" s="464"/>
      <c r="C289" s="151" t="s">
        <v>52</v>
      </c>
      <c r="D289" s="60"/>
      <c r="E289" s="468" t="s">
        <v>85</v>
      </c>
      <c r="F289" s="469"/>
      <c r="G289" s="153" t="s">
        <v>245</v>
      </c>
      <c r="H289" s="152" t="s">
        <v>40</v>
      </c>
      <c r="I289" s="265" t="s">
        <v>45</v>
      </c>
      <c r="J289" s="153" t="s">
        <v>49</v>
      </c>
      <c r="K289" s="154" t="s">
        <v>41</v>
      </c>
      <c r="L289" s="150"/>
      <c r="M289" s="69"/>
      <c r="N289" s="61"/>
      <c r="O289" s="61"/>
      <c r="P289" s="61"/>
      <c r="Q289" s="61"/>
    </row>
    <row r="290" spans="2:17" s="278" customFormat="1" ht="13.5" thickBot="1" x14ac:dyDescent="0.25">
      <c r="B290" s="464"/>
      <c r="C290" s="277"/>
      <c r="E290" s="444"/>
      <c r="F290" s="445"/>
      <c r="G290" s="70"/>
      <c r="H290" s="168"/>
      <c r="I290" s="155">
        <f t="shared" ref="I290" si="221">H286</f>
        <v>0</v>
      </c>
      <c r="J290" s="156"/>
      <c r="K290" s="157">
        <f t="shared" ref="K290:K292" si="222">G290*H290*I290</f>
        <v>0</v>
      </c>
      <c r="L290" s="150"/>
      <c r="M290" s="104"/>
      <c r="N290" s="61"/>
      <c r="O290" s="266" t="e">
        <f t="shared" ref="O290" si="223">(G290/Q293)*H290</f>
        <v>#DIV/0!</v>
      </c>
      <c r="P290" s="61"/>
      <c r="Q290" s="267" t="e">
        <f t="shared" ref="Q290" si="224">SUM(O290:O292)</f>
        <v>#DIV/0!</v>
      </c>
    </row>
    <row r="291" spans="2:17" s="278" customFormat="1" ht="13.5" thickBot="1" x14ac:dyDescent="0.25">
      <c r="B291" s="464"/>
      <c r="C291" s="277"/>
      <c r="E291" s="446"/>
      <c r="F291" s="447"/>
      <c r="G291" s="70"/>
      <c r="H291" s="168"/>
      <c r="I291" s="155">
        <f t="shared" ref="I291" si="225">H286</f>
        <v>0</v>
      </c>
      <c r="J291" s="249"/>
      <c r="K291" s="157">
        <f t="shared" si="222"/>
        <v>0</v>
      </c>
      <c r="L291" s="150"/>
      <c r="M291" s="104"/>
      <c r="N291" s="61"/>
      <c r="O291" s="266" t="e">
        <f t="shared" ref="O291" si="226">(G291/Q293)*H291</f>
        <v>#DIV/0!</v>
      </c>
      <c r="P291" s="61"/>
      <c r="Q291" s="267"/>
    </row>
    <row r="292" spans="2:17" s="278" customFormat="1" ht="13.5" thickBot="1" x14ac:dyDescent="0.25">
      <c r="B292" s="464"/>
      <c r="C292" s="277"/>
      <c r="E292" s="446"/>
      <c r="F292" s="447"/>
      <c r="G292" s="70"/>
      <c r="H292" s="168"/>
      <c r="I292" s="155">
        <f t="shared" ref="I292" si="227">H286</f>
        <v>0</v>
      </c>
      <c r="J292" s="249"/>
      <c r="K292" s="157">
        <f t="shared" si="222"/>
        <v>0</v>
      </c>
      <c r="L292" s="150"/>
      <c r="M292" s="104"/>
      <c r="N292" s="61"/>
      <c r="O292" s="266" t="e">
        <f t="shared" ref="O292" si="228">(G292/Q293)*H292</f>
        <v>#DIV/0!</v>
      </c>
      <c r="P292" s="61"/>
      <c r="Q292" s="267"/>
    </row>
    <row r="293" spans="2:17" s="278" customFormat="1" ht="13.5" thickBot="1" x14ac:dyDescent="0.25">
      <c r="B293" s="464"/>
      <c r="C293" s="277"/>
      <c r="E293" s="470" t="s">
        <v>24</v>
      </c>
      <c r="F293" s="471"/>
      <c r="G293" s="70"/>
      <c r="H293" s="260"/>
      <c r="I293" s="261">
        <f t="shared" ref="I293" si="229">H286</f>
        <v>0</v>
      </c>
      <c r="J293" s="262" t="e">
        <f t="shared" ref="J293" si="230">Q290*1.5</f>
        <v>#DIV/0!</v>
      </c>
      <c r="K293" s="263" t="e">
        <f t="shared" ref="K293" si="231">G293*I293*J293</f>
        <v>#DIV/0!</v>
      </c>
      <c r="L293" s="150"/>
      <c r="M293" s="104"/>
      <c r="N293" s="61"/>
      <c r="O293" s="94"/>
      <c r="P293" s="61"/>
      <c r="Q293" s="267">
        <f t="shared" ref="Q293" si="232">SUM(G290:G292)</f>
        <v>0</v>
      </c>
    </row>
    <row r="294" spans="2:17" s="278" customFormat="1" x14ac:dyDescent="0.2">
      <c r="B294" s="464"/>
      <c r="C294" s="277"/>
      <c r="D294" s="472" t="s">
        <v>115</v>
      </c>
      <c r="E294" s="472"/>
      <c r="F294" s="472"/>
      <c r="G294" s="472"/>
      <c r="H294" s="472"/>
      <c r="I294" s="472"/>
      <c r="J294" s="472"/>
      <c r="K294" s="472"/>
      <c r="L294" s="158"/>
      <c r="M294" s="104"/>
      <c r="N294" s="61"/>
      <c r="O294" s="266"/>
      <c r="P294" s="61"/>
      <c r="Q294" s="267"/>
    </row>
    <row r="295" spans="2:17" s="278" customFormat="1" x14ac:dyDescent="0.2">
      <c r="B295" s="464"/>
      <c r="C295" s="159"/>
      <c r="D295" s="472"/>
      <c r="E295" s="472"/>
      <c r="F295" s="472"/>
      <c r="G295" s="472"/>
      <c r="H295" s="472"/>
      <c r="I295" s="472"/>
      <c r="J295" s="472"/>
      <c r="K295" s="472"/>
      <c r="L295" s="158"/>
      <c r="M295" s="104"/>
      <c r="N295" s="8"/>
      <c r="O295" s="266"/>
      <c r="P295" s="61"/>
      <c r="Q295" s="267"/>
    </row>
    <row r="296" spans="2:17" s="278" customFormat="1" ht="13.5" thickBot="1" x14ac:dyDescent="0.25">
      <c r="B296" s="464"/>
      <c r="C296" s="276"/>
      <c r="D296" s="5"/>
      <c r="E296" s="5"/>
      <c r="F296" s="5"/>
      <c r="G296" s="5"/>
      <c r="H296" s="5"/>
      <c r="I296" s="5"/>
      <c r="J296" s="5"/>
      <c r="K296" s="5"/>
      <c r="L296" s="160"/>
      <c r="M296" s="104"/>
      <c r="N296" s="8"/>
      <c r="O296" s="266"/>
      <c r="P296" s="61"/>
      <c r="Q296" s="267"/>
    </row>
    <row r="297" spans="2:17" s="278" customFormat="1" ht="27" thickBot="1" x14ac:dyDescent="0.3">
      <c r="B297" s="464"/>
      <c r="C297" s="151" t="s">
        <v>53</v>
      </c>
      <c r="D297" s="60"/>
      <c r="E297" s="473"/>
      <c r="F297" s="474"/>
      <c r="G297" s="161" t="s">
        <v>48</v>
      </c>
      <c r="H297" s="162" t="s">
        <v>54</v>
      </c>
      <c r="I297" s="163" t="s">
        <v>41</v>
      </c>
      <c r="L297" s="150"/>
      <c r="M297" s="280"/>
      <c r="N297" s="275"/>
      <c r="O297" s="266"/>
      <c r="P297" s="61"/>
      <c r="Q297" s="267"/>
    </row>
    <row r="298" spans="2:17" s="278" customFormat="1" ht="13.5" thickBot="1" x14ac:dyDescent="0.25">
      <c r="B298" s="464"/>
      <c r="C298" s="276"/>
      <c r="E298" s="475" t="s">
        <v>28</v>
      </c>
      <c r="F298" s="476"/>
      <c r="G298" s="108"/>
      <c r="H298" s="109"/>
      <c r="I298" s="71">
        <f t="shared" ref="I298:I302" si="233">G298*H298</f>
        <v>0</v>
      </c>
      <c r="L298" s="150"/>
      <c r="M298" s="104"/>
      <c r="N298" s="8"/>
      <c r="O298" s="266"/>
      <c r="P298" s="61"/>
      <c r="Q298" s="267"/>
    </row>
    <row r="299" spans="2:17" s="278" customFormat="1" ht="13.5" thickBot="1" x14ac:dyDescent="0.25">
      <c r="B299" s="464"/>
      <c r="C299" s="276"/>
      <c r="E299" s="450" t="s">
        <v>25</v>
      </c>
      <c r="F299" s="451"/>
      <c r="G299" s="110"/>
      <c r="H299" s="111"/>
      <c r="I299" s="71">
        <f t="shared" si="233"/>
        <v>0</v>
      </c>
      <c r="L299" s="150"/>
      <c r="M299" s="8"/>
      <c r="N299" s="8"/>
      <c r="O299" s="61"/>
      <c r="P299" s="61"/>
      <c r="Q299" s="61"/>
    </row>
    <row r="300" spans="2:17" s="278" customFormat="1" ht="13.5" thickBot="1" x14ac:dyDescent="0.25">
      <c r="B300" s="464"/>
      <c r="C300" s="276"/>
      <c r="E300" s="450" t="s">
        <v>26</v>
      </c>
      <c r="F300" s="451"/>
      <c r="G300" s="110"/>
      <c r="H300" s="111"/>
      <c r="I300" s="71">
        <f t="shared" si="233"/>
        <v>0</v>
      </c>
      <c r="L300" s="150"/>
      <c r="M300" s="104"/>
      <c r="N300" s="61"/>
      <c r="O300" s="61"/>
      <c r="P300" s="61"/>
      <c r="Q300" s="61"/>
    </row>
    <row r="301" spans="2:17" s="278" customFormat="1" ht="13.5" thickBot="1" x14ac:dyDescent="0.25">
      <c r="B301" s="464"/>
      <c r="C301" s="276"/>
      <c r="E301" s="448" t="s">
        <v>27</v>
      </c>
      <c r="F301" s="449"/>
      <c r="G301" s="110"/>
      <c r="H301" s="111"/>
      <c r="I301" s="71">
        <f t="shared" si="233"/>
        <v>0</v>
      </c>
      <c r="L301" s="150"/>
      <c r="M301" s="104"/>
      <c r="N301" s="8"/>
      <c r="O301" s="61"/>
      <c r="P301" s="61"/>
      <c r="Q301" s="61"/>
    </row>
    <row r="302" spans="2:17" s="278" customFormat="1" ht="13.5" thickBot="1" x14ac:dyDescent="0.25">
      <c r="B302" s="465"/>
      <c r="C302" s="279"/>
      <c r="D302" s="9"/>
      <c r="E302" s="461" t="s">
        <v>50</v>
      </c>
      <c r="F302" s="462"/>
      <c r="G302" s="112"/>
      <c r="H302" s="113"/>
      <c r="I302" s="165">
        <f t="shared" si="233"/>
        <v>0</v>
      </c>
      <c r="J302" s="9"/>
      <c r="K302" s="166"/>
      <c r="L302" s="147"/>
      <c r="M302" s="104"/>
      <c r="N302" s="61"/>
      <c r="O302" s="61"/>
      <c r="P302" s="61"/>
      <c r="Q302" s="61"/>
    </row>
    <row r="303" spans="2:17" ht="13.5" thickBot="1" x14ac:dyDescent="0.25">
      <c r="B303" s="269"/>
      <c r="C303" s="69"/>
      <c r="D303" s="8"/>
      <c r="E303" s="270"/>
      <c r="F303" s="270"/>
      <c r="G303" s="271"/>
      <c r="H303" s="272"/>
      <c r="I303" s="138"/>
      <c r="J303" s="273"/>
      <c r="K303" s="274"/>
      <c r="L303" s="274"/>
      <c r="M303" s="104"/>
      <c r="N303" s="8"/>
      <c r="O303" s="8"/>
      <c r="P303" s="8"/>
      <c r="Q303" s="8"/>
    </row>
    <row r="304" spans="2:17" ht="26.25" thickBot="1" x14ac:dyDescent="0.25">
      <c r="B304" s="463">
        <v>16</v>
      </c>
      <c r="C304" s="140" t="s">
        <v>112</v>
      </c>
      <c r="D304" s="122"/>
      <c r="E304" s="141"/>
      <c r="F304" s="141" t="s">
        <v>46</v>
      </c>
      <c r="G304" s="141" t="s">
        <v>47</v>
      </c>
      <c r="H304" s="121" t="s">
        <v>87</v>
      </c>
      <c r="I304" s="141" t="s">
        <v>51</v>
      </c>
      <c r="J304" s="142" t="s">
        <v>42</v>
      </c>
      <c r="K304" s="143" t="s">
        <v>43</v>
      </c>
      <c r="L304" s="144" t="s">
        <v>44</v>
      </c>
      <c r="M304" s="104"/>
      <c r="N304" s="8"/>
      <c r="O304" s="66"/>
      <c r="P304" s="61"/>
      <c r="Q304" s="61"/>
    </row>
    <row r="305" spans="2:17" ht="13.5" thickBot="1" x14ac:dyDescent="0.25">
      <c r="B305" s="464"/>
      <c r="C305" s="455"/>
      <c r="D305" s="456"/>
      <c r="E305" s="457"/>
      <c r="F305" s="105"/>
      <c r="G305" s="106"/>
      <c r="H305" s="145">
        <f t="shared" ref="H305" si="234">ROUNDUP((G305-F305)/7,0)</f>
        <v>0</v>
      </c>
      <c r="I305" s="107"/>
      <c r="J305" s="146" t="e">
        <f t="shared" ref="J305:J362" si="235">(SUM(K309:K312))+(SUM(I317:I321))</f>
        <v>#DIV/0!</v>
      </c>
      <c r="K305" s="268" t="e">
        <f t="shared" ref="K305" si="236">IF(F306="No",Q307,Q306)</f>
        <v>#DIV/0!</v>
      </c>
      <c r="L305" s="147" t="e">
        <f t="shared" ref="L305" si="237">SUM(J305:K305)</f>
        <v>#DIV/0!</v>
      </c>
      <c r="M305" s="8"/>
      <c r="N305" s="138">
        <f t="shared" ref="N305" si="238">IF(ISNUMBER(L305),L305,0)</f>
        <v>0</v>
      </c>
      <c r="O305" s="61"/>
      <c r="P305" s="61"/>
      <c r="Q305" s="61"/>
    </row>
    <row r="306" spans="2:17" ht="13.5" thickBot="1" x14ac:dyDescent="0.25">
      <c r="B306" s="464"/>
      <c r="C306" s="452" t="s">
        <v>269</v>
      </c>
      <c r="D306" s="453"/>
      <c r="E306" s="454"/>
      <c r="F306" s="466"/>
      <c r="G306" s="467"/>
      <c r="H306" s="148"/>
      <c r="I306" s="138"/>
      <c r="J306" s="29"/>
      <c r="K306" s="149"/>
      <c r="L306" s="150"/>
      <c r="M306" s="83"/>
      <c r="N306" s="61"/>
      <c r="O306" s="61"/>
      <c r="P306" s="61" t="s">
        <v>268</v>
      </c>
      <c r="Q306" s="61" t="e">
        <f>IF(F306="Exempt all taxes",0,(J305*FICA)+(J305*Medicare))</f>
        <v>#DIV/0!</v>
      </c>
    </row>
    <row r="307" spans="2:17" ht="13.5" thickBot="1" x14ac:dyDescent="0.25">
      <c r="B307" s="464"/>
      <c r="C307" s="458"/>
      <c r="D307" s="459"/>
      <c r="E307" s="459"/>
      <c r="F307" s="459"/>
      <c r="G307" s="459"/>
      <c r="H307" s="459"/>
      <c r="I307" s="459"/>
      <c r="J307" s="459"/>
      <c r="K307" s="459"/>
      <c r="L307" s="460"/>
      <c r="M307" s="83"/>
      <c r="N307" s="61"/>
      <c r="O307" s="61"/>
      <c r="P307" s="61" t="s">
        <v>267</v>
      </c>
      <c r="Q307" s="61" t="e">
        <f>IF(J305&gt;=SUTA_Max,((FUTA_Max*FUTA)+(SUTA_Max*I305)+(J305*FICA)+(J305*Medicare)),IF(J305&gt;=FUTA_Max,((FUTA_Max*FUTA)+(J305*I305)+(J305*FICA)+(J305*Medicare)),IF(J305&lt;FUTA_Max,(J305*Total_Tax+I305))))</f>
        <v>#DIV/0!</v>
      </c>
    </row>
    <row r="308" spans="2:17" ht="27" thickBot="1" x14ac:dyDescent="0.3">
      <c r="B308" s="464"/>
      <c r="C308" s="151" t="s">
        <v>52</v>
      </c>
      <c r="D308" s="60"/>
      <c r="E308" s="468" t="s">
        <v>85</v>
      </c>
      <c r="F308" s="469"/>
      <c r="G308" s="153" t="s">
        <v>245</v>
      </c>
      <c r="H308" s="152" t="s">
        <v>40</v>
      </c>
      <c r="I308" s="265" t="s">
        <v>45</v>
      </c>
      <c r="J308" s="153" t="s">
        <v>49</v>
      </c>
      <c r="K308" s="154" t="s">
        <v>41</v>
      </c>
      <c r="L308" s="150"/>
      <c r="M308" s="69"/>
      <c r="N308" s="61"/>
      <c r="O308" s="61"/>
      <c r="P308" s="61"/>
      <c r="Q308" s="61"/>
    </row>
    <row r="309" spans="2:17" ht="13.5" thickBot="1" x14ac:dyDescent="0.25">
      <c r="B309" s="464"/>
      <c r="C309" s="277"/>
      <c r="D309" s="278"/>
      <c r="E309" s="444"/>
      <c r="F309" s="445"/>
      <c r="G309" s="70"/>
      <c r="H309" s="168"/>
      <c r="I309" s="155">
        <f t="shared" ref="I309:I366" si="239">H305</f>
        <v>0</v>
      </c>
      <c r="J309" s="156"/>
      <c r="K309" s="157">
        <f t="shared" ref="K309:K311" si="240">G309*H309*I309</f>
        <v>0</v>
      </c>
      <c r="L309" s="150"/>
      <c r="M309" s="104"/>
      <c r="N309" s="61"/>
      <c r="O309" s="266" t="e">
        <f t="shared" ref="O309" si="241">(G309/Q312)*H309</f>
        <v>#DIV/0!</v>
      </c>
      <c r="P309" s="61"/>
      <c r="Q309" s="267" t="e">
        <f t="shared" ref="Q309" si="242">SUM(O309:O311)</f>
        <v>#DIV/0!</v>
      </c>
    </row>
    <row r="310" spans="2:17" ht="13.5" thickBot="1" x14ac:dyDescent="0.25">
      <c r="B310" s="464"/>
      <c r="C310" s="277"/>
      <c r="D310" s="278"/>
      <c r="E310" s="446"/>
      <c r="F310" s="447"/>
      <c r="G310" s="70"/>
      <c r="H310" s="168"/>
      <c r="I310" s="155">
        <f t="shared" ref="I310:I367" si="243">H305</f>
        <v>0</v>
      </c>
      <c r="J310" s="249"/>
      <c r="K310" s="157">
        <f t="shared" si="240"/>
        <v>0</v>
      </c>
      <c r="L310" s="150"/>
      <c r="M310" s="104"/>
      <c r="N310" s="61"/>
      <c r="O310" s="266" t="e">
        <f t="shared" ref="O310" si="244">(G310/Q312)*H310</f>
        <v>#DIV/0!</v>
      </c>
      <c r="P310" s="61"/>
      <c r="Q310" s="267"/>
    </row>
    <row r="311" spans="2:17" ht="13.5" thickBot="1" x14ac:dyDescent="0.25">
      <c r="B311" s="464"/>
      <c r="C311" s="277"/>
      <c r="D311" s="278"/>
      <c r="E311" s="446"/>
      <c r="F311" s="447"/>
      <c r="G311" s="70"/>
      <c r="H311" s="168"/>
      <c r="I311" s="155">
        <f t="shared" ref="I311:I368" si="245">H305</f>
        <v>0</v>
      </c>
      <c r="J311" s="249"/>
      <c r="K311" s="157">
        <f t="shared" si="240"/>
        <v>0</v>
      </c>
      <c r="L311" s="150"/>
      <c r="M311" s="104"/>
      <c r="N311" s="61"/>
      <c r="O311" s="266" t="e">
        <f t="shared" ref="O311" si="246">(G311/Q312)*H311</f>
        <v>#DIV/0!</v>
      </c>
      <c r="P311" s="61"/>
      <c r="Q311" s="267"/>
    </row>
    <row r="312" spans="2:17" ht="13.5" thickBot="1" x14ac:dyDescent="0.25">
      <c r="B312" s="464"/>
      <c r="C312" s="277"/>
      <c r="D312" s="278"/>
      <c r="E312" s="470" t="s">
        <v>24</v>
      </c>
      <c r="F312" s="471"/>
      <c r="G312" s="70"/>
      <c r="H312" s="260"/>
      <c r="I312" s="261">
        <f t="shared" ref="I312:I369" si="247">H305</f>
        <v>0</v>
      </c>
      <c r="J312" s="262" t="e">
        <f t="shared" ref="J312" si="248">Q309*1.5</f>
        <v>#DIV/0!</v>
      </c>
      <c r="K312" s="263" t="e">
        <f t="shared" ref="K312" si="249">G312*I312*J312</f>
        <v>#DIV/0!</v>
      </c>
      <c r="L312" s="150"/>
      <c r="M312" s="104"/>
      <c r="N312" s="61"/>
      <c r="O312" s="94"/>
      <c r="P312" s="61"/>
      <c r="Q312" s="267">
        <f t="shared" ref="Q312" si="250">SUM(G309:G311)</f>
        <v>0</v>
      </c>
    </row>
    <row r="313" spans="2:17" x14ac:dyDescent="0.2">
      <c r="B313" s="464"/>
      <c r="C313" s="277"/>
      <c r="D313" s="472" t="s">
        <v>115</v>
      </c>
      <c r="E313" s="472"/>
      <c r="F313" s="472"/>
      <c r="G313" s="472"/>
      <c r="H313" s="472"/>
      <c r="I313" s="472"/>
      <c r="J313" s="472"/>
      <c r="K313" s="472"/>
      <c r="L313" s="158"/>
      <c r="M313" s="104"/>
      <c r="N313" s="61"/>
      <c r="O313" s="266"/>
      <c r="P313" s="61"/>
      <c r="Q313" s="267"/>
    </row>
    <row r="314" spans="2:17" x14ac:dyDescent="0.2">
      <c r="B314" s="464"/>
      <c r="C314" s="159"/>
      <c r="D314" s="472"/>
      <c r="E314" s="472"/>
      <c r="F314" s="472"/>
      <c r="G314" s="472"/>
      <c r="H314" s="472"/>
      <c r="I314" s="472"/>
      <c r="J314" s="472"/>
      <c r="K314" s="472"/>
      <c r="L314" s="158"/>
      <c r="M314" s="104"/>
      <c r="N314" s="8"/>
      <c r="O314" s="266"/>
      <c r="P314" s="61"/>
      <c r="Q314" s="267"/>
    </row>
    <row r="315" spans="2:17" ht="13.5" thickBot="1" x14ac:dyDescent="0.25">
      <c r="B315" s="464"/>
      <c r="C315" s="276"/>
      <c r="D315" s="5"/>
      <c r="E315" s="5"/>
      <c r="F315" s="5"/>
      <c r="G315" s="5"/>
      <c r="H315" s="5"/>
      <c r="I315" s="5"/>
      <c r="J315" s="5"/>
      <c r="K315" s="5"/>
      <c r="L315" s="160"/>
      <c r="M315" s="104"/>
      <c r="N315" s="8"/>
      <c r="O315" s="266"/>
      <c r="P315" s="61"/>
      <c r="Q315" s="267"/>
    </row>
    <row r="316" spans="2:17" ht="27" thickBot="1" x14ac:dyDescent="0.3">
      <c r="B316" s="464"/>
      <c r="C316" s="151" t="s">
        <v>53</v>
      </c>
      <c r="D316" s="60"/>
      <c r="E316" s="473"/>
      <c r="F316" s="474"/>
      <c r="G316" s="161" t="s">
        <v>48</v>
      </c>
      <c r="H316" s="162" t="s">
        <v>54</v>
      </c>
      <c r="I316" s="163" t="s">
        <v>41</v>
      </c>
      <c r="J316" s="278"/>
      <c r="K316" s="278"/>
      <c r="L316" s="150"/>
      <c r="M316" s="280"/>
      <c r="N316" s="275"/>
      <c r="O316" s="266"/>
      <c r="P316" s="61"/>
      <c r="Q316" s="267"/>
    </row>
    <row r="317" spans="2:17" ht="13.5" thickBot="1" x14ac:dyDescent="0.25">
      <c r="B317" s="464"/>
      <c r="C317" s="276"/>
      <c r="D317" s="278"/>
      <c r="E317" s="475" t="s">
        <v>28</v>
      </c>
      <c r="F317" s="476"/>
      <c r="G317" s="108"/>
      <c r="H317" s="109"/>
      <c r="I317" s="71">
        <f t="shared" ref="I317:I321" si="251">G317*H317</f>
        <v>0</v>
      </c>
      <c r="J317" s="278"/>
      <c r="K317" s="278"/>
      <c r="L317" s="150"/>
      <c r="M317" s="104"/>
      <c r="N317" s="8"/>
      <c r="O317" s="266"/>
      <c r="P317" s="61"/>
      <c r="Q317" s="267"/>
    </row>
    <row r="318" spans="2:17" ht="13.5" thickBot="1" x14ac:dyDescent="0.25">
      <c r="B318" s="464"/>
      <c r="C318" s="276"/>
      <c r="D318" s="278"/>
      <c r="E318" s="450" t="s">
        <v>25</v>
      </c>
      <c r="F318" s="451"/>
      <c r="G318" s="110"/>
      <c r="H318" s="111"/>
      <c r="I318" s="71">
        <f t="shared" si="251"/>
        <v>0</v>
      </c>
      <c r="J318" s="278"/>
      <c r="K318" s="278"/>
      <c r="L318" s="150"/>
      <c r="M318" s="8"/>
      <c r="N318" s="8"/>
      <c r="O318" s="61"/>
      <c r="P318" s="61"/>
      <c r="Q318" s="61"/>
    </row>
    <row r="319" spans="2:17" ht="13.5" thickBot="1" x14ac:dyDescent="0.25">
      <c r="B319" s="464"/>
      <c r="C319" s="276"/>
      <c r="D319" s="278"/>
      <c r="E319" s="450" t="s">
        <v>26</v>
      </c>
      <c r="F319" s="451"/>
      <c r="G319" s="110"/>
      <c r="H319" s="111"/>
      <c r="I319" s="71">
        <f t="shared" si="251"/>
        <v>0</v>
      </c>
      <c r="J319" s="278"/>
      <c r="K319" s="278"/>
      <c r="L319" s="150"/>
      <c r="M319" s="104"/>
      <c r="N319" s="61"/>
      <c r="O319" s="61"/>
      <c r="P319" s="61"/>
      <c r="Q319" s="61"/>
    </row>
    <row r="320" spans="2:17" ht="13.5" thickBot="1" x14ac:dyDescent="0.25">
      <c r="B320" s="464"/>
      <c r="C320" s="276"/>
      <c r="D320" s="278"/>
      <c r="E320" s="448" t="s">
        <v>27</v>
      </c>
      <c r="F320" s="449"/>
      <c r="G320" s="110"/>
      <c r="H320" s="111"/>
      <c r="I320" s="71">
        <f t="shared" si="251"/>
        <v>0</v>
      </c>
      <c r="J320" s="278"/>
      <c r="K320" s="278"/>
      <c r="L320" s="150"/>
      <c r="M320" s="104"/>
      <c r="N320" s="8"/>
      <c r="O320" s="61"/>
      <c r="P320" s="61"/>
      <c r="Q320" s="61"/>
    </row>
    <row r="321" spans="2:17" ht="13.5" thickBot="1" x14ac:dyDescent="0.25">
      <c r="B321" s="465"/>
      <c r="C321" s="279"/>
      <c r="D321" s="9"/>
      <c r="E321" s="461" t="s">
        <v>50</v>
      </c>
      <c r="F321" s="462"/>
      <c r="G321" s="112"/>
      <c r="H321" s="113"/>
      <c r="I321" s="165">
        <f t="shared" si="251"/>
        <v>0</v>
      </c>
      <c r="J321" s="9"/>
      <c r="K321" s="166"/>
      <c r="L321" s="147"/>
      <c r="M321" s="104"/>
      <c r="N321" s="61"/>
      <c r="O321" s="61"/>
      <c r="P321" s="61"/>
      <c r="Q321" s="61"/>
    </row>
    <row r="322" spans="2:17" ht="13.5" thickBot="1" x14ac:dyDescent="0.25">
      <c r="B322" s="269"/>
      <c r="C322" s="69"/>
      <c r="D322" s="8"/>
      <c r="E322" s="270"/>
      <c r="F322" s="270"/>
      <c r="G322" s="271"/>
      <c r="H322" s="272"/>
      <c r="I322" s="138"/>
      <c r="J322" s="273"/>
      <c r="K322" s="274"/>
      <c r="L322" s="274"/>
      <c r="M322" s="104"/>
      <c r="N322" s="8"/>
      <c r="O322" s="8"/>
      <c r="P322" s="8"/>
      <c r="Q322" s="8"/>
    </row>
    <row r="323" spans="2:17" ht="26.25" thickBot="1" x14ac:dyDescent="0.25">
      <c r="B323" s="463">
        <v>17</v>
      </c>
      <c r="C323" s="140" t="s">
        <v>112</v>
      </c>
      <c r="D323" s="122"/>
      <c r="E323" s="141"/>
      <c r="F323" s="141" t="s">
        <v>46</v>
      </c>
      <c r="G323" s="141" t="s">
        <v>47</v>
      </c>
      <c r="H323" s="121" t="s">
        <v>87</v>
      </c>
      <c r="I323" s="141" t="s">
        <v>51</v>
      </c>
      <c r="J323" s="142" t="s">
        <v>42</v>
      </c>
      <c r="K323" s="143" t="s">
        <v>43</v>
      </c>
      <c r="L323" s="144" t="s">
        <v>44</v>
      </c>
      <c r="M323" s="104"/>
      <c r="N323" s="8"/>
      <c r="O323" s="66"/>
      <c r="P323" s="61"/>
      <c r="Q323" s="61"/>
    </row>
    <row r="324" spans="2:17" ht="13.5" thickBot="1" x14ac:dyDescent="0.25">
      <c r="B324" s="464"/>
      <c r="C324" s="455"/>
      <c r="D324" s="456"/>
      <c r="E324" s="457"/>
      <c r="F324" s="105"/>
      <c r="G324" s="106"/>
      <c r="H324" s="145">
        <f t="shared" ref="H324" si="252">ROUNDUP((G324-F324)/7,0)</f>
        <v>0</v>
      </c>
      <c r="I324" s="107"/>
      <c r="J324" s="146" t="e">
        <f t="shared" si="235"/>
        <v>#DIV/0!</v>
      </c>
      <c r="K324" s="268" t="e">
        <f t="shared" ref="K324" si="253">IF(F325="No",Q326,Q325)</f>
        <v>#DIV/0!</v>
      </c>
      <c r="L324" s="147" t="e">
        <f t="shared" ref="L324" si="254">SUM(J324:K324)</f>
        <v>#DIV/0!</v>
      </c>
      <c r="M324" s="8"/>
      <c r="N324" s="138">
        <f t="shared" ref="N324" si="255">IF(ISNUMBER(L324),L324,0)</f>
        <v>0</v>
      </c>
      <c r="O324" s="61"/>
      <c r="P324" s="61"/>
      <c r="Q324" s="61"/>
    </row>
    <row r="325" spans="2:17" ht="13.5" thickBot="1" x14ac:dyDescent="0.25">
      <c r="B325" s="464"/>
      <c r="C325" s="452" t="s">
        <v>269</v>
      </c>
      <c r="D325" s="453"/>
      <c r="E325" s="454"/>
      <c r="F325" s="466"/>
      <c r="G325" s="467"/>
      <c r="H325" s="148"/>
      <c r="I325" s="138"/>
      <c r="J325" s="29"/>
      <c r="K325" s="149"/>
      <c r="L325" s="150"/>
      <c r="M325" s="83"/>
      <c r="N325" s="61"/>
      <c r="O325" s="61"/>
      <c r="P325" s="61" t="s">
        <v>268</v>
      </c>
      <c r="Q325" s="61" t="e">
        <f>IF(F325="Exempt all taxes",0,(J324*FICA)+(J324*Medicare))</f>
        <v>#DIV/0!</v>
      </c>
    </row>
    <row r="326" spans="2:17" ht="13.5" thickBot="1" x14ac:dyDescent="0.25">
      <c r="B326" s="464"/>
      <c r="C326" s="458"/>
      <c r="D326" s="459"/>
      <c r="E326" s="459"/>
      <c r="F326" s="459"/>
      <c r="G326" s="459"/>
      <c r="H326" s="459"/>
      <c r="I326" s="459"/>
      <c r="J326" s="459"/>
      <c r="K326" s="459"/>
      <c r="L326" s="460"/>
      <c r="M326" s="83"/>
      <c r="N326" s="61"/>
      <c r="O326" s="61"/>
      <c r="P326" s="61" t="s">
        <v>267</v>
      </c>
      <c r="Q326" s="61" t="e">
        <f>IF(J324&gt;=SUTA_Max,((FUTA_Max*FUTA)+(SUTA_Max*I324)+(J324*FICA)+(J324*Medicare)),IF(J324&gt;=FUTA_Max,((FUTA_Max*FUTA)+(J324*I324)+(J324*FICA)+(J324*Medicare)),IF(J324&lt;FUTA_Max,(J324*Total_Tax+I324))))</f>
        <v>#DIV/0!</v>
      </c>
    </row>
    <row r="327" spans="2:17" ht="27" thickBot="1" x14ac:dyDescent="0.3">
      <c r="B327" s="464"/>
      <c r="C327" s="151" t="s">
        <v>52</v>
      </c>
      <c r="D327" s="60"/>
      <c r="E327" s="468" t="s">
        <v>85</v>
      </c>
      <c r="F327" s="469"/>
      <c r="G327" s="153" t="s">
        <v>245</v>
      </c>
      <c r="H327" s="152" t="s">
        <v>40</v>
      </c>
      <c r="I327" s="265" t="s">
        <v>45</v>
      </c>
      <c r="J327" s="153" t="s">
        <v>49</v>
      </c>
      <c r="K327" s="154" t="s">
        <v>41</v>
      </c>
      <c r="L327" s="150"/>
      <c r="M327" s="69"/>
      <c r="N327" s="61"/>
      <c r="O327" s="61"/>
      <c r="P327" s="61"/>
      <c r="Q327" s="61"/>
    </row>
    <row r="328" spans="2:17" ht="13.5" thickBot="1" x14ac:dyDescent="0.25">
      <c r="B328" s="464"/>
      <c r="C328" s="277"/>
      <c r="D328" s="278"/>
      <c r="E328" s="444"/>
      <c r="F328" s="445"/>
      <c r="G328" s="70"/>
      <c r="H328" s="168"/>
      <c r="I328" s="155">
        <f t="shared" si="239"/>
        <v>0</v>
      </c>
      <c r="J328" s="156"/>
      <c r="K328" s="157">
        <f t="shared" ref="K328:K330" si="256">G328*H328*I328</f>
        <v>0</v>
      </c>
      <c r="L328" s="150"/>
      <c r="M328" s="104"/>
      <c r="N328" s="61"/>
      <c r="O328" s="266" t="e">
        <f t="shared" ref="O328" si="257">(G328/Q331)*H328</f>
        <v>#DIV/0!</v>
      </c>
      <c r="P328" s="61"/>
      <c r="Q328" s="267" t="e">
        <f t="shared" ref="Q328" si="258">SUM(O328:O330)</f>
        <v>#DIV/0!</v>
      </c>
    </row>
    <row r="329" spans="2:17" ht="13.5" thickBot="1" x14ac:dyDescent="0.25">
      <c r="B329" s="464"/>
      <c r="C329" s="277"/>
      <c r="D329" s="278"/>
      <c r="E329" s="446"/>
      <c r="F329" s="447"/>
      <c r="G329" s="70"/>
      <c r="H329" s="168"/>
      <c r="I329" s="155">
        <f t="shared" si="243"/>
        <v>0</v>
      </c>
      <c r="J329" s="249"/>
      <c r="K329" s="157">
        <f t="shared" si="256"/>
        <v>0</v>
      </c>
      <c r="L329" s="150"/>
      <c r="M329" s="104"/>
      <c r="N329" s="61"/>
      <c r="O329" s="266" t="e">
        <f t="shared" ref="O329" si="259">(G329/Q331)*H329</f>
        <v>#DIV/0!</v>
      </c>
      <c r="P329" s="61"/>
      <c r="Q329" s="267"/>
    </row>
    <row r="330" spans="2:17" ht="13.5" thickBot="1" x14ac:dyDescent="0.25">
      <c r="B330" s="464"/>
      <c r="C330" s="277"/>
      <c r="D330" s="278"/>
      <c r="E330" s="446"/>
      <c r="F330" s="447"/>
      <c r="G330" s="70"/>
      <c r="H330" s="168"/>
      <c r="I330" s="155">
        <f t="shared" si="245"/>
        <v>0</v>
      </c>
      <c r="J330" s="249"/>
      <c r="K330" s="157">
        <f t="shared" si="256"/>
        <v>0</v>
      </c>
      <c r="L330" s="150"/>
      <c r="M330" s="104"/>
      <c r="N330" s="61"/>
      <c r="O330" s="266" t="e">
        <f t="shared" ref="O330" si="260">(G330/Q331)*H330</f>
        <v>#DIV/0!</v>
      </c>
      <c r="P330" s="61"/>
      <c r="Q330" s="267"/>
    </row>
    <row r="331" spans="2:17" ht="13.5" thickBot="1" x14ac:dyDescent="0.25">
      <c r="B331" s="464"/>
      <c r="C331" s="277"/>
      <c r="D331" s="278"/>
      <c r="E331" s="470" t="s">
        <v>24</v>
      </c>
      <c r="F331" s="471"/>
      <c r="G331" s="70"/>
      <c r="H331" s="260"/>
      <c r="I331" s="261">
        <f t="shared" si="247"/>
        <v>0</v>
      </c>
      <c r="J331" s="262" t="e">
        <f t="shared" ref="J331" si="261">Q328*1.5</f>
        <v>#DIV/0!</v>
      </c>
      <c r="K331" s="263" t="e">
        <f t="shared" ref="K331" si="262">G331*I331*J331</f>
        <v>#DIV/0!</v>
      </c>
      <c r="L331" s="150"/>
      <c r="M331" s="104"/>
      <c r="N331" s="61"/>
      <c r="O331" s="94"/>
      <c r="P331" s="61"/>
      <c r="Q331" s="267">
        <f t="shared" ref="Q331" si="263">SUM(G328:G330)</f>
        <v>0</v>
      </c>
    </row>
    <row r="332" spans="2:17" x14ac:dyDescent="0.2">
      <c r="B332" s="464"/>
      <c r="C332" s="277"/>
      <c r="D332" s="472" t="s">
        <v>115</v>
      </c>
      <c r="E332" s="472"/>
      <c r="F332" s="472"/>
      <c r="G332" s="472"/>
      <c r="H332" s="472"/>
      <c r="I332" s="472"/>
      <c r="J332" s="472"/>
      <c r="K332" s="472"/>
      <c r="L332" s="158"/>
      <c r="M332" s="104"/>
      <c r="N332" s="61"/>
      <c r="O332" s="266"/>
      <c r="P332" s="61"/>
      <c r="Q332" s="267"/>
    </row>
    <row r="333" spans="2:17" x14ac:dyDescent="0.2">
      <c r="B333" s="464"/>
      <c r="C333" s="159"/>
      <c r="D333" s="472"/>
      <c r="E333" s="472"/>
      <c r="F333" s="472"/>
      <c r="G333" s="472"/>
      <c r="H333" s="472"/>
      <c r="I333" s="472"/>
      <c r="J333" s="472"/>
      <c r="K333" s="472"/>
      <c r="L333" s="158"/>
      <c r="M333" s="104"/>
      <c r="N333" s="8"/>
      <c r="O333" s="266"/>
      <c r="P333" s="61"/>
      <c r="Q333" s="267"/>
    </row>
    <row r="334" spans="2:17" ht="13.5" thickBot="1" x14ac:dyDescent="0.25">
      <c r="B334" s="464"/>
      <c r="C334" s="276"/>
      <c r="D334" s="5"/>
      <c r="E334" s="5"/>
      <c r="F334" s="5"/>
      <c r="G334" s="5"/>
      <c r="H334" s="5"/>
      <c r="I334" s="5"/>
      <c r="J334" s="5"/>
      <c r="K334" s="5"/>
      <c r="L334" s="160"/>
      <c r="M334" s="104"/>
      <c r="N334" s="8"/>
      <c r="O334" s="266"/>
      <c r="P334" s="61"/>
      <c r="Q334" s="267"/>
    </row>
    <row r="335" spans="2:17" ht="27" thickBot="1" x14ac:dyDescent="0.3">
      <c r="B335" s="464"/>
      <c r="C335" s="151" t="s">
        <v>53</v>
      </c>
      <c r="D335" s="60"/>
      <c r="E335" s="473"/>
      <c r="F335" s="474"/>
      <c r="G335" s="161" t="s">
        <v>48</v>
      </c>
      <c r="H335" s="162" t="s">
        <v>54</v>
      </c>
      <c r="I335" s="163" t="s">
        <v>41</v>
      </c>
      <c r="J335" s="278"/>
      <c r="K335" s="278"/>
      <c r="L335" s="150"/>
      <c r="M335" s="280"/>
      <c r="N335" s="275"/>
      <c r="O335" s="266"/>
      <c r="P335" s="61"/>
      <c r="Q335" s="267"/>
    </row>
    <row r="336" spans="2:17" ht="13.5" thickBot="1" x14ac:dyDescent="0.25">
      <c r="B336" s="464"/>
      <c r="C336" s="276"/>
      <c r="D336" s="278"/>
      <c r="E336" s="475" t="s">
        <v>28</v>
      </c>
      <c r="F336" s="476"/>
      <c r="G336" s="108"/>
      <c r="H336" s="109"/>
      <c r="I336" s="71">
        <f t="shared" ref="I336:I340" si="264">G336*H336</f>
        <v>0</v>
      </c>
      <c r="J336" s="278"/>
      <c r="K336" s="278"/>
      <c r="L336" s="150"/>
      <c r="M336" s="104"/>
      <c r="N336" s="8"/>
      <c r="O336" s="266"/>
      <c r="P336" s="61"/>
      <c r="Q336" s="267"/>
    </row>
    <row r="337" spans="2:17" ht="13.5" thickBot="1" x14ac:dyDescent="0.25">
      <c r="B337" s="464"/>
      <c r="C337" s="276"/>
      <c r="D337" s="278"/>
      <c r="E337" s="450" t="s">
        <v>25</v>
      </c>
      <c r="F337" s="451"/>
      <c r="G337" s="110"/>
      <c r="H337" s="111"/>
      <c r="I337" s="71">
        <f t="shared" si="264"/>
        <v>0</v>
      </c>
      <c r="J337" s="278"/>
      <c r="K337" s="278"/>
      <c r="L337" s="150"/>
      <c r="M337" s="8"/>
      <c r="N337" s="8"/>
      <c r="O337" s="61"/>
      <c r="P337" s="61"/>
      <c r="Q337" s="61"/>
    </row>
    <row r="338" spans="2:17" ht="13.5" thickBot="1" x14ac:dyDescent="0.25">
      <c r="B338" s="464"/>
      <c r="C338" s="276"/>
      <c r="D338" s="278"/>
      <c r="E338" s="450" t="s">
        <v>26</v>
      </c>
      <c r="F338" s="451"/>
      <c r="G338" s="110"/>
      <c r="H338" s="111"/>
      <c r="I338" s="71">
        <f t="shared" si="264"/>
        <v>0</v>
      </c>
      <c r="J338" s="278"/>
      <c r="K338" s="278"/>
      <c r="L338" s="150"/>
      <c r="M338" s="104"/>
      <c r="N338" s="61"/>
      <c r="O338" s="61"/>
      <c r="P338" s="61"/>
      <c r="Q338" s="61"/>
    </row>
    <row r="339" spans="2:17" ht="13.5" thickBot="1" x14ac:dyDescent="0.25">
      <c r="B339" s="464"/>
      <c r="C339" s="276"/>
      <c r="D339" s="278"/>
      <c r="E339" s="448" t="s">
        <v>27</v>
      </c>
      <c r="F339" s="449"/>
      <c r="G339" s="110"/>
      <c r="H339" s="111"/>
      <c r="I339" s="71">
        <f t="shared" si="264"/>
        <v>0</v>
      </c>
      <c r="J339" s="278"/>
      <c r="K339" s="278"/>
      <c r="L339" s="150"/>
      <c r="M339" s="104"/>
      <c r="N339" s="8"/>
      <c r="O339" s="61"/>
      <c r="P339" s="61"/>
      <c r="Q339" s="61"/>
    </row>
    <row r="340" spans="2:17" ht="13.5" thickBot="1" x14ac:dyDescent="0.25">
      <c r="B340" s="465"/>
      <c r="C340" s="279"/>
      <c r="D340" s="9"/>
      <c r="E340" s="461" t="s">
        <v>50</v>
      </c>
      <c r="F340" s="462"/>
      <c r="G340" s="112"/>
      <c r="H340" s="113"/>
      <c r="I340" s="165">
        <f t="shared" si="264"/>
        <v>0</v>
      </c>
      <c r="J340" s="9"/>
      <c r="K340" s="166"/>
      <c r="L340" s="147"/>
      <c r="M340" s="104"/>
      <c r="N340" s="61"/>
      <c r="O340" s="61"/>
      <c r="P340" s="61"/>
      <c r="Q340" s="61"/>
    </row>
    <row r="341" spans="2:17" ht="13.5" thickBot="1" x14ac:dyDescent="0.25">
      <c r="B341" s="269"/>
      <c r="C341" s="69"/>
      <c r="D341" s="8"/>
      <c r="E341" s="270"/>
      <c r="F341" s="270"/>
      <c r="G341" s="271"/>
      <c r="H341" s="272"/>
      <c r="I341" s="138"/>
      <c r="J341" s="273"/>
      <c r="K341" s="274"/>
      <c r="L341" s="274"/>
      <c r="M341" s="104"/>
      <c r="N341" s="8"/>
      <c r="O341" s="8"/>
      <c r="P341" s="8"/>
      <c r="Q341" s="8"/>
    </row>
    <row r="342" spans="2:17" ht="26.25" thickBot="1" x14ac:dyDescent="0.25">
      <c r="B342" s="463">
        <v>18</v>
      </c>
      <c r="C342" s="140" t="s">
        <v>112</v>
      </c>
      <c r="D342" s="122"/>
      <c r="E342" s="141"/>
      <c r="F342" s="141" t="s">
        <v>46</v>
      </c>
      <c r="G342" s="141" t="s">
        <v>47</v>
      </c>
      <c r="H342" s="121" t="s">
        <v>87</v>
      </c>
      <c r="I342" s="141" t="s">
        <v>51</v>
      </c>
      <c r="J342" s="142" t="s">
        <v>42</v>
      </c>
      <c r="K342" s="143" t="s">
        <v>43</v>
      </c>
      <c r="L342" s="144" t="s">
        <v>44</v>
      </c>
      <c r="M342" s="104"/>
      <c r="N342" s="8"/>
      <c r="O342" s="66"/>
      <c r="P342" s="61"/>
      <c r="Q342" s="61"/>
    </row>
    <row r="343" spans="2:17" ht="13.5" thickBot="1" x14ac:dyDescent="0.25">
      <c r="B343" s="464"/>
      <c r="C343" s="455"/>
      <c r="D343" s="456"/>
      <c r="E343" s="457"/>
      <c r="F343" s="105"/>
      <c r="G343" s="106"/>
      <c r="H343" s="145">
        <f t="shared" ref="H343" si="265">ROUNDUP((G343-F343)/7,0)</f>
        <v>0</v>
      </c>
      <c r="I343" s="107"/>
      <c r="J343" s="146" t="e">
        <f t="shared" si="235"/>
        <v>#DIV/0!</v>
      </c>
      <c r="K343" s="268" t="e">
        <f t="shared" ref="K343" si="266">IF(F344="No",Q345,Q344)</f>
        <v>#DIV/0!</v>
      </c>
      <c r="L343" s="147" t="e">
        <f t="shared" ref="L343" si="267">SUM(J343:K343)</f>
        <v>#DIV/0!</v>
      </c>
      <c r="M343" s="8"/>
      <c r="N343" s="138">
        <f t="shared" ref="N343" si="268">IF(ISNUMBER(L343),L343,0)</f>
        <v>0</v>
      </c>
      <c r="O343" s="61"/>
      <c r="P343" s="61"/>
      <c r="Q343" s="61"/>
    </row>
    <row r="344" spans="2:17" ht="13.5" thickBot="1" x14ac:dyDescent="0.25">
      <c r="B344" s="464"/>
      <c r="C344" s="452" t="s">
        <v>269</v>
      </c>
      <c r="D344" s="453"/>
      <c r="E344" s="454"/>
      <c r="F344" s="466"/>
      <c r="G344" s="467"/>
      <c r="H344" s="148"/>
      <c r="I344" s="138"/>
      <c r="J344" s="29"/>
      <c r="K344" s="149"/>
      <c r="L344" s="150"/>
      <c r="M344" s="83"/>
      <c r="N344" s="61"/>
      <c r="O344" s="61"/>
      <c r="P344" s="61" t="s">
        <v>268</v>
      </c>
      <c r="Q344" s="61" t="e">
        <f>IF(F344="Exempt all taxes",0,(J343*FICA)+(J343*Medicare))</f>
        <v>#DIV/0!</v>
      </c>
    </row>
    <row r="345" spans="2:17" ht="13.5" thickBot="1" x14ac:dyDescent="0.25">
      <c r="B345" s="464"/>
      <c r="C345" s="458"/>
      <c r="D345" s="459"/>
      <c r="E345" s="459"/>
      <c r="F345" s="459"/>
      <c r="G345" s="459"/>
      <c r="H345" s="459"/>
      <c r="I345" s="459"/>
      <c r="J345" s="459"/>
      <c r="K345" s="459"/>
      <c r="L345" s="460"/>
      <c r="M345" s="83"/>
      <c r="N345" s="61"/>
      <c r="O345" s="61"/>
      <c r="P345" s="61" t="s">
        <v>267</v>
      </c>
      <c r="Q345" s="61" t="e">
        <f>IF(J343&gt;=SUTA_Max,((FUTA_Max*FUTA)+(SUTA_Max*I343)+(J343*FICA)+(J343*Medicare)),IF(J343&gt;=FUTA_Max,((FUTA_Max*FUTA)+(J343*I343)+(J343*FICA)+(J343*Medicare)),IF(J343&lt;FUTA_Max,(J343*Total_Tax+I343))))</f>
        <v>#DIV/0!</v>
      </c>
    </row>
    <row r="346" spans="2:17" ht="27" thickBot="1" x14ac:dyDescent="0.3">
      <c r="B346" s="464"/>
      <c r="C346" s="151" t="s">
        <v>52</v>
      </c>
      <c r="D346" s="60"/>
      <c r="E346" s="468" t="s">
        <v>85</v>
      </c>
      <c r="F346" s="469"/>
      <c r="G346" s="153" t="s">
        <v>245</v>
      </c>
      <c r="H346" s="152" t="s">
        <v>40</v>
      </c>
      <c r="I346" s="265" t="s">
        <v>45</v>
      </c>
      <c r="J346" s="153" t="s">
        <v>49</v>
      </c>
      <c r="K346" s="154" t="s">
        <v>41</v>
      </c>
      <c r="L346" s="150"/>
      <c r="M346" s="69"/>
      <c r="N346" s="61"/>
      <c r="O346" s="61"/>
      <c r="P346" s="61"/>
      <c r="Q346" s="61"/>
    </row>
    <row r="347" spans="2:17" ht="13.5" thickBot="1" x14ac:dyDescent="0.25">
      <c r="B347" s="464"/>
      <c r="C347" s="277"/>
      <c r="D347" s="278"/>
      <c r="E347" s="444"/>
      <c r="F347" s="445"/>
      <c r="G347" s="70"/>
      <c r="H347" s="168"/>
      <c r="I347" s="155">
        <f t="shared" si="239"/>
        <v>0</v>
      </c>
      <c r="J347" s="156"/>
      <c r="K347" s="157">
        <f t="shared" ref="K347:K349" si="269">G347*H347*I347</f>
        <v>0</v>
      </c>
      <c r="L347" s="150"/>
      <c r="M347" s="104"/>
      <c r="N347" s="61"/>
      <c r="O347" s="266" t="e">
        <f t="shared" ref="O347" si="270">(G347/Q350)*H347</f>
        <v>#DIV/0!</v>
      </c>
      <c r="P347" s="61"/>
      <c r="Q347" s="267" t="e">
        <f t="shared" ref="Q347" si="271">SUM(O347:O349)</f>
        <v>#DIV/0!</v>
      </c>
    </row>
    <row r="348" spans="2:17" ht="13.5" thickBot="1" x14ac:dyDescent="0.25">
      <c r="B348" s="464"/>
      <c r="C348" s="277"/>
      <c r="D348" s="278"/>
      <c r="E348" s="446"/>
      <c r="F348" s="447"/>
      <c r="G348" s="70"/>
      <c r="H348" s="168"/>
      <c r="I348" s="155">
        <f t="shared" si="243"/>
        <v>0</v>
      </c>
      <c r="J348" s="249"/>
      <c r="K348" s="157">
        <f t="shared" si="269"/>
        <v>0</v>
      </c>
      <c r="L348" s="150"/>
      <c r="M348" s="104"/>
      <c r="N348" s="61"/>
      <c r="O348" s="266" t="e">
        <f t="shared" ref="O348" si="272">(G348/Q350)*H348</f>
        <v>#DIV/0!</v>
      </c>
      <c r="P348" s="61"/>
      <c r="Q348" s="267"/>
    </row>
    <row r="349" spans="2:17" ht="13.5" thickBot="1" x14ac:dyDescent="0.25">
      <c r="B349" s="464"/>
      <c r="C349" s="277"/>
      <c r="D349" s="278"/>
      <c r="E349" s="446"/>
      <c r="F349" s="447"/>
      <c r="G349" s="70"/>
      <c r="H349" s="168"/>
      <c r="I349" s="155">
        <f t="shared" si="245"/>
        <v>0</v>
      </c>
      <c r="J349" s="249"/>
      <c r="K349" s="157">
        <f t="shared" si="269"/>
        <v>0</v>
      </c>
      <c r="L349" s="150"/>
      <c r="M349" s="104"/>
      <c r="N349" s="61"/>
      <c r="O349" s="266" t="e">
        <f t="shared" ref="O349" si="273">(G349/Q350)*H349</f>
        <v>#DIV/0!</v>
      </c>
      <c r="P349" s="61"/>
      <c r="Q349" s="267"/>
    </row>
    <row r="350" spans="2:17" ht="13.5" thickBot="1" x14ac:dyDescent="0.25">
      <c r="B350" s="464"/>
      <c r="C350" s="277"/>
      <c r="D350" s="278"/>
      <c r="E350" s="470" t="s">
        <v>24</v>
      </c>
      <c r="F350" s="471"/>
      <c r="G350" s="70"/>
      <c r="H350" s="260"/>
      <c r="I350" s="261">
        <f t="shared" si="247"/>
        <v>0</v>
      </c>
      <c r="J350" s="262" t="e">
        <f t="shared" ref="J350" si="274">Q347*1.5</f>
        <v>#DIV/0!</v>
      </c>
      <c r="K350" s="263" t="e">
        <f t="shared" ref="K350" si="275">G350*I350*J350</f>
        <v>#DIV/0!</v>
      </c>
      <c r="L350" s="150"/>
      <c r="M350" s="104"/>
      <c r="N350" s="61"/>
      <c r="O350" s="94"/>
      <c r="P350" s="61"/>
      <c r="Q350" s="267">
        <f t="shared" ref="Q350" si="276">SUM(G347:G349)</f>
        <v>0</v>
      </c>
    </row>
    <row r="351" spans="2:17" x14ac:dyDescent="0.2">
      <c r="B351" s="464"/>
      <c r="C351" s="277"/>
      <c r="D351" s="472" t="s">
        <v>115</v>
      </c>
      <c r="E351" s="472"/>
      <c r="F351" s="472"/>
      <c r="G351" s="472"/>
      <c r="H351" s="472"/>
      <c r="I351" s="472"/>
      <c r="J351" s="472"/>
      <c r="K351" s="472"/>
      <c r="L351" s="158"/>
      <c r="M351" s="104"/>
      <c r="N351" s="61"/>
      <c r="O351" s="266"/>
      <c r="P351" s="61"/>
      <c r="Q351" s="267"/>
    </row>
    <row r="352" spans="2:17" x14ac:dyDescent="0.2">
      <c r="B352" s="464"/>
      <c r="C352" s="159"/>
      <c r="D352" s="472"/>
      <c r="E352" s="472"/>
      <c r="F352" s="472"/>
      <c r="G352" s="472"/>
      <c r="H352" s="472"/>
      <c r="I352" s="472"/>
      <c r="J352" s="472"/>
      <c r="K352" s="472"/>
      <c r="L352" s="158"/>
      <c r="M352" s="104"/>
      <c r="N352" s="8"/>
      <c r="O352" s="266"/>
      <c r="P352" s="61"/>
      <c r="Q352" s="267"/>
    </row>
    <row r="353" spans="2:17" ht="13.5" thickBot="1" x14ac:dyDescent="0.25">
      <c r="B353" s="464"/>
      <c r="C353" s="276"/>
      <c r="D353" s="5"/>
      <c r="E353" s="5"/>
      <c r="F353" s="5"/>
      <c r="G353" s="5"/>
      <c r="H353" s="5"/>
      <c r="I353" s="5"/>
      <c r="J353" s="5"/>
      <c r="K353" s="5"/>
      <c r="L353" s="160"/>
      <c r="M353" s="104"/>
      <c r="N353" s="8"/>
      <c r="O353" s="266"/>
      <c r="P353" s="61"/>
      <c r="Q353" s="267"/>
    </row>
    <row r="354" spans="2:17" ht="27" thickBot="1" x14ac:dyDescent="0.3">
      <c r="B354" s="464"/>
      <c r="C354" s="151" t="s">
        <v>53</v>
      </c>
      <c r="D354" s="60"/>
      <c r="E354" s="473"/>
      <c r="F354" s="474"/>
      <c r="G354" s="161" t="s">
        <v>48</v>
      </c>
      <c r="H354" s="162" t="s">
        <v>54</v>
      </c>
      <c r="I354" s="163" t="s">
        <v>41</v>
      </c>
      <c r="J354" s="278"/>
      <c r="K354" s="278"/>
      <c r="L354" s="150"/>
      <c r="M354" s="280"/>
      <c r="N354" s="275"/>
      <c r="O354" s="266"/>
      <c r="P354" s="61"/>
      <c r="Q354" s="267"/>
    </row>
    <row r="355" spans="2:17" ht="13.5" thickBot="1" x14ac:dyDescent="0.25">
      <c r="B355" s="464"/>
      <c r="C355" s="276"/>
      <c r="D355" s="278"/>
      <c r="E355" s="475" t="s">
        <v>28</v>
      </c>
      <c r="F355" s="476"/>
      <c r="G355" s="108"/>
      <c r="H355" s="109"/>
      <c r="I355" s="71">
        <f t="shared" ref="I355:I359" si="277">G355*H355</f>
        <v>0</v>
      </c>
      <c r="J355" s="278"/>
      <c r="K355" s="278"/>
      <c r="L355" s="150"/>
      <c r="M355" s="104"/>
      <c r="N355" s="8"/>
      <c r="O355" s="266"/>
      <c r="P355" s="61"/>
      <c r="Q355" s="267"/>
    </row>
    <row r="356" spans="2:17" ht="13.5" thickBot="1" x14ac:dyDescent="0.25">
      <c r="B356" s="464"/>
      <c r="C356" s="276"/>
      <c r="D356" s="278"/>
      <c r="E356" s="450" t="s">
        <v>25</v>
      </c>
      <c r="F356" s="451"/>
      <c r="G356" s="110"/>
      <c r="H356" s="111"/>
      <c r="I356" s="71">
        <f t="shared" si="277"/>
        <v>0</v>
      </c>
      <c r="J356" s="278"/>
      <c r="K356" s="278"/>
      <c r="L356" s="150"/>
      <c r="M356" s="8"/>
      <c r="N356" s="8"/>
      <c r="O356" s="61"/>
      <c r="P356" s="61"/>
      <c r="Q356" s="61"/>
    </row>
    <row r="357" spans="2:17" ht="13.5" thickBot="1" x14ac:dyDescent="0.25">
      <c r="B357" s="464"/>
      <c r="C357" s="276"/>
      <c r="D357" s="278"/>
      <c r="E357" s="450" t="s">
        <v>26</v>
      </c>
      <c r="F357" s="451"/>
      <c r="G357" s="110"/>
      <c r="H357" s="111"/>
      <c r="I357" s="71">
        <f t="shared" si="277"/>
        <v>0</v>
      </c>
      <c r="J357" s="278"/>
      <c r="K357" s="278"/>
      <c r="L357" s="150"/>
      <c r="M357" s="104"/>
      <c r="N357" s="61"/>
      <c r="O357" s="61"/>
      <c r="P357" s="61"/>
      <c r="Q357" s="61"/>
    </row>
    <row r="358" spans="2:17" ht="13.5" thickBot="1" x14ac:dyDescent="0.25">
      <c r="B358" s="464"/>
      <c r="C358" s="276"/>
      <c r="D358" s="278"/>
      <c r="E358" s="448" t="s">
        <v>27</v>
      </c>
      <c r="F358" s="449"/>
      <c r="G358" s="110"/>
      <c r="H358" s="111"/>
      <c r="I358" s="71">
        <f t="shared" si="277"/>
        <v>0</v>
      </c>
      <c r="J358" s="278"/>
      <c r="K358" s="278"/>
      <c r="L358" s="150"/>
      <c r="M358" s="104"/>
      <c r="N358" s="8"/>
      <c r="O358" s="61"/>
      <c r="P358" s="61"/>
      <c r="Q358" s="61"/>
    </row>
    <row r="359" spans="2:17" ht="13.5" thickBot="1" x14ac:dyDescent="0.25">
      <c r="B359" s="465"/>
      <c r="C359" s="279"/>
      <c r="D359" s="9"/>
      <c r="E359" s="461" t="s">
        <v>50</v>
      </c>
      <c r="F359" s="462"/>
      <c r="G359" s="112"/>
      <c r="H359" s="113"/>
      <c r="I359" s="165">
        <f t="shared" si="277"/>
        <v>0</v>
      </c>
      <c r="J359" s="9"/>
      <c r="K359" s="166"/>
      <c r="L359" s="147"/>
      <c r="M359" s="104"/>
      <c r="N359" s="61"/>
      <c r="O359" s="61"/>
      <c r="P359" s="61"/>
      <c r="Q359" s="61"/>
    </row>
    <row r="360" spans="2:17" ht="13.5" thickBot="1" x14ac:dyDescent="0.25">
      <c r="B360" s="269"/>
      <c r="C360" s="69"/>
      <c r="D360" s="8"/>
      <c r="E360" s="270"/>
      <c r="F360" s="270"/>
      <c r="G360" s="271"/>
      <c r="H360" s="272"/>
      <c r="I360" s="138"/>
      <c r="J360" s="273"/>
      <c r="K360" s="274"/>
      <c r="L360" s="274"/>
      <c r="M360" s="104"/>
      <c r="N360" s="8"/>
      <c r="O360" s="8"/>
      <c r="P360" s="8"/>
      <c r="Q360" s="8"/>
    </row>
    <row r="361" spans="2:17" ht="26.25" thickBot="1" x14ac:dyDescent="0.25">
      <c r="B361" s="463">
        <v>19</v>
      </c>
      <c r="C361" s="140" t="s">
        <v>112</v>
      </c>
      <c r="D361" s="122"/>
      <c r="E361" s="141"/>
      <c r="F361" s="141" t="s">
        <v>46</v>
      </c>
      <c r="G361" s="141" t="s">
        <v>47</v>
      </c>
      <c r="H361" s="121" t="s">
        <v>87</v>
      </c>
      <c r="I361" s="141" t="s">
        <v>51</v>
      </c>
      <c r="J361" s="142" t="s">
        <v>42</v>
      </c>
      <c r="K361" s="143" t="s">
        <v>43</v>
      </c>
      <c r="L361" s="144" t="s">
        <v>44</v>
      </c>
      <c r="M361" s="104"/>
      <c r="N361" s="8"/>
      <c r="O361" s="66"/>
      <c r="P361" s="61"/>
      <c r="Q361" s="61"/>
    </row>
    <row r="362" spans="2:17" ht="13.5" thickBot="1" x14ac:dyDescent="0.25">
      <c r="B362" s="464"/>
      <c r="C362" s="455"/>
      <c r="D362" s="456"/>
      <c r="E362" s="457"/>
      <c r="F362" s="105"/>
      <c r="G362" s="106"/>
      <c r="H362" s="145">
        <f t="shared" ref="H362" si="278">ROUNDUP((G362-F362)/7,0)</f>
        <v>0</v>
      </c>
      <c r="I362" s="107"/>
      <c r="J362" s="146" t="e">
        <f t="shared" si="235"/>
        <v>#DIV/0!</v>
      </c>
      <c r="K362" s="268" t="e">
        <f t="shared" ref="K362" si="279">IF(F363="No",Q364,Q363)</f>
        <v>#DIV/0!</v>
      </c>
      <c r="L362" s="147" t="e">
        <f t="shared" ref="L362" si="280">SUM(J362:K362)</f>
        <v>#DIV/0!</v>
      </c>
      <c r="M362" s="8"/>
      <c r="N362" s="138">
        <f t="shared" ref="N362" si="281">IF(ISNUMBER(L362),L362,0)</f>
        <v>0</v>
      </c>
      <c r="O362" s="61"/>
      <c r="P362" s="61"/>
      <c r="Q362" s="61"/>
    </row>
    <row r="363" spans="2:17" ht="13.5" thickBot="1" x14ac:dyDescent="0.25">
      <c r="B363" s="464"/>
      <c r="C363" s="452" t="s">
        <v>269</v>
      </c>
      <c r="D363" s="453"/>
      <c r="E363" s="454"/>
      <c r="F363" s="466"/>
      <c r="G363" s="467"/>
      <c r="H363" s="148"/>
      <c r="I363" s="138"/>
      <c r="J363" s="29"/>
      <c r="K363" s="149"/>
      <c r="L363" s="150"/>
      <c r="M363" s="83"/>
      <c r="N363" s="61"/>
      <c r="O363" s="61"/>
      <c r="P363" s="61" t="s">
        <v>268</v>
      </c>
      <c r="Q363" s="61" t="e">
        <f>IF(F363="Exempt all taxes",0,(J362*FICA)+(J362*Medicare))</f>
        <v>#DIV/0!</v>
      </c>
    </row>
    <row r="364" spans="2:17" ht="13.5" thickBot="1" x14ac:dyDescent="0.25">
      <c r="B364" s="464"/>
      <c r="C364" s="458"/>
      <c r="D364" s="459"/>
      <c r="E364" s="459"/>
      <c r="F364" s="459"/>
      <c r="G364" s="459"/>
      <c r="H364" s="459"/>
      <c r="I364" s="459"/>
      <c r="J364" s="459"/>
      <c r="K364" s="459"/>
      <c r="L364" s="460"/>
      <c r="M364" s="83"/>
      <c r="N364" s="61"/>
      <c r="O364" s="61"/>
      <c r="P364" s="61" t="s">
        <v>267</v>
      </c>
      <c r="Q364" s="61" t="e">
        <f>IF(J362&gt;=SUTA_Max,((FUTA_Max*FUTA)+(SUTA_Max*I362)+(J362*FICA)+(J362*Medicare)),IF(J362&gt;=FUTA_Max,((FUTA_Max*FUTA)+(J362*I362)+(J362*FICA)+(J362*Medicare)),IF(J362&lt;FUTA_Max,(J362*Total_Tax+I362))))</f>
        <v>#DIV/0!</v>
      </c>
    </row>
    <row r="365" spans="2:17" ht="27" thickBot="1" x14ac:dyDescent="0.3">
      <c r="B365" s="464"/>
      <c r="C365" s="151" t="s">
        <v>52</v>
      </c>
      <c r="D365" s="60"/>
      <c r="E365" s="468" t="s">
        <v>85</v>
      </c>
      <c r="F365" s="469"/>
      <c r="G365" s="153" t="s">
        <v>245</v>
      </c>
      <c r="H365" s="152" t="s">
        <v>40</v>
      </c>
      <c r="I365" s="265" t="s">
        <v>45</v>
      </c>
      <c r="J365" s="153" t="s">
        <v>49</v>
      </c>
      <c r="K365" s="154" t="s">
        <v>41</v>
      </c>
      <c r="L365" s="150"/>
      <c r="M365" s="69"/>
      <c r="N365" s="61"/>
      <c r="O365" s="61"/>
      <c r="P365" s="61"/>
      <c r="Q365" s="61"/>
    </row>
    <row r="366" spans="2:17" ht="13.5" thickBot="1" x14ac:dyDescent="0.25">
      <c r="B366" s="464"/>
      <c r="C366" s="277"/>
      <c r="D366" s="278"/>
      <c r="E366" s="444"/>
      <c r="F366" s="445"/>
      <c r="G366" s="70"/>
      <c r="H366" s="168"/>
      <c r="I366" s="155">
        <f t="shared" si="239"/>
        <v>0</v>
      </c>
      <c r="J366" s="156"/>
      <c r="K366" s="157">
        <f t="shared" ref="K366:K368" si="282">G366*H366*I366</f>
        <v>0</v>
      </c>
      <c r="L366" s="150"/>
      <c r="M366" s="104"/>
      <c r="N366" s="61"/>
      <c r="O366" s="266" t="e">
        <f t="shared" ref="O366" si="283">(G366/Q369)*H366</f>
        <v>#DIV/0!</v>
      </c>
      <c r="P366" s="61"/>
      <c r="Q366" s="267" t="e">
        <f t="shared" ref="Q366" si="284">SUM(O366:O368)</f>
        <v>#DIV/0!</v>
      </c>
    </row>
    <row r="367" spans="2:17" ht="13.5" thickBot="1" x14ac:dyDescent="0.25">
      <c r="B367" s="464"/>
      <c r="C367" s="277"/>
      <c r="D367" s="278"/>
      <c r="E367" s="446"/>
      <c r="F367" s="447"/>
      <c r="G367" s="70"/>
      <c r="H367" s="168"/>
      <c r="I367" s="155">
        <f t="shared" si="243"/>
        <v>0</v>
      </c>
      <c r="J367" s="249"/>
      <c r="K367" s="157">
        <f t="shared" si="282"/>
        <v>0</v>
      </c>
      <c r="L367" s="150"/>
      <c r="M367" s="104"/>
      <c r="N367" s="61"/>
      <c r="O367" s="266" t="e">
        <f t="shared" ref="O367" si="285">(G367/Q369)*H367</f>
        <v>#DIV/0!</v>
      </c>
      <c r="P367" s="61"/>
      <c r="Q367" s="267"/>
    </row>
    <row r="368" spans="2:17" ht="13.5" thickBot="1" x14ac:dyDescent="0.25">
      <c r="B368" s="464"/>
      <c r="C368" s="277"/>
      <c r="D368" s="278"/>
      <c r="E368" s="446"/>
      <c r="F368" s="447"/>
      <c r="G368" s="70"/>
      <c r="H368" s="168"/>
      <c r="I368" s="155">
        <f t="shared" si="245"/>
        <v>0</v>
      </c>
      <c r="J368" s="249"/>
      <c r="K368" s="157">
        <f t="shared" si="282"/>
        <v>0</v>
      </c>
      <c r="L368" s="150"/>
      <c r="M368" s="104"/>
      <c r="N368" s="61"/>
      <c r="O368" s="266" t="e">
        <f t="shared" ref="O368" si="286">(G368/Q369)*H368</f>
        <v>#DIV/0!</v>
      </c>
      <c r="P368" s="61"/>
      <c r="Q368" s="267"/>
    </row>
    <row r="369" spans="2:17" ht="13.5" thickBot="1" x14ac:dyDescent="0.25">
      <c r="B369" s="464"/>
      <c r="C369" s="277"/>
      <c r="D369" s="278"/>
      <c r="E369" s="470" t="s">
        <v>24</v>
      </c>
      <c r="F369" s="471"/>
      <c r="G369" s="70"/>
      <c r="H369" s="260"/>
      <c r="I369" s="261">
        <f t="shared" si="247"/>
        <v>0</v>
      </c>
      <c r="J369" s="262" t="e">
        <f t="shared" ref="J369" si="287">Q366*1.5</f>
        <v>#DIV/0!</v>
      </c>
      <c r="K369" s="263" t="e">
        <f t="shared" ref="K369" si="288">G369*I369*J369</f>
        <v>#DIV/0!</v>
      </c>
      <c r="L369" s="150"/>
      <c r="M369" s="104"/>
      <c r="N369" s="61"/>
      <c r="O369" s="94"/>
      <c r="P369" s="61"/>
      <c r="Q369" s="267">
        <f t="shared" ref="Q369" si="289">SUM(G366:G368)</f>
        <v>0</v>
      </c>
    </row>
    <row r="370" spans="2:17" x14ac:dyDescent="0.2">
      <c r="B370" s="464"/>
      <c r="C370" s="277"/>
      <c r="D370" s="472" t="s">
        <v>115</v>
      </c>
      <c r="E370" s="472"/>
      <c r="F370" s="472"/>
      <c r="G370" s="472"/>
      <c r="H370" s="472"/>
      <c r="I370" s="472"/>
      <c r="J370" s="472"/>
      <c r="K370" s="472"/>
      <c r="L370" s="158"/>
      <c r="M370" s="104"/>
      <c r="N370" s="61"/>
      <c r="O370" s="266"/>
      <c r="P370" s="61"/>
      <c r="Q370" s="267"/>
    </row>
    <row r="371" spans="2:17" x14ac:dyDescent="0.2">
      <c r="B371" s="464"/>
      <c r="C371" s="159"/>
      <c r="D371" s="472"/>
      <c r="E371" s="472"/>
      <c r="F371" s="472"/>
      <c r="G371" s="472"/>
      <c r="H371" s="472"/>
      <c r="I371" s="472"/>
      <c r="J371" s="472"/>
      <c r="K371" s="472"/>
      <c r="L371" s="158"/>
      <c r="M371" s="104"/>
      <c r="N371" s="8"/>
      <c r="O371" s="266"/>
      <c r="P371" s="61"/>
      <c r="Q371" s="267"/>
    </row>
    <row r="372" spans="2:17" ht="13.5" thickBot="1" x14ac:dyDescent="0.25">
      <c r="B372" s="464"/>
      <c r="C372" s="276"/>
      <c r="D372" s="5"/>
      <c r="E372" s="5"/>
      <c r="F372" s="5"/>
      <c r="G372" s="5"/>
      <c r="H372" s="5"/>
      <c r="I372" s="5"/>
      <c r="J372" s="5"/>
      <c r="K372" s="5"/>
      <c r="L372" s="160"/>
      <c r="M372" s="104"/>
      <c r="N372" s="8"/>
      <c r="O372" s="266"/>
      <c r="P372" s="61"/>
      <c r="Q372" s="267"/>
    </row>
    <row r="373" spans="2:17" ht="27" thickBot="1" x14ac:dyDescent="0.3">
      <c r="B373" s="464"/>
      <c r="C373" s="151" t="s">
        <v>53</v>
      </c>
      <c r="D373" s="60"/>
      <c r="E373" s="473"/>
      <c r="F373" s="474"/>
      <c r="G373" s="161" t="s">
        <v>48</v>
      </c>
      <c r="H373" s="162" t="s">
        <v>54</v>
      </c>
      <c r="I373" s="163" t="s">
        <v>41</v>
      </c>
      <c r="J373" s="278"/>
      <c r="K373" s="278"/>
      <c r="L373" s="150"/>
      <c r="M373" s="280"/>
      <c r="N373" s="275"/>
      <c r="O373" s="266"/>
      <c r="P373" s="61"/>
      <c r="Q373" s="267"/>
    </row>
    <row r="374" spans="2:17" ht="13.5" thickBot="1" x14ac:dyDescent="0.25">
      <c r="B374" s="464"/>
      <c r="C374" s="276"/>
      <c r="D374" s="278"/>
      <c r="E374" s="475" t="s">
        <v>28</v>
      </c>
      <c r="F374" s="476"/>
      <c r="G374" s="108"/>
      <c r="H374" s="109"/>
      <c r="I374" s="71">
        <f t="shared" ref="I374:I378" si="290">G374*H374</f>
        <v>0</v>
      </c>
      <c r="J374" s="278"/>
      <c r="K374" s="278"/>
      <c r="L374" s="150"/>
      <c r="M374" s="104"/>
      <c r="N374" s="8"/>
      <c r="O374" s="266"/>
      <c r="P374" s="61"/>
      <c r="Q374" s="267"/>
    </row>
    <row r="375" spans="2:17" ht="13.5" thickBot="1" x14ac:dyDescent="0.25">
      <c r="B375" s="464"/>
      <c r="C375" s="276"/>
      <c r="D375" s="278"/>
      <c r="E375" s="450" t="s">
        <v>25</v>
      </c>
      <c r="F375" s="451"/>
      <c r="G375" s="110"/>
      <c r="H375" s="111"/>
      <c r="I375" s="71">
        <f t="shared" si="290"/>
        <v>0</v>
      </c>
      <c r="J375" s="278"/>
      <c r="K375" s="278"/>
      <c r="L375" s="150"/>
      <c r="M375" s="8"/>
      <c r="N375" s="8"/>
      <c r="O375" s="61"/>
      <c r="P375" s="61"/>
      <c r="Q375" s="61"/>
    </row>
    <row r="376" spans="2:17" ht="13.5" thickBot="1" x14ac:dyDescent="0.25">
      <c r="B376" s="464"/>
      <c r="C376" s="276"/>
      <c r="D376" s="278"/>
      <c r="E376" s="450" t="s">
        <v>26</v>
      </c>
      <c r="F376" s="451"/>
      <c r="G376" s="110"/>
      <c r="H376" s="111"/>
      <c r="I376" s="71">
        <f t="shared" si="290"/>
        <v>0</v>
      </c>
      <c r="J376" s="278"/>
      <c r="K376" s="278"/>
      <c r="L376" s="150"/>
      <c r="M376" s="104"/>
      <c r="N376" s="61"/>
      <c r="O376" s="61"/>
      <c r="P376" s="61"/>
      <c r="Q376" s="61"/>
    </row>
    <row r="377" spans="2:17" ht="13.5" thickBot="1" x14ac:dyDescent="0.25">
      <c r="B377" s="464"/>
      <c r="C377" s="276"/>
      <c r="D377" s="278"/>
      <c r="E377" s="448" t="s">
        <v>27</v>
      </c>
      <c r="F377" s="449"/>
      <c r="G377" s="110"/>
      <c r="H377" s="111"/>
      <c r="I377" s="71">
        <f t="shared" si="290"/>
        <v>0</v>
      </c>
      <c r="J377" s="278"/>
      <c r="K377" s="278"/>
      <c r="L377" s="150"/>
      <c r="M377" s="104"/>
      <c r="N377" s="8"/>
      <c r="O377" s="61"/>
      <c r="P377" s="61"/>
      <c r="Q377" s="61"/>
    </row>
    <row r="378" spans="2:17" ht="13.5" thickBot="1" x14ac:dyDescent="0.25">
      <c r="B378" s="465"/>
      <c r="C378" s="279"/>
      <c r="D378" s="9"/>
      <c r="E378" s="461" t="s">
        <v>50</v>
      </c>
      <c r="F378" s="462"/>
      <c r="G378" s="112"/>
      <c r="H378" s="113"/>
      <c r="I378" s="165">
        <f t="shared" si="290"/>
        <v>0</v>
      </c>
      <c r="J378" s="9"/>
      <c r="K378" s="166"/>
      <c r="L378" s="147"/>
      <c r="M378" s="104"/>
      <c r="N378" s="61"/>
      <c r="O378" s="61"/>
      <c r="P378" s="61"/>
      <c r="Q378" s="61"/>
    </row>
    <row r="379" spans="2:17" ht="13.5" thickBot="1" x14ac:dyDescent="0.25">
      <c r="B379" s="269"/>
      <c r="C379" s="69"/>
      <c r="D379" s="8"/>
      <c r="E379" s="270"/>
      <c r="F379" s="270"/>
      <c r="G379" s="271"/>
      <c r="H379" s="272"/>
      <c r="I379" s="138"/>
      <c r="J379" s="273"/>
      <c r="K379" s="274"/>
      <c r="L379" s="274"/>
      <c r="M379" s="104"/>
      <c r="N379" s="8"/>
      <c r="O379" s="8"/>
      <c r="P379" s="8"/>
      <c r="Q379" s="8"/>
    </row>
    <row r="380" spans="2:17" ht="26.25" thickBot="1" x14ac:dyDescent="0.25">
      <c r="B380" s="463">
        <v>20</v>
      </c>
      <c r="C380" s="140" t="s">
        <v>112</v>
      </c>
      <c r="D380" s="122"/>
      <c r="E380" s="141"/>
      <c r="F380" s="141" t="s">
        <v>46</v>
      </c>
      <c r="G380" s="141" t="s">
        <v>47</v>
      </c>
      <c r="H380" s="121" t="s">
        <v>87</v>
      </c>
      <c r="I380" s="141" t="s">
        <v>51</v>
      </c>
      <c r="J380" s="142" t="s">
        <v>42</v>
      </c>
      <c r="K380" s="143" t="s">
        <v>43</v>
      </c>
      <c r="L380" s="144" t="s">
        <v>44</v>
      </c>
      <c r="M380" s="104"/>
      <c r="N380" s="8"/>
      <c r="O380" s="66"/>
      <c r="P380" s="61"/>
      <c r="Q380" s="61"/>
    </row>
    <row r="381" spans="2:17" ht="13.5" thickBot="1" x14ac:dyDescent="0.25">
      <c r="B381" s="464"/>
      <c r="C381" s="455"/>
      <c r="D381" s="456"/>
      <c r="E381" s="457"/>
      <c r="F381" s="105"/>
      <c r="G381" s="106"/>
      <c r="H381" s="145">
        <f t="shared" ref="H381" si="291">ROUNDUP((G381-F381)/7,0)</f>
        <v>0</v>
      </c>
      <c r="I381" s="107"/>
      <c r="J381" s="146" t="e">
        <f t="shared" ref="J381" si="292">(SUM(K385:K388))+(SUM(I393:I397))</f>
        <v>#DIV/0!</v>
      </c>
      <c r="K381" s="268" t="e">
        <f t="shared" ref="K381" si="293">IF(F382="No",Q383,Q382)</f>
        <v>#DIV/0!</v>
      </c>
      <c r="L381" s="147" t="e">
        <f t="shared" ref="L381" si="294">SUM(J381:K381)</f>
        <v>#DIV/0!</v>
      </c>
      <c r="M381" s="8"/>
      <c r="N381" s="138">
        <f t="shared" ref="N381" si="295">IF(ISNUMBER(L381),L381,0)</f>
        <v>0</v>
      </c>
      <c r="O381" s="61"/>
      <c r="P381" s="61"/>
      <c r="Q381" s="61"/>
    </row>
    <row r="382" spans="2:17" ht="13.5" thickBot="1" x14ac:dyDescent="0.25">
      <c r="B382" s="464"/>
      <c r="C382" s="452" t="s">
        <v>269</v>
      </c>
      <c r="D382" s="453"/>
      <c r="E382" s="454"/>
      <c r="F382" s="466"/>
      <c r="G382" s="467"/>
      <c r="H382" s="148"/>
      <c r="I382" s="138"/>
      <c r="J382" s="29"/>
      <c r="K382" s="149"/>
      <c r="L382" s="150"/>
      <c r="M382" s="83"/>
      <c r="N382" s="61"/>
      <c r="O382" s="61"/>
      <c r="P382" s="61" t="s">
        <v>268</v>
      </c>
      <c r="Q382" s="61" t="e">
        <f>IF(F382="Exempt all taxes",0,(J381*FICA)+(J381*Medicare))</f>
        <v>#DIV/0!</v>
      </c>
    </row>
    <row r="383" spans="2:17" ht="13.5" thickBot="1" x14ac:dyDescent="0.25">
      <c r="B383" s="464"/>
      <c r="C383" s="458"/>
      <c r="D383" s="459"/>
      <c r="E383" s="459"/>
      <c r="F383" s="459"/>
      <c r="G383" s="459"/>
      <c r="H383" s="459"/>
      <c r="I383" s="459"/>
      <c r="J383" s="459"/>
      <c r="K383" s="459"/>
      <c r="L383" s="460"/>
      <c r="M383" s="83"/>
      <c r="N383" s="61"/>
      <c r="O383" s="61"/>
      <c r="P383" s="61" t="s">
        <v>267</v>
      </c>
      <c r="Q383" s="61" t="e">
        <f>IF(J381&gt;=SUTA_Max,((FUTA_Max*FUTA)+(SUTA_Max*I381)+(J381*FICA)+(J381*Medicare)),IF(J381&gt;=FUTA_Max,((FUTA_Max*FUTA)+(J381*I381)+(J381*FICA)+(J381*Medicare)),IF(J381&lt;FUTA_Max,(J381*Total_Tax+I381))))</f>
        <v>#DIV/0!</v>
      </c>
    </row>
    <row r="384" spans="2:17" ht="27" thickBot="1" x14ac:dyDescent="0.3">
      <c r="B384" s="464"/>
      <c r="C384" s="151" t="s">
        <v>52</v>
      </c>
      <c r="D384" s="60"/>
      <c r="E384" s="468" t="s">
        <v>85</v>
      </c>
      <c r="F384" s="469"/>
      <c r="G384" s="153" t="s">
        <v>245</v>
      </c>
      <c r="H384" s="152" t="s">
        <v>40</v>
      </c>
      <c r="I384" s="265" t="s">
        <v>45</v>
      </c>
      <c r="J384" s="153" t="s">
        <v>49</v>
      </c>
      <c r="K384" s="154" t="s">
        <v>41</v>
      </c>
      <c r="L384" s="150"/>
      <c r="M384" s="69"/>
      <c r="N384" s="61"/>
      <c r="O384" s="61"/>
      <c r="P384" s="61"/>
      <c r="Q384" s="61"/>
    </row>
    <row r="385" spans="2:17" ht="13.5" thickBot="1" x14ac:dyDescent="0.25">
      <c r="B385" s="464"/>
      <c r="C385" s="277"/>
      <c r="D385" s="278"/>
      <c r="E385" s="444"/>
      <c r="F385" s="445"/>
      <c r="G385" s="70"/>
      <c r="H385" s="168"/>
      <c r="I385" s="155">
        <f t="shared" ref="I385" si="296">H381</f>
        <v>0</v>
      </c>
      <c r="J385" s="156"/>
      <c r="K385" s="157">
        <f t="shared" ref="K385:K387" si="297">G385*H385*I385</f>
        <v>0</v>
      </c>
      <c r="L385" s="150"/>
      <c r="M385" s="104"/>
      <c r="N385" s="61"/>
      <c r="O385" s="266" t="e">
        <f t="shared" ref="O385" si="298">(G385/Q388)*H385</f>
        <v>#DIV/0!</v>
      </c>
      <c r="P385" s="61"/>
      <c r="Q385" s="267" t="e">
        <f t="shared" ref="Q385" si="299">SUM(O385:O387)</f>
        <v>#DIV/0!</v>
      </c>
    </row>
    <row r="386" spans="2:17" ht="13.5" thickBot="1" x14ac:dyDescent="0.25">
      <c r="B386" s="464"/>
      <c r="C386" s="277"/>
      <c r="D386" s="278"/>
      <c r="E386" s="446"/>
      <c r="F386" s="447"/>
      <c r="G386" s="70"/>
      <c r="H386" s="168"/>
      <c r="I386" s="155">
        <f t="shared" ref="I386" si="300">H381</f>
        <v>0</v>
      </c>
      <c r="J386" s="249"/>
      <c r="K386" s="157">
        <f t="shared" si="297"/>
        <v>0</v>
      </c>
      <c r="L386" s="150"/>
      <c r="M386" s="104"/>
      <c r="N386" s="61"/>
      <c r="O386" s="266" t="e">
        <f t="shared" ref="O386" si="301">(G386/Q388)*H386</f>
        <v>#DIV/0!</v>
      </c>
      <c r="P386" s="61"/>
      <c r="Q386" s="267"/>
    </row>
    <row r="387" spans="2:17" ht="13.5" thickBot="1" x14ac:dyDescent="0.25">
      <c r="B387" s="464"/>
      <c r="C387" s="277"/>
      <c r="D387" s="278"/>
      <c r="E387" s="446"/>
      <c r="F387" s="447"/>
      <c r="G387" s="70"/>
      <c r="H387" s="168"/>
      <c r="I387" s="155">
        <f t="shared" ref="I387" si="302">H381</f>
        <v>0</v>
      </c>
      <c r="J387" s="249"/>
      <c r="K387" s="157">
        <f t="shared" si="297"/>
        <v>0</v>
      </c>
      <c r="L387" s="150"/>
      <c r="M387" s="104"/>
      <c r="N387" s="61"/>
      <c r="O387" s="266" t="e">
        <f t="shared" ref="O387" si="303">(G387/Q388)*H387</f>
        <v>#DIV/0!</v>
      </c>
      <c r="P387" s="61"/>
      <c r="Q387" s="267"/>
    </row>
    <row r="388" spans="2:17" ht="13.5" thickBot="1" x14ac:dyDescent="0.25">
      <c r="B388" s="464"/>
      <c r="C388" s="277"/>
      <c r="D388" s="278"/>
      <c r="E388" s="470" t="s">
        <v>24</v>
      </c>
      <c r="F388" s="471"/>
      <c r="G388" s="70"/>
      <c r="H388" s="260"/>
      <c r="I388" s="261">
        <f t="shared" ref="I388" si="304">H381</f>
        <v>0</v>
      </c>
      <c r="J388" s="262" t="e">
        <f t="shared" ref="J388" si="305">Q385*1.5</f>
        <v>#DIV/0!</v>
      </c>
      <c r="K388" s="263" t="e">
        <f t="shared" ref="K388" si="306">G388*I388*J388</f>
        <v>#DIV/0!</v>
      </c>
      <c r="L388" s="150"/>
      <c r="M388" s="104"/>
      <c r="N388" s="61"/>
      <c r="O388" s="94"/>
      <c r="P388" s="61"/>
      <c r="Q388" s="267">
        <f t="shared" ref="Q388" si="307">SUM(G385:G387)</f>
        <v>0</v>
      </c>
    </row>
    <row r="389" spans="2:17" x14ac:dyDescent="0.2">
      <c r="B389" s="464"/>
      <c r="C389" s="277"/>
      <c r="D389" s="472" t="s">
        <v>115</v>
      </c>
      <c r="E389" s="472"/>
      <c r="F389" s="472"/>
      <c r="G389" s="472"/>
      <c r="H389" s="472"/>
      <c r="I389" s="472"/>
      <c r="J389" s="472"/>
      <c r="K389" s="472"/>
      <c r="L389" s="158"/>
      <c r="M389" s="104"/>
      <c r="N389" s="61"/>
      <c r="O389" s="266"/>
      <c r="P389" s="61"/>
      <c r="Q389" s="267"/>
    </row>
    <row r="390" spans="2:17" x14ac:dyDescent="0.2">
      <c r="B390" s="464"/>
      <c r="C390" s="159"/>
      <c r="D390" s="472"/>
      <c r="E390" s="472"/>
      <c r="F390" s="472"/>
      <c r="G390" s="472"/>
      <c r="H390" s="472"/>
      <c r="I390" s="472"/>
      <c r="J390" s="472"/>
      <c r="K390" s="472"/>
      <c r="L390" s="158"/>
      <c r="M390" s="104"/>
      <c r="N390" s="8"/>
      <c r="O390" s="266"/>
      <c r="P390" s="61"/>
      <c r="Q390" s="267"/>
    </row>
    <row r="391" spans="2:17" ht="13.5" thickBot="1" x14ac:dyDescent="0.25">
      <c r="B391" s="464"/>
      <c r="C391" s="276"/>
      <c r="D391" s="5"/>
      <c r="E391" s="5"/>
      <c r="F391" s="5"/>
      <c r="G391" s="5"/>
      <c r="H391" s="5"/>
      <c r="I391" s="5"/>
      <c r="J391" s="5"/>
      <c r="K391" s="5"/>
      <c r="L391" s="160"/>
      <c r="M391" s="104"/>
      <c r="N391" s="8"/>
      <c r="O391" s="266"/>
      <c r="P391" s="61"/>
      <c r="Q391" s="267"/>
    </row>
    <row r="392" spans="2:17" ht="27" thickBot="1" x14ac:dyDescent="0.3">
      <c r="B392" s="464"/>
      <c r="C392" s="151" t="s">
        <v>53</v>
      </c>
      <c r="D392" s="60"/>
      <c r="E392" s="473"/>
      <c r="F392" s="474"/>
      <c r="G392" s="161" t="s">
        <v>48</v>
      </c>
      <c r="H392" s="162" t="s">
        <v>54</v>
      </c>
      <c r="I392" s="163" t="s">
        <v>41</v>
      </c>
      <c r="J392" s="278"/>
      <c r="K392" s="278"/>
      <c r="L392" s="150"/>
      <c r="M392" s="280"/>
      <c r="N392" s="275"/>
      <c r="O392" s="266"/>
      <c r="P392" s="61"/>
      <c r="Q392" s="267"/>
    </row>
    <row r="393" spans="2:17" ht="13.5" thickBot="1" x14ac:dyDescent="0.25">
      <c r="B393" s="464"/>
      <c r="C393" s="276"/>
      <c r="D393" s="278"/>
      <c r="E393" s="475" t="s">
        <v>28</v>
      </c>
      <c r="F393" s="476"/>
      <c r="G393" s="108"/>
      <c r="H393" s="109"/>
      <c r="I393" s="71">
        <f t="shared" ref="I393:I397" si="308">G393*H393</f>
        <v>0</v>
      </c>
      <c r="J393" s="278"/>
      <c r="K393" s="278"/>
      <c r="L393" s="150"/>
      <c r="M393" s="104"/>
      <c r="N393" s="8"/>
      <c r="O393" s="266"/>
      <c r="P393" s="61"/>
      <c r="Q393" s="267"/>
    </row>
    <row r="394" spans="2:17" ht="13.5" thickBot="1" x14ac:dyDescent="0.25">
      <c r="B394" s="464"/>
      <c r="C394" s="276"/>
      <c r="D394" s="278"/>
      <c r="E394" s="450" t="s">
        <v>25</v>
      </c>
      <c r="F394" s="451"/>
      <c r="G394" s="110"/>
      <c r="H394" s="111"/>
      <c r="I394" s="71">
        <f t="shared" si="308"/>
        <v>0</v>
      </c>
      <c r="J394" s="278"/>
      <c r="K394" s="278"/>
      <c r="L394" s="150"/>
      <c r="M394" s="8"/>
      <c r="N394" s="8"/>
      <c r="O394" s="61"/>
      <c r="P394" s="61"/>
      <c r="Q394" s="61"/>
    </row>
    <row r="395" spans="2:17" ht="13.5" thickBot="1" x14ac:dyDescent="0.25">
      <c r="B395" s="464"/>
      <c r="C395" s="276"/>
      <c r="D395" s="278"/>
      <c r="E395" s="450" t="s">
        <v>26</v>
      </c>
      <c r="F395" s="451"/>
      <c r="G395" s="110"/>
      <c r="H395" s="111"/>
      <c r="I395" s="71">
        <f t="shared" si="308"/>
        <v>0</v>
      </c>
      <c r="J395" s="278"/>
      <c r="K395" s="278"/>
      <c r="L395" s="150"/>
      <c r="M395" s="104"/>
      <c r="N395" s="61"/>
      <c r="O395" s="61"/>
      <c r="P395" s="61"/>
      <c r="Q395" s="61"/>
    </row>
    <row r="396" spans="2:17" ht="13.5" thickBot="1" x14ac:dyDescent="0.25">
      <c r="B396" s="464"/>
      <c r="C396" s="276"/>
      <c r="D396" s="278"/>
      <c r="E396" s="448" t="s">
        <v>27</v>
      </c>
      <c r="F396" s="449"/>
      <c r="G396" s="110"/>
      <c r="H396" s="111"/>
      <c r="I396" s="71">
        <f t="shared" si="308"/>
        <v>0</v>
      </c>
      <c r="J396" s="278"/>
      <c r="K396" s="278"/>
      <c r="L396" s="150"/>
      <c r="M396" s="104"/>
      <c r="N396" s="8"/>
      <c r="O396" s="61"/>
      <c r="P396" s="61"/>
      <c r="Q396" s="61"/>
    </row>
    <row r="397" spans="2:17" ht="13.5" thickBot="1" x14ac:dyDescent="0.25">
      <c r="B397" s="465"/>
      <c r="C397" s="279"/>
      <c r="D397" s="9"/>
      <c r="E397" s="461" t="s">
        <v>50</v>
      </c>
      <c r="F397" s="462"/>
      <c r="G397" s="112"/>
      <c r="H397" s="113"/>
      <c r="I397" s="165">
        <f t="shared" si="308"/>
        <v>0</v>
      </c>
      <c r="J397" s="9"/>
      <c r="K397" s="166"/>
      <c r="L397" s="147"/>
      <c r="M397" s="104"/>
      <c r="N397" s="61"/>
      <c r="O397" s="61"/>
      <c r="P397" s="61"/>
      <c r="Q397" s="61"/>
    </row>
    <row r="408" ht="12.75" customHeight="1" x14ac:dyDescent="0.2"/>
    <row r="427" ht="12.75" customHeight="1" x14ac:dyDescent="0.2"/>
    <row r="446" ht="12.75" customHeight="1" x14ac:dyDescent="0.2"/>
    <row r="465" ht="12.75" customHeight="1" x14ac:dyDescent="0.2"/>
  </sheetData>
  <sheetProtection password="E7F0" sheet="1" objects="1" scenarios="1"/>
  <customSheetViews>
    <customSheetView guid="{454ECA60-FBCC-11D6-AB9B-00C04F5868C8}" scale="75" showPageBreaks="1" printArea="1" showRuler="0">
      <pageMargins left="0.2" right="0.2" top="0.75" bottom="0.25" header="0" footer="0.25"/>
      <printOptions horizontalCentered="1"/>
      <pageSetup orientation="portrait" r:id="rId1"/>
      <headerFooter alignWithMargins="0">
        <oddHeader>&amp;L&amp;8Texas Department
of Human Services&amp;R&amp;8Form 1546, page 5
January 2002</oddHeader>
      </headerFooter>
    </customSheetView>
    <customSheetView guid="{346F6C38-467E-4277-A934-45FBB069E11D}" scale="130" showRuler="0" topLeftCell="B32">
      <selection activeCell="C18" sqref="C18:H18"/>
      <pageMargins left="0.2" right="0.2" top="0.75" bottom="0.25" header="0" footer="0.25"/>
      <printOptions horizontalCentered="1"/>
      <pageSetup orientation="portrait" r:id="rId2"/>
      <headerFooter alignWithMargins="0">
        <oddHeader>&amp;L&amp;8Texas Department
of Human Services&amp;R&amp;8Form 1546, page 5
January 2002</oddHeader>
      </headerFooter>
    </customSheetView>
  </customSheetViews>
  <mergeCells count="358">
    <mergeCell ref="B304:B321"/>
    <mergeCell ref="C305:E305"/>
    <mergeCell ref="C306:E306"/>
    <mergeCell ref="F306:G306"/>
    <mergeCell ref="C307:L307"/>
    <mergeCell ref="E308:F308"/>
    <mergeCell ref="E309:F309"/>
    <mergeCell ref="E310:F310"/>
    <mergeCell ref="E311:F311"/>
    <mergeCell ref="E312:F312"/>
    <mergeCell ref="D313:K314"/>
    <mergeCell ref="E316:F316"/>
    <mergeCell ref="E317:F317"/>
    <mergeCell ref="E318:F318"/>
    <mergeCell ref="E319:F319"/>
    <mergeCell ref="E320:F320"/>
    <mergeCell ref="E321:F321"/>
    <mergeCell ref="E274:F274"/>
    <mergeCell ref="E278:F278"/>
    <mergeCell ref="C192:E192"/>
    <mergeCell ref="C211:E211"/>
    <mergeCell ref="C230:E230"/>
    <mergeCell ref="E264:F264"/>
    <mergeCell ref="C269:L269"/>
    <mergeCell ref="E270:F270"/>
    <mergeCell ref="E271:F271"/>
    <mergeCell ref="E272:F272"/>
    <mergeCell ref="E273:F273"/>
    <mergeCell ref="C268:E268"/>
    <mergeCell ref="E216:F216"/>
    <mergeCell ref="E197:F197"/>
    <mergeCell ref="E198:F198"/>
    <mergeCell ref="E217:F217"/>
    <mergeCell ref="C287:E287"/>
    <mergeCell ref="D218:K219"/>
    <mergeCell ref="E226:F226"/>
    <mergeCell ref="D275:K276"/>
    <mergeCell ref="E282:F282"/>
    <mergeCell ref="B285:B302"/>
    <mergeCell ref="C286:E286"/>
    <mergeCell ref="C288:L288"/>
    <mergeCell ref="E289:F289"/>
    <mergeCell ref="D294:K295"/>
    <mergeCell ref="E298:F298"/>
    <mergeCell ref="E281:F281"/>
    <mergeCell ref="E283:F283"/>
    <mergeCell ref="B266:B283"/>
    <mergeCell ref="C267:E267"/>
    <mergeCell ref="E280:F280"/>
    <mergeCell ref="E301:F301"/>
    <mergeCell ref="E302:F302"/>
    <mergeCell ref="E292:F292"/>
    <mergeCell ref="E293:F293"/>
    <mergeCell ref="E290:F290"/>
    <mergeCell ref="E291:F291"/>
    <mergeCell ref="E299:F299"/>
    <mergeCell ref="E300:F300"/>
    <mergeCell ref="E297:F297"/>
    <mergeCell ref="E121:F121"/>
    <mergeCell ref="E122:F122"/>
    <mergeCell ref="B228:B245"/>
    <mergeCell ref="C229:E229"/>
    <mergeCell ref="C231:L231"/>
    <mergeCell ref="D237:K238"/>
    <mergeCell ref="E225:F225"/>
    <mergeCell ref="B209:B226"/>
    <mergeCell ref="C210:E210"/>
    <mergeCell ref="C212:L212"/>
    <mergeCell ref="E183:F183"/>
    <mergeCell ref="B190:B207"/>
    <mergeCell ref="C191:E191"/>
    <mergeCell ref="C193:L193"/>
    <mergeCell ref="D199:K200"/>
    <mergeCell ref="E202:F202"/>
    <mergeCell ref="E194:F194"/>
    <mergeCell ref="E195:F195"/>
    <mergeCell ref="B171:B188"/>
    <mergeCell ref="E196:F196"/>
    <mergeCell ref="E240:F240"/>
    <mergeCell ref="E241:F241"/>
    <mergeCell ref="E244:F244"/>
    <mergeCell ref="B133:B150"/>
    <mergeCell ref="E148:F148"/>
    <mergeCell ref="E145:F145"/>
    <mergeCell ref="E146:F146"/>
    <mergeCell ref="E127:F127"/>
    <mergeCell ref="E128:F128"/>
    <mergeCell ref="E129:F129"/>
    <mergeCell ref="E130:F130"/>
    <mergeCell ref="E131:F131"/>
    <mergeCell ref="E139:F139"/>
    <mergeCell ref="E140:F140"/>
    <mergeCell ref="C134:E134"/>
    <mergeCell ref="C136:L136"/>
    <mergeCell ref="E137:F137"/>
    <mergeCell ref="E188:F188"/>
    <mergeCell ref="E169:F169"/>
    <mergeCell ref="E165:F165"/>
    <mergeCell ref="E251:F251"/>
    <mergeCell ref="E252:F252"/>
    <mergeCell ref="B247:B264"/>
    <mergeCell ref="C248:E248"/>
    <mergeCell ref="E255:F255"/>
    <mergeCell ref="D256:K257"/>
    <mergeCell ref="E262:F262"/>
    <mergeCell ref="E263:F263"/>
    <mergeCell ref="E253:F253"/>
    <mergeCell ref="E254:F254"/>
    <mergeCell ref="C250:L250"/>
    <mergeCell ref="E259:F259"/>
    <mergeCell ref="E260:F260"/>
    <mergeCell ref="E261:F261"/>
    <mergeCell ref="C249:E249"/>
    <mergeCell ref="E245:F245"/>
    <mergeCell ref="E242:F242"/>
    <mergeCell ref="E235:F235"/>
    <mergeCell ref="E223:F223"/>
    <mergeCell ref="E224:F224"/>
    <mergeCell ref="E236:F236"/>
    <mergeCell ref="B95:B112"/>
    <mergeCell ref="E103:F103"/>
    <mergeCell ref="E203:F203"/>
    <mergeCell ref="E204:F204"/>
    <mergeCell ref="E205:F205"/>
    <mergeCell ref="E206:F206"/>
    <mergeCell ref="B152:B169"/>
    <mergeCell ref="C153:E153"/>
    <mergeCell ref="E160:F160"/>
    <mergeCell ref="E175:F175"/>
    <mergeCell ref="C155:L155"/>
    <mergeCell ref="E157:F157"/>
    <mergeCell ref="E158:F158"/>
    <mergeCell ref="E159:F159"/>
    <mergeCell ref="C172:E172"/>
    <mergeCell ref="E156:F156"/>
    <mergeCell ref="E150:F150"/>
    <mergeCell ref="D142:K143"/>
    <mergeCell ref="E141:F141"/>
    <mergeCell ref="E149:F149"/>
    <mergeCell ref="E147:F147"/>
    <mergeCell ref="B114:B131"/>
    <mergeCell ref="C115:E115"/>
    <mergeCell ref="C117:L117"/>
    <mergeCell ref="B57:B74"/>
    <mergeCell ref="F59:G59"/>
    <mergeCell ref="C40:E40"/>
    <mergeCell ref="E43:F43"/>
    <mergeCell ref="E44:F44"/>
    <mergeCell ref="E45:F45"/>
    <mergeCell ref="B38:B55"/>
    <mergeCell ref="C39:E39"/>
    <mergeCell ref="F40:G40"/>
    <mergeCell ref="C41:L41"/>
    <mergeCell ref="E42:F42"/>
    <mergeCell ref="D47:K48"/>
    <mergeCell ref="E50:F50"/>
    <mergeCell ref="E69:F69"/>
    <mergeCell ref="E70:F70"/>
    <mergeCell ref="E71:F71"/>
    <mergeCell ref="E72:F72"/>
    <mergeCell ref="E51:F51"/>
    <mergeCell ref="E52:F52"/>
    <mergeCell ref="E64:F64"/>
    <mergeCell ref="E65:F65"/>
    <mergeCell ref="D66:K67"/>
    <mergeCell ref="E46:F46"/>
    <mergeCell ref="E61:F61"/>
    <mergeCell ref="B76:B93"/>
    <mergeCell ref="C77:E77"/>
    <mergeCell ref="C79:L79"/>
    <mergeCell ref="E82:F82"/>
    <mergeCell ref="D85:K86"/>
    <mergeCell ref="E80:F80"/>
    <mergeCell ref="E88:F88"/>
    <mergeCell ref="E89:F89"/>
    <mergeCell ref="E92:F92"/>
    <mergeCell ref="E93:F93"/>
    <mergeCell ref="C78:E78"/>
    <mergeCell ref="E83:F83"/>
    <mergeCell ref="E84:F84"/>
    <mergeCell ref="O10:P10"/>
    <mergeCell ref="B10:L10"/>
    <mergeCell ref="B3:L3"/>
    <mergeCell ref="E34:F34"/>
    <mergeCell ref="C20:E20"/>
    <mergeCell ref="O11:P11"/>
    <mergeCell ref="B11:F11"/>
    <mergeCell ref="B18:L18"/>
    <mergeCell ref="J15:L16"/>
    <mergeCell ref="B15:I16"/>
    <mergeCell ref="B19:B36"/>
    <mergeCell ref="N17:P17"/>
    <mergeCell ref="E27:F27"/>
    <mergeCell ref="E25:F25"/>
    <mergeCell ref="E26:F26"/>
    <mergeCell ref="E35:F35"/>
    <mergeCell ref="E32:F32"/>
    <mergeCell ref="E33:F33"/>
    <mergeCell ref="D28:K29"/>
    <mergeCell ref="C22:L22"/>
    <mergeCell ref="E23:F23"/>
    <mergeCell ref="E31:F31"/>
    <mergeCell ref="E24:F24"/>
    <mergeCell ref="C21:E21"/>
    <mergeCell ref="B2:L2"/>
    <mergeCell ref="B14:L14"/>
    <mergeCell ref="C5:F5"/>
    <mergeCell ref="C6:F6"/>
    <mergeCell ref="B12:F12"/>
    <mergeCell ref="J8:K8"/>
    <mergeCell ref="G8:H8"/>
    <mergeCell ref="H11:K12"/>
    <mergeCell ref="L11:L12"/>
    <mergeCell ref="E36:F36"/>
    <mergeCell ref="E233:F233"/>
    <mergeCell ref="E234:F234"/>
    <mergeCell ref="E243:F243"/>
    <mergeCell ref="E221:F221"/>
    <mergeCell ref="E222:F222"/>
    <mergeCell ref="E90:F90"/>
    <mergeCell ref="E91:F91"/>
    <mergeCell ref="E213:F213"/>
    <mergeCell ref="E214:F214"/>
    <mergeCell ref="E215:F215"/>
    <mergeCell ref="E168:F168"/>
    <mergeCell ref="E184:F184"/>
    <mergeCell ref="E185:F185"/>
    <mergeCell ref="E186:F186"/>
    <mergeCell ref="E187:F187"/>
    <mergeCell ref="E232:F232"/>
    <mergeCell ref="E207:F207"/>
    <mergeCell ref="E166:F166"/>
    <mergeCell ref="E167:F167"/>
    <mergeCell ref="E138:F138"/>
    <mergeCell ref="D161:K162"/>
    <mergeCell ref="E164:F164"/>
    <mergeCell ref="D180:K181"/>
    <mergeCell ref="E179:F179"/>
    <mergeCell ref="E176:F176"/>
    <mergeCell ref="E177:F177"/>
    <mergeCell ref="E178:F178"/>
    <mergeCell ref="F173:G173"/>
    <mergeCell ref="C154:E154"/>
    <mergeCell ref="C173:E173"/>
    <mergeCell ref="F135:G135"/>
    <mergeCell ref="F154:G154"/>
    <mergeCell ref="E118:F118"/>
    <mergeCell ref="E119:F119"/>
    <mergeCell ref="E120:F120"/>
    <mergeCell ref="E110:F110"/>
    <mergeCell ref="E111:F111"/>
    <mergeCell ref="E112:F112"/>
    <mergeCell ref="C116:E116"/>
    <mergeCell ref="C135:E135"/>
    <mergeCell ref="C174:L174"/>
    <mergeCell ref="D123:K124"/>
    <mergeCell ref="E126:F126"/>
    <mergeCell ref="E108:F108"/>
    <mergeCell ref="D104:K105"/>
    <mergeCell ref="F116:G116"/>
    <mergeCell ref="E99:F99"/>
    <mergeCell ref="E100:F100"/>
    <mergeCell ref="E101:F101"/>
    <mergeCell ref="E102:F102"/>
    <mergeCell ref="E81:F81"/>
    <mergeCell ref="E73:F73"/>
    <mergeCell ref="E74:F74"/>
    <mergeCell ref="E107:F107"/>
    <mergeCell ref="C96:E96"/>
    <mergeCell ref="C98:L98"/>
    <mergeCell ref="F78:G78"/>
    <mergeCell ref="F97:G97"/>
    <mergeCell ref="C97:E97"/>
    <mergeCell ref="E109:F109"/>
    <mergeCell ref="F21:G21"/>
    <mergeCell ref="F192:G192"/>
    <mergeCell ref="F211:G211"/>
    <mergeCell ref="F230:G230"/>
    <mergeCell ref="F249:G249"/>
    <mergeCell ref="F268:G268"/>
    <mergeCell ref="F287:G287"/>
    <mergeCell ref="E279:F279"/>
    <mergeCell ref="B323:B340"/>
    <mergeCell ref="C324:E324"/>
    <mergeCell ref="C325:E325"/>
    <mergeCell ref="F325:G325"/>
    <mergeCell ref="C326:L326"/>
    <mergeCell ref="E327:F327"/>
    <mergeCell ref="E328:F328"/>
    <mergeCell ref="E329:F329"/>
    <mergeCell ref="E330:F330"/>
    <mergeCell ref="E331:F331"/>
    <mergeCell ref="D332:K333"/>
    <mergeCell ref="E335:F335"/>
    <mergeCell ref="E336:F336"/>
    <mergeCell ref="E337:F337"/>
    <mergeCell ref="E338:F338"/>
    <mergeCell ref="E339:F339"/>
    <mergeCell ref="E340:F340"/>
    <mergeCell ref="B342:B359"/>
    <mergeCell ref="C343:E343"/>
    <mergeCell ref="C344:E344"/>
    <mergeCell ref="F344:G344"/>
    <mergeCell ref="C345:L345"/>
    <mergeCell ref="E346:F346"/>
    <mergeCell ref="E347:F347"/>
    <mergeCell ref="E348:F348"/>
    <mergeCell ref="E349:F349"/>
    <mergeCell ref="E350:F350"/>
    <mergeCell ref="D351:K352"/>
    <mergeCell ref="E354:F354"/>
    <mergeCell ref="E355:F355"/>
    <mergeCell ref="E356:F356"/>
    <mergeCell ref="E357:F357"/>
    <mergeCell ref="E358:F358"/>
    <mergeCell ref="E359:F359"/>
    <mergeCell ref="E397:F397"/>
    <mergeCell ref="B361:B378"/>
    <mergeCell ref="C362:E362"/>
    <mergeCell ref="C363:E363"/>
    <mergeCell ref="F363:G363"/>
    <mergeCell ref="C364:L364"/>
    <mergeCell ref="E365:F365"/>
    <mergeCell ref="E366:F366"/>
    <mergeCell ref="E367:F367"/>
    <mergeCell ref="E368:F368"/>
    <mergeCell ref="E369:F369"/>
    <mergeCell ref="D370:K371"/>
    <mergeCell ref="E373:F373"/>
    <mergeCell ref="E374:F374"/>
    <mergeCell ref="E375:F375"/>
    <mergeCell ref="E376:F376"/>
    <mergeCell ref="E377:F377"/>
    <mergeCell ref="E378:F378"/>
    <mergeCell ref="E62:F62"/>
    <mergeCell ref="E63:F63"/>
    <mergeCell ref="E54:F54"/>
    <mergeCell ref="E53:F53"/>
    <mergeCell ref="C59:E59"/>
    <mergeCell ref="C58:E58"/>
    <mergeCell ref="C60:L60"/>
    <mergeCell ref="E55:F55"/>
    <mergeCell ref="B380:B397"/>
    <mergeCell ref="C381:E381"/>
    <mergeCell ref="C382:E382"/>
    <mergeCell ref="F382:G382"/>
    <mergeCell ref="C383:L383"/>
    <mergeCell ref="E384:F384"/>
    <mergeCell ref="E385:F385"/>
    <mergeCell ref="E386:F386"/>
    <mergeCell ref="E387:F387"/>
    <mergeCell ref="E388:F388"/>
    <mergeCell ref="D389:K390"/>
    <mergeCell ref="E392:F392"/>
    <mergeCell ref="E393:F393"/>
    <mergeCell ref="E394:F394"/>
    <mergeCell ref="E395:F395"/>
    <mergeCell ref="E396:F396"/>
  </mergeCells>
  <phoneticPr fontId="0" type="noConversion"/>
  <dataValidations xWindow="574" yWindow="139" count="19">
    <dataValidation type="custom" errorStyle="information" allowBlank="1" showInputMessage="1" showErrorMessage="1" errorTitle="Overtime Hours Needed" error="You must identify overtime for any employee scheduled to work more than 40 hours per week." promptTitle="Overtime" prompt="Please enter the hours of overtime you anticipate this employee will work per week." sqref="G27 G46 G65 G84 G103 G122 G141 G160 G179 G198 G217 G236 G255 G274 G293 G312 G331 G350 G369 G388">
      <formula1>IF(SUM(G24:G26)&lt;=40,TRUE,FALSE)</formula1>
    </dataValidation>
    <dataValidation type="custom" errorStyle="warning" operator="equal" allowBlank="1" showInputMessage="1" showErrorMessage="1" errorTitle="Authorized HAB Units Per Week" error="You have entered a number of units per week that is different than the authorized amount. Verify the number of units authorized and the scheduled hours per week. You cannot schedule more hours than authorized._x000a_" promptTitle="Service Hours per Week" prompt="Enter the number of hours of this service the Employee is scheduled to perform each week." sqref="G24:G26 G43:G45 G62:G64 G81:G83 G100:G102 G119:G121 G138:G140 G157:G159 G176:G178 G195:G197 G214:G216 G233:G235 G252:G254 G271:G273 G290:G292 G309:G311 G328:G330 G347:G349 G366:G368 G385:G387">
      <formula1>AND(IF(N24="True",G24,), IF((G24:G27)&lt;=40,G24))</formula1>
    </dataValidation>
    <dataValidation allowBlank="1" showInputMessage="1" showErrorMessage="1" promptTitle="Bonus Pay" prompt="Enter the amount of any bonus paid to the Employee." sqref="G32 G51 G70 G89 G108 G127 G146 G165 G184 G203 G222 G241 G260 G279 G298 G317 G336 G355 G374 G393"/>
    <dataValidation allowBlank="1" showInputMessage="1" showErrorMessage="1" promptTitle="Number of Bonus Payments" prompt="Enter how many bonus payments the employee will receive during the budget period." sqref="H32 H51 H70 H89 H108 H127 H146 H165 H184 H203 H222 H241 H260 H279 H298 H317 H336 H355 H374 H393"/>
    <dataValidation allowBlank="1" showInputMessage="1" showErrorMessage="1" promptTitle="Paid Holidays" prompt="Enter the dollar amount per day of any paid holidays the Employee will receive." sqref="G33 G52 G71 G90 G109 G128 G147 G166 G185 G204 G223 G242 G261 G280 G299 G318 G337 G356 G375 G394"/>
    <dataValidation allowBlank="1" showInputMessage="1" showErrorMessage="1" promptTitle="Number of Paid Holidays" prompt="Enter the number of paid holidays the Employee will receive." sqref="H33 H52 H71 H90 H109 H128 H147 H166 H185 H204 H223 H242 H261 H280 H299 H318 H337 H356 H375 H394"/>
    <dataValidation allowBlank="1" showInputMessage="1" showErrorMessage="1" promptTitle="Paid Vacation Days" prompt="Enter the dollar amount per day of any vacation the Employee will receive." sqref="G34 G53 G72 G91 G110 G129 G148 G167 G186 G205 G224 G243 G262 G281 G300 G319 G338 G357 G376 G395"/>
    <dataValidation allowBlank="1" showInputMessage="1" showErrorMessage="1" promptTitle="Number of Vacation Days" prompt="Enter the number of paid vacation days the Employee will receive." sqref="H34 H53 H72 H91 H110 H129 H148 H167 H186 H205 H224 H243 H262 H281 H300 H319 H338 H357 H376 H395"/>
    <dataValidation allowBlank="1" showInputMessage="1" showErrorMessage="1" promptTitle="Paid Sick Leave" prompt="Enter the dollar amount per day of any sick leave the Employee will receive." sqref="G35 G54 G73 G92 G111 G130 G149 G168 G187 G206 G225 G244 G263 G282 G301 G320 G339 G358 G377 G396"/>
    <dataValidation allowBlank="1" showInputMessage="1" showErrorMessage="1" promptTitle="Other Compensation" prompt="If the Employee receives compenation other than those listed above, give a description of the type of compensation in this cell." sqref="E36:F37 E55:F56 E74:F75 E93:F94 E112:F113 E131:F132 E150:F151 E169:F170 E188:F189 E207:F208 E226:F227 E245:F246 E264:F265 E283:F284 E302:F303 E321:F322 E340:F341 E359:F360 E378:F379 E397:F397"/>
    <dataValidation allowBlank="1" showInputMessage="1" showErrorMessage="1" promptTitle="Other Compensation" prompt="Enter the amount of any other compensation paid to the Employee." sqref="G36:G37 G55:G56 G74:G75 G93:G94 G112:G113 G131:G132 G150:G151 G169:G170 G188:G189 G207:G208 G226:G227 G245:G246 G264:G265 G283:G284 G302:G303 G321:G322 G340:G341 G359:G360 G378:G379 G397"/>
    <dataValidation allowBlank="1" showInputMessage="1" showErrorMessage="1" promptTitle="Number of Other Payments" prompt="Enter the number of payments of other compensation the Employee will receive." sqref="H36:H37 H55:H56 H74:H75 H93:H94 H112:H113 H131:H132 H150:H151 H169:H170 H188:H189 H207:H208 H226:H227 H245:H246 H264:H265 H283:H284 H302:H303 H321:H322 H340:H341 H359:H360 H378:H379 H397"/>
    <dataValidation allowBlank="1" showInputMessage="1" showErrorMessage="1" promptTitle="Employee Name" prompt="Enter the Employee's full name." sqref="C20:E20 C39:E39 C58:E58 C77:E77 C96:E96 C115:E115 C134:E134 C153:E153 C172:E172 C191:E191 C210:E210 C229:E229 C248:E248 C267:E267 C286:E286 C305:E305 C324:E324 C343:E343 C362:E362 C381:E381"/>
    <dataValidation allowBlank="1" showInputMessage="1" showErrorMessage="1" promptTitle="Begin Date" prompt="Enter the Employee's first date of employment. If this entry is due to a change in schedule, enter the begin date of the new schedule." sqref="F20 F39 F58 F77 F96 F115 F134 F153 F172 F191 F210 F229 F248 F267 F286 F305 F324 F343 F362 F381"/>
    <dataValidation allowBlank="1" showInputMessage="1" showErrorMessage="1" promptTitle="End Date" prompt="Enter the Employee's last date of employment. If this is a new Employee, enter the last day of the budget period. If this entry is due to a change in schedule, enter the end date of the current schedule." sqref="G20 G39 G58 G77 G96 G115 G134 G153 G172 G191 G210 G229 G248 G267 G286 G305 G324 G343 G362 G381"/>
    <dataValidation allowBlank="1" showInputMessage="1" showErrorMessage="1" promptTitle="S.U.T.A. Rate" prompt="Enter the S.U.T.A. rate assigned by the Texas Workforce Commission." sqref="I20 I39 I58 I77 I96 I115 I134 I153 I172 I191 I210 I229 I248 I267 I286 I305 I324 I343 I362 I381"/>
    <dataValidation type="custom" errorStyle="warning" allowBlank="1" showInputMessage="1" showErrorMessage="1" errorTitle="Minimum Wage" error="The minimum allowable wagefor habilitation services is $7.86 per hour.  The minimum allowable wage for all other services is $7.25." promptTitle="Pay Rate" prompt="Enter the hourly pay rate for this service." sqref="H24:H26 H43:H45 H62:H64 H81:H83 H100:H102 H119:H121 H138:H140 H157:H159 H176:H178 H195:H197 H214:H216 H233:H235 H252:H254 H271:H273 H290:H292 H309:H311 H328:H330 H347:H349 H366:H368 H385:H387">
      <formula1>IF(H24&gt;=7.86,H24,)</formula1>
    </dataValidation>
    <dataValidation allowBlank="1" showErrorMessage="1" promptTitle="Information Only Page" prompt="This page is for Information only.  It is not a part of the Client's budget." sqref="B2:L2"/>
    <dataValidation type="list" allowBlank="1" showInputMessage="1" showErrorMessage="1" errorTitle="Household Exemption" error="Make a selection from the list concerning the employee's familial relationship with the employer." promptTitle="Household Exemption" prompt="Make a selection from the list concerning the employee's tax status based on familial relationship with the employer." sqref="F21:G21 F40:G40 F59:G59 F78:G78 F97:G97 F116:G116 F135:G135 F154:G154 F173:G173 F192:G192 F211:G211 F230:G230 F249:G249 F268:G268 F287:G287 F306:G306 F325:G325 F344:G344 F363:G363 F382:G382">
      <formula1>$P$2:$P$4</formula1>
    </dataValidation>
  </dataValidations>
  <printOptions horizontalCentered="1"/>
  <pageMargins left="0.2" right="0.2" top="0.75" bottom="0.25" header="0" footer="0.25"/>
  <pageSetup scale="71" fitToHeight="5" orientation="portrait" horizontalDpi="300" verticalDpi="300" r:id="rId3"/>
  <headerFooter alignWithMargins="0">
    <oddHeader>&amp;L&amp;8Texas Department of 
Aging and Disability Services&amp;R&amp;8TxHmL CDS Budget
June 2010</oddHeader>
    <oddFooter>&amp;R&amp;8Date and Time Created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topLeftCell="A67" zoomScale="75" zoomScaleNormal="75" workbookViewId="0">
      <selection activeCell="E109" sqref="E109"/>
    </sheetView>
  </sheetViews>
  <sheetFormatPr defaultRowHeight="12.75" x14ac:dyDescent="0.2"/>
  <cols>
    <col min="1" max="1" width="2.140625" customWidth="1"/>
    <col min="2" max="2" width="43.7109375" bestFit="1" customWidth="1"/>
    <col min="3" max="3" width="26.28515625" customWidth="1"/>
    <col min="4" max="4" width="17" customWidth="1"/>
    <col min="5" max="5" width="28.140625" bestFit="1" customWidth="1"/>
    <col min="6" max="6" width="15.85546875" bestFit="1" customWidth="1"/>
    <col min="7" max="7" width="1.85546875" customWidth="1"/>
    <col min="8" max="8" width="13.28515625" style="124" hidden="1" customWidth="1"/>
    <col min="9" max="12" width="13.28515625" style="124" customWidth="1"/>
  </cols>
  <sheetData>
    <row r="1" spans="1:8" x14ac:dyDescent="0.2">
      <c r="A1" s="25"/>
      <c r="B1" s="1"/>
      <c r="C1" s="1"/>
      <c r="D1" s="1"/>
      <c r="E1" s="1"/>
      <c r="F1" s="1"/>
    </row>
    <row r="2" spans="1:8" ht="42" customHeight="1" x14ac:dyDescent="0.2">
      <c r="A2" s="288" t="s">
        <v>193</v>
      </c>
      <c r="B2" s="288"/>
      <c r="C2" s="288"/>
      <c r="D2" s="288"/>
      <c r="E2" s="288"/>
      <c r="F2" s="288"/>
    </row>
    <row r="3" spans="1:8" ht="15" x14ac:dyDescent="0.25">
      <c r="A3" s="552" t="s">
        <v>65</v>
      </c>
      <c r="B3" s="552"/>
      <c r="C3" s="552"/>
      <c r="D3" s="552"/>
      <c r="E3" s="552"/>
      <c r="F3" s="552"/>
    </row>
    <row r="4" spans="1:8" ht="15" x14ac:dyDescent="0.25">
      <c r="A4" s="25"/>
      <c r="B4" s="19"/>
      <c r="C4" s="19"/>
      <c r="D4" s="19"/>
      <c r="E4" s="19"/>
      <c r="F4" s="19"/>
    </row>
    <row r="5" spans="1:8" ht="15.75" thickBot="1" x14ac:dyDescent="0.3">
      <c r="A5" s="25"/>
      <c r="B5" s="20">
        <f>Consumer_Name</f>
        <v>0</v>
      </c>
      <c r="C5" s="26"/>
      <c r="D5" s="26"/>
      <c r="E5" s="20">
        <f>Medicaid_Number</f>
        <v>0</v>
      </c>
      <c r="F5" s="26"/>
    </row>
    <row r="6" spans="1:8" ht="14.25" x14ac:dyDescent="0.2">
      <c r="A6" s="25"/>
      <c r="B6" s="21" t="s">
        <v>37</v>
      </c>
      <c r="C6" s="21"/>
      <c r="D6" s="21"/>
      <c r="E6" s="27" t="s">
        <v>38</v>
      </c>
      <c r="F6" s="28"/>
    </row>
    <row r="7" spans="1:8" ht="15" thickBot="1" x14ac:dyDescent="0.25">
      <c r="A7" s="25"/>
      <c r="B7" s="21"/>
      <c r="C7" s="21"/>
      <c r="D7" s="21"/>
      <c r="E7" s="28"/>
      <c r="F7" s="28"/>
    </row>
    <row r="8" spans="1:8" ht="15.75" thickBot="1" x14ac:dyDescent="0.3">
      <c r="A8" s="25"/>
      <c r="B8" s="22" t="s">
        <v>66</v>
      </c>
      <c r="C8" s="87"/>
      <c r="D8" s="22" t="s">
        <v>7</v>
      </c>
      <c r="E8" s="87"/>
      <c r="F8" s="23"/>
      <c r="H8" s="124" t="s">
        <v>127</v>
      </c>
    </row>
    <row r="9" spans="1:8" ht="16.5" thickBot="1" x14ac:dyDescent="0.3">
      <c r="A9" s="10"/>
      <c r="B9" s="22" t="s">
        <v>67</v>
      </c>
      <c r="C9" s="34"/>
      <c r="D9" s="68"/>
      <c r="E9" s="10"/>
      <c r="F9" s="1"/>
      <c r="H9" s="124" t="s">
        <v>128</v>
      </c>
    </row>
    <row r="10" spans="1:8" ht="8.25" customHeight="1" x14ac:dyDescent="0.25">
      <c r="A10" s="10"/>
      <c r="B10" s="22"/>
      <c r="C10" s="89"/>
      <c r="D10" s="68"/>
      <c r="E10" s="10"/>
      <c r="F10" s="1"/>
      <c r="H10" s="124" t="s">
        <v>129</v>
      </c>
    </row>
    <row r="11" spans="1:8" ht="9.75" customHeight="1" x14ac:dyDescent="0.25">
      <c r="A11" s="10"/>
      <c r="B11" s="84"/>
      <c r="C11" s="59"/>
      <c r="D11" s="68"/>
      <c r="E11" s="10"/>
      <c r="F11" s="1"/>
      <c r="H11" s="124" t="s">
        <v>130</v>
      </c>
    </row>
    <row r="12" spans="1:8" ht="15.75" x14ac:dyDescent="0.25">
      <c r="A12" s="318" t="s">
        <v>68</v>
      </c>
      <c r="B12" s="318"/>
      <c r="C12" s="318"/>
      <c r="D12" s="318"/>
      <c r="E12" s="318"/>
      <c r="F12" s="318"/>
    </row>
    <row r="13" spans="1:8" ht="23.25" customHeight="1" thickBot="1" x14ac:dyDescent="0.25">
      <c r="A13" s="10"/>
      <c r="B13" s="10"/>
      <c r="C13" s="10"/>
      <c r="D13" s="10"/>
      <c r="E13" s="10"/>
      <c r="F13" s="1"/>
    </row>
    <row r="14" spans="1:8" ht="19.5" thickBot="1" x14ac:dyDescent="0.35">
      <c r="A14" s="80"/>
      <c r="B14" s="81"/>
      <c r="C14" s="81"/>
      <c r="D14" s="81"/>
      <c r="E14" s="81"/>
      <c r="F14" s="82"/>
      <c r="G14" s="180"/>
    </row>
    <row r="15" spans="1:8" ht="18.75" thickBot="1" x14ac:dyDescent="0.3">
      <c r="A15" s="85"/>
      <c r="B15" s="501" t="s">
        <v>194</v>
      </c>
      <c r="C15" s="502"/>
      <c r="D15" s="502"/>
      <c r="E15" s="502"/>
      <c r="F15" s="503"/>
      <c r="G15" s="181"/>
    </row>
    <row r="16" spans="1:8" ht="15" thickBot="1" x14ac:dyDescent="0.25">
      <c r="A16" s="85"/>
      <c r="B16" s="193"/>
      <c r="C16" s="194" t="s">
        <v>131</v>
      </c>
      <c r="D16" s="195" t="s">
        <v>143</v>
      </c>
      <c r="E16" s="194" t="s">
        <v>132</v>
      </c>
      <c r="F16" s="196" t="s">
        <v>144</v>
      </c>
      <c r="G16" s="181"/>
    </row>
    <row r="17" spans="1:7" ht="15" thickBot="1" x14ac:dyDescent="0.25">
      <c r="A17" s="85"/>
      <c r="B17" s="197" t="s">
        <v>134</v>
      </c>
      <c r="C17" s="198">
        <f>DHHrs/4</f>
        <v>0</v>
      </c>
      <c r="D17" s="199"/>
      <c r="E17" s="200">
        <f>(DHHrs*DayHabRate)/4</f>
        <v>0</v>
      </c>
      <c r="F17" s="201">
        <f>D17*DayHabRate</f>
        <v>0</v>
      </c>
      <c r="G17" s="181"/>
    </row>
    <row r="18" spans="1:7" ht="15" thickBot="1" x14ac:dyDescent="0.25">
      <c r="A18" s="85"/>
      <c r="B18" s="197" t="s">
        <v>135</v>
      </c>
      <c r="C18" s="198">
        <f>DHHrs/4</f>
        <v>0</v>
      </c>
      <c r="D18" s="199"/>
      <c r="E18" s="200">
        <f>(DHHrs*DayHabRate)/4</f>
        <v>0</v>
      </c>
      <c r="F18" s="201">
        <f>D18*DayHabRate</f>
        <v>0</v>
      </c>
      <c r="G18" s="181"/>
    </row>
    <row r="19" spans="1:7" ht="15" thickBot="1" x14ac:dyDescent="0.25">
      <c r="A19" s="85"/>
      <c r="B19" s="197" t="s">
        <v>136</v>
      </c>
      <c r="C19" s="198">
        <f>DHHrs/4</f>
        <v>0</v>
      </c>
      <c r="D19" s="199"/>
      <c r="E19" s="200">
        <f>(DHHrs*DayHabRate)/4</f>
        <v>0</v>
      </c>
      <c r="F19" s="201">
        <f>D19*DayHabRate</f>
        <v>0</v>
      </c>
      <c r="G19" s="181"/>
    </row>
    <row r="20" spans="1:7" ht="15" thickBot="1" x14ac:dyDescent="0.25">
      <c r="A20" s="85"/>
      <c r="B20" s="202" t="s">
        <v>137</v>
      </c>
      <c r="C20" s="198">
        <f>DHHrs/4</f>
        <v>0</v>
      </c>
      <c r="D20" s="203"/>
      <c r="E20" s="200">
        <f>(DHHrs*DayHabRate)/4</f>
        <v>0</v>
      </c>
      <c r="F20" s="201">
        <f>D20*DayHabRate</f>
        <v>0</v>
      </c>
      <c r="G20" s="181"/>
    </row>
    <row r="21" spans="1:7" ht="4.5" customHeight="1" thickBot="1" x14ac:dyDescent="0.25">
      <c r="A21" s="85"/>
      <c r="B21" s="498"/>
      <c r="C21" s="499"/>
      <c r="D21" s="499"/>
      <c r="E21" s="499"/>
      <c r="F21" s="500"/>
      <c r="G21" s="181"/>
    </row>
    <row r="22" spans="1:7" ht="15" x14ac:dyDescent="0.25">
      <c r="A22" s="85"/>
      <c r="B22" s="204" t="s">
        <v>133</v>
      </c>
      <c r="C22" s="205">
        <f>SUM(C17:C20)</f>
        <v>0</v>
      </c>
      <c r="D22" s="205">
        <f>SUM(D17:D20)</f>
        <v>0</v>
      </c>
      <c r="E22" s="206">
        <f>SUM(E17:E20)</f>
        <v>0</v>
      </c>
      <c r="F22" s="207">
        <f>SUM(F17:F20)</f>
        <v>0</v>
      </c>
      <c r="G22" s="181"/>
    </row>
    <row r="23" spans="1:7" ht="15.75" thickBot="1" x14ac:dyDescent="0.3">
      <c r="A23" s="85"/>
      <c r="B23" s="208" t="s">
        <v>122</v>
      </c>
      <c r="C23" s="209">
        <f>C22-D22</f>
        <v>0</v>
      </c>
      <c r="D23" s="209"/>
      <c r="E23" s="210">
        <f>E22-F22</f>
        <v>0</v>
      </c>
      <c r="F23" s="211"/>
      <c r="G23" s="181"/>
    </row>
    <row r="24" spans="1:7" ht="15" thickBot="1" x14ac:dyDescent="0.25">
      <c r="A24" s="85"/>
      <c r="B24" s="182"/>
      <c r="C24" s="182"/>
      <c r="D24" s="182"/>
      <c r="E24" s="182"/>
      <c r="F24" s="182"/>
      <c r="G24" s="181"/>
    </row>
    <row r="25" spans="1:7" ht="18.75" thickBot="1" x14ac:dyDescent="0.3">
      <c r="A25" s="85"/>
      <c r="B25" s="501" t="s">
        <v>195</v>
      </c>
      <c r="C25" s="502"/>
      <c r="D25" s="502"/>
      <c r="E25" s="502"/>
      <c r="F25" s="503"/>
      <c r="G25" s="181"/>
    </row>
    <row r="26" spans="1:7" ht="15" thickBot="1" x14ac:dyDescent="0.25">
      <c r="A26" s="85"/>
      <c r="B26" s="193"/>
      <c r="C26" s="194" t="s">
        <v>131</v>
      </c>
      <c r="D26" s="195" t="s">
        <v>143</v>
      </c>
      <c r="E26" s="194" t="s">
        <v>132</v>
      </c>
      <c r="F26" s="196" t="s">
        <v>144</v>
      </c>
      <c r="G26" s="181"/>
    </row>
    <row r="27" spans="1:7" ht="15" thickBot="1" x14ac:dyDescent="0.25">
      <c r="A27" s="85"/>
      <c r="B27" s="197" t="s">
        <v>134</v>
      </c>
      <c r="C27" s="198">
        <f>CSHrs/4</f>
        <v>0</v>
      </c>
      <c r="D27" s="199"/>
      <c r="E27" s="200">
        <f>(CSHrs*CommSupportsRate)/4</f>
        <v>0</v>
      </c>
      <c r="F27" s="201">
        <f>D27*CommSupportsRate</f>
        <v>0</v>
      </c>
      <c r="G27" s="181"/>
    </row>
    <row r="28" spans="1:7" ht="15" thickBot="1" x14ac:dyDescent="0.25">
      <c r="A28" s="85"/>
      <c r="B28" s="197" t="s">
        <v>135</v>
      </c>
      <c r="C28" s="198">
        <f>CSHrs/4</f>
        <v>0</v>
      </c>
      <c r="D28" s="199"/>
      <c r="E28" s="200">
        <f>(CSHrs*CommSupportsRate)/4</f>
        <v>0</v>
      </c>
      <c r="F28" s="201">
        <f>D28*CommSupportsRate</f>
        <v>0</v>
      </c>
      <c r="G28" s="181"/>
    </row>
    <row r="29" spans="1:7" ht="15" thickBot="1" x14ac:dyDescent="0.25">
      <c r="A29" s="85"/>
      <c r="B29" s="197" t="s">
        <v>136</v>
      </c>
      <c r="C29" s="198">
        <f>CSHrs/4</f>
        <v>0</v>
      </c>
      <c r="D29" s="199"/>
      <c r="E29" s="200">
        <f>(CSHrs*CommSupportsRate)/4</f>
        <v>0</v>
      </c>
      <c r="F29" s="201">
        <f>D29*CommSupportsRate</f>
        <v>0</v>
      </c>
      <c r="G29" s="181"/>
    </row>
    <row r="30" spans="1:7" ht="15" thickBot="1" x14ac:dyDescent="0.25">
      <c r="A30" s="85"/>
      <c r="B30" s="202" t="s">
        <v>137</v>
      </c>
      <c r="C30" s="198">
        <f>CSHrs/4</f>
        <v>0</v>
      </c>
      <c r="D30" s="203"/>
      <c r="E30" s="200">
        <f>(CSHrs*CommSupportsRate)/4</f>
        <v>0</v>
      </c>
      <c r="F30" s="201">
        <f>D30*CommSupportsRate</f>
        <v>0</v>
      </c>
      <c r="G30" s="181"/>
    </row>
    <row r="31" spans="1:7" ht="4.5" customHeight="1" thickBot="1" x14ac:dyDescent="0.25">
      <c r="A31" s="85"/>
      <c r="B31" s="498"/>
      <c r="C31" s="499"/>
      <c r="D31" s="499"/>
      <c r="E31" s="499"/>
      <c r="F31" s="500"/>
      <c r="G31" s="181"/>
    </row>
    <row r="32" spans="1:7" ht="15" x14ac:dyDescent="0.25">
      <c r="A32" s="85"/>
      <c r="B32" s="204" t="s">
        <v>133</v>
      </c>
      <c r="C32" s="205">
        <f>SUM(C27:C30)</f>
        <v>0</v>
      </c>
      <c r="D32" s="205">
        <f>SUM(D27:D30)</f>
        <v>0</v>
      </c>
      <c r="E32" s="206">
        <f>SUM(E27:E30)</f>
        <v>0</v>
      </c>
      <c r="F32" s="207">
        <f>SUM(F27:F30)</f>
        <v>0</v>
      </c>
      <c r="G32" s="181"/>
    </row>
    <row r="33" spans="1:7" ht="15.75" thickBot="1" x14ac:dyDescent="0.3">
      <c r="A33" s="85"/>
      <c r="B33" s="208" t="s">
        <v>122</v>
      </c>
      <c r="C33" s="209">
        <f>C32-D32</f>
        <v>0</v>
      </c>
      <c r="D33" s="209"/>
      <c r="E33" s="210">
        <f>E32-F32</f>
        <v>0</v>
      </c>
      <c r="F33" s="211"/>
      <c r="G33" s="181"/>
    </row>
    <row r="34" spans="1:7" ht="15.75" thickBot="1" x14ac:dyDescent="0.3">
      <c r="A34" s="85"/>
      <c r="B34" s="235"/>
      <c r="C34" s="235"/>
      <c r="D34" s="235"/>
      <c r="E34" s="236"/>
      <c r="F34" s="236"/>
      <c r="G34" s="181"/>
    </row>
    <row r="35" spans="1:7" ht="18.75" thickBot="1" x14ac:dyDescent="0.3">
      <c r="A35" s="85"/>
      <c r="B35" s="501" t="s">
        <v>110</v>
      </c>
      <c r="C35" s="502"/>
      <c r="D35" s="502"/>
      <c r="E35" s="502"/>
      <c r="F35" s="503"/>
      <c r="G35" s="181"/>
    </row>
    <row r="36" spans="1:7" ht="15" thickBot="1" x14ac:dyDescent="0.25">
      <c r="A36" s="85"/>
      <c r="B36" s="193"/>
      <c r="C36" s="194" t="s">
        <v>131</v>
      </c>
      <c r="D36" s="195" t="s">
        <v>143</v>
      </c>
      <c r="E36" s="194" t="s">
        <v>132</v>
      </c>
      <c r="F36" s="196" t="s">
        <v>144</v>
      </c>
      <c r="G36" s="181"/>
    </row>
    <row r="37" spans="1:7" ht="15" thickBot="1" x14ac:dyDescent="0.25">
      <c r="A37" s="85"/>
      <c r="B37" s="197" t="s">
        <v>134</v>
      </c>
      <c r="C37" s="198">
        <f>HRHrs/4</f>
        <v>0</v>
      </c>
      <c r="D37" s="199"/>
      <c r="E37" s="200">
        <f>(HRHrs*HourlyRespiteRate)/4</f>
        <v>0</v>
      </c>
      <c r="F37" s="201">
        <f>D37*HourlyRespiteRate</f>
        <v>0</v>
      </c>
      <c r="G37" s="181"/>
    </row>
    <row r="38" spans="1:7" ht="15" thickBot="1" x14ac:dyDescent="0.25">
      <c r="A38" s="85"/>
      <c r="B38" s="197" t="s">
        <v>135</v>
      </c>
      <c r="C38" s="198">
        <f>HRHrs/4</f>
        <v>0</v>
      </c>
      <c r="D38" s="199"/>
      <c r="E38" s="200">
        <f>(HRHrs*HourlyRespiteRate)/4</f>
        <v>0</v>
      </c>
      <c r="F38" s="201">
        <f>D38*HourlyRespiteRate</f>
        <v>0</v>
      </c>
      <c r="G38" s="181"/>
    </row>
    <row r="39" spans="1:7" ht="15" thickBot="1" x14ac:dyDescent="0.25">
      <c r="A39" s="85"/>
      <c r="B39" s="197" t="s">
        <v>136</v>
      </c>
      <c r="C39" s="198">
        <f>HRHrs/4</f>
        <v>0</v>
      </c>
      <c r="D39" s="199"/>
      <c r="E39" s="200">
        <f>(HRHrs*HourlyRespiteRate)/4</f>
        <v>0</v>
      </c>
      <c r="F39" s="201">
        <f>D39*HourlyRespiteRate</f>
        <v>0</v>
      </c>
      <c r="G39" s="181"/>
    </row>
    <row r="40" spans="1:7" ht="15" thickBot="1" x14ac:dyDescent="0.25">
      <c r="A40" s="85"/>
      <c r="B40" s="202" t="s">
        <v>137</v>
      </c>
      <c r="C40" s="198">
        <f>HRHrs/4</f>
        <v>0</v>
      </c>
      <c r="D40" s="203"/>
      <c r="E40" s="200">
        <f>(HRHrs*HourlyRespiteRate)/4</f>
        <v>0</v>
      </c>
      <c r="F40" s="201">
        <f>D40*HourlyRespiteRate</f>
        <v>0</v>
      </c>
      <c r="G40" s="181"/>
    </row>
    <row r="41" spans="1:7" ht="5.25" customHeight="1" thickBot="1" x14ac:dyDescent="0.25">
      <c r="A41" s="85"/>
      <c r="B41" s="498"/>
      <c r="C41" s="499"/>
      <c r="D41" s="499"/>
      <c r="E41" s="499"/>
      <c r="F41" s="500"/>
      <c r="G41" s="181"/>
    </row>
    <row r="42" spans="1:7" ht="15" x14ac:dyDescent="0.25">
      <c r="A42" s="85"/>
      <c r="B42" s="204" t="s">
        <v>133</v>
      </c>
      <c r="C42" s="205">
        <f>SUM(C37:C40)</f>
        <v>0</v>
      </c>
      <c r="D42" s="205">
        <f>SUM(D37:D40)</f>
        <v>0</v>
      </c>
      <c r="E42" s="206">
        <f>SUM(E37:E40)</f>
        <v>0</v>
      </c>
      <c r="F42" s="207">
        <f>SUM(F37:F40)</f>
        <v>0</v>
      </c>
      <c r="G42" s="181"/>
    </row>
    <row r="43" spans="1:7" ht="15.75" thickBot="1" x14ac:dyDescent="0.3">
      <c r="A43" s="85"/>
      <c r="B43" s="208" t="s">
        <v>122</v>
      </c>
      <c r="C43" s="209">
        <f>C42-D42</f>
        <v>0</v>
      </c>
      <c r="D43" s="209"/>
      <c r="E43" s="210">
        <f>E42-F42</f>
        <v>0</v>
      </c>
      <c r="F43" s="211"/>
      <c r="G43" s="181"/>
    </row>
    <row r="44" spans="1:7" ht="15.75" thickBot="1" x14ac:dyDescent="0.3">
      <c r="A44" s="85"/>
      <c r="B44" s="235"/>
      <c r="C44" s="235"/>
      <c r="D44" s="235"/>
      <c r="E44" s="236"/>
      <c r="F44" s="236"/>
      <c r="G44" s="181"/>
    </row>
    <row r="45" spans="1:7" ht="18.75" thickBot="1" x14ac:dyDescent="0.3">
      <c r="A45" s="85"/>
      <c r="B45" s="501" t="s">
        <v>198</v>
      </c>
      <c r="C45" s="502"/>
      <c r="D45" s="502"/>
      <c r="E45" s="502"/>
      <c r="F45" s="503"/>
      <c r="G45" s="181"/>
    </row>
    <row r="46" spans="1:7" ht="15" thickBot="1" x14ac:dyDescent="0.25">
      <c r="A46" s="85"/>
      <c r="B46" s="193"/>
      <c r="C46" s="194" t="s">
        <v>131</v>
      </c>
      <c r="D46" s="195" t="s">
        <v>143</v>
      </c>
      <c r="E46" s="194" t="s">
        <v>132</v>
      </c>
      <c r="F46" s="196" t="s">
        <v>144</v>
      </c>
      <c r="G46" s="181"/>
    </row>
    <row r="47" spans="1:7" ht="15" thickBot="1" x14ac:dyDescent="0.25">
      <c r="A47" s="85"/>
      <c r="B47" s="197" t="s">
        <v>134</v>
      </c>
      <c r="C47" s="198">
        <f>SEHRs/4</f>
        <v>0</v>
      </c>
      <c r="D47" s="199"/>
      <c r="E47" s="200">
        <f>(SEHRs*Rate_SE)/4</f>
        <v>0</v>
      </c>
      <c r="F47" s="201">
        <f>D47*Rate_SE</f>
        <v>0</v>
      </c>
      <c r="G47" s="181"/>
    </row>
    <row r="48" spans="1:7" ht="15" thickBot="1" x14ac:dyDescent="0.25">
      <c r="A48" s="85"/>
      <c r="B48" s="197" t="s">
        <v>135</v>
      </c>
      <c r="C48" s="198">
        <f>SEHRs/4</f>
        <v>0</v>
      </c>
      <c r="D48" s="199"/>
      <c r="E48" s="200">
        <f>(SEHRs*Rate_SE)/4</f>
        <v>0</v>
      </c>
      <c r="F48" s="201">
        <f>D48*Rate_SE</f>
        <v>0</v>
      </c>
      <c r="G48" s="181"/>
    </row>
    <row r="49" spans="1:7" ht="15" thickBot="1" x14ac:dyDescent="0.25">
      <c r="A49" s="85"/>
      <c r="B49" s="197" t="s">
        <v>136</v>
      </c>
      <c r="C49" s="198">
        <f>SEHRs/4</f>
        <v>0</v>
      </c>
      <c r="D49" s="199"/>
      <c r="E49" s="200">
        <f>(SEHRs*Rate_SE)/4</f>
        <v>0</v>
      </c>
      <c r="F49" s="201">
        <f>D49*Rate_SE</f>
        <v>0</v>
      </c>
      <c r="G49" s="181"/>
    </row>
    <row r="50" spans="1:7" ht="15" thickBot="1" x14ac:dyDescent="0.25">
      <c r="A50" s="85"/>
      <c r="B50" s="202" t="s">
        <v>137</v>
      </c>
      <c r="C50" s="198">
        <f>SEHRs/4</f>
        <v>0</v>
      </c>
      <c r="D50" s="203"/>
      <c r="E50" s="200">
        <f>(SEHRs*Rate_SE)/4</f>
        <v>0</v>
      </c>
      <c r="F50" s="201">
        <f>D50*Rate_SE</f>
        <v>0</v>
      </c>
      <c r="G50" s="181"/>
    </row>
    <row r="51" spans="1:7" ht="5.25" customHeight="1" thickBot="1" x14ac:dyDescent="0.25">
      <c r="A51" s="85"/>
      <c r="B51" s="498"/>
      <c r="C51" s="499"/>
      <c r="D51" s="499"/>
      <c r="E51" s="499"/>
      <c r="F51" s="500"/>
      <c r="G51" s="181"/>
    </row>
    <row r="52" spans="1:7" ht="15" x14ac:dyDescent="0.25">
      <c r="A52" s="85"/>
      <c r="B52" s="204" t="s">
        <v>133</v>
      </c>
      <c r="C52" s="205">
        <f>SUM(C47:C50)</f>
        <v>0</v>
      </c>
      <c r="D52" s="205">
        <f>SUM(D47:D50)</f>
        <v>0</v>
      </c>
      <c r="E52" s="206">
        <f>SUM(E47:E50)</f>
        <v>0</v>
      </c>
      <c r="F52" s="207">
        <f>SUM(F47:F50)</f>
        <v>0</v>
      </c>
      <c r="G52" s="181"/>
    </row>
    <row r="53" spans="1:7" ht="15.75" thickBot="1" x14ac:dyDescent="0.3">
      <c r="A53" s="85"/>
      <c r="B53" s="208" t="s">
        <v>122</v>
      </c>
      <c r="C53" s="209">
        <f>C52-D52</f>
        <v>0</v>
      </c>
      <c r="D53" s="209"/>
      <c r="E53" s="210">
        <f>E52-F52</f>
        <v>0</v>
      </c>
      <c r="F53" s="211"/>
      <c r="G53" s="181"/>
    </row>
    <row r="54" spans="1:7" ht="15.75" thickBot="1" x14ac:dyDescent="0.3">
      <c r="A54" s="85"/>
      <c r="B54" s="235"/>
      <c r="C54" s="235"/>
      <c r="D54" s="235"/>
      <c r="E54" s="236"/>
      <c r="F54" s="236"/>
      <c r="G54" s="181"/>
    </row>
    <row r="55" spans="1:7" ht="18.75" thickBot="1" x14ac:dyDescent="0.3">
      <c r="A55" s="85"/>
      <c r="B55" s="501" t="s">
        <v>199</v>
      </c>
      <c r="C55" s="502"/>
      <c r="D55" s="502"/>
      <c r="E55" s="502"/>
      <c r="F55" s="503"/>
      <c r="G55" s="181"/>
    </row>
    <row r="56" spans="1:7" ht="15" thickBot="1" x14ac:dyDescent="0.25">
      <c r="A56" s="85"/>
      <c r="B56" s="193"/>
      <c r="C56" s="194" t="s">
        <v>131</v>
      </c>
      <c r="D56" s="195" t="s">
        <v>143</v>
      </c>
      <c r="E56" s="194" t="s">
        <v>132</v>
      </c>
      <c r="F56" s="196" t="s">
        <v>144</v>
      </c>
      <c r="G56" s="181"/>
    </row>
    <row r="57" spans="1:7" ht="15" thickBot="1" x14ac:dyDescent="0.25">
      <c r="A57" s="85"/>
      <c r="B57" s="197" t="s">
        <v>134</v>
      </c>
      <c r="C57" s="198">
        <f>EAHrs/4</f>
        <v>0</v>
      </c>
      <c r="D57" s="199"/>
      <c r="E57" s="200">
        <f>(EAHrs*EARate)/4</f>
        <v>0</v>
      </c>
      <c r="F57" s="201">
        <f>D57*EARate</f>
        <v>0</v>
      </c>
      <c r="G57" s="181"/>
    </row>
    <row r="58" spans="1:7" ht="15" thickBot="1" x14ac:dyDescent="0.25">
      <c r="A58" s="85"/>
      <c r="B58" s="197" t="s">
        <v>135</v>
      </c>
      <c r="C58" s="198">
        <f>EAHrs/4</f>
        <v>0</v>
      </c>
      <c r="D58" s="199"/>
      <c r="E58" s="200">
        <f>(EAHrs*EARate)/4</f>
        <v>0</v>
      </c>
      <c r="F58" s="201">
        <f>D58*EARate</f>
        <v>0</v>
      </c>
      <c r="G58" s="181"/>
    </row>
    <row r="59" spans="1:7" ht="15" thickBot="1" x14ac:dyDescent="0.25">
      <c r="A59" s="85"/>
      <c r="B59" s="197" t="s">
        <v>136</v>
      </c>
      <c r="C59" s="198">
        <f>EAHrs/4</f>
        <v>0</v>
      </c>
      <c r="D59" s="199"/>
      <c r="E59" s="200">
        <f>(EAHrs*EARate)/4</f>
        <v>0</v>
      </c>
      <c r="F59" s="201">
        <f>D59*EARate</f>
        <v>0</v>
      </c>
      <c r="G59" s="181"/>
    </row>
    <row r="60" spans="1:7" ht="15" thickBot="1" x14ac:dyDescent="0.25">
      <c r="A60" s="85"/>
      <c r="B60" s="202" t="s">
        <v>137</v>
      </c>
      <c r="C60" s="198">
        <f>EAHrs/4</f>
        <v>0</v>
      </c>
      <c r="D60" s="203"/>
      <c r="E60" s="200">
        <f>(EAHrs*EARate)/4</f>
        <v>0</v>
      </c>
      <c r="F60" s="201">
        <f>D60*EARate</f>
        <v>0</v>
      </c>
      <c r="G60" s="181"/>
    </row>
    <row r="61" spans="1:7" ht="5.25" customHeight="1" thickBot="1" x14ac:dyDescent="0.25">
      <c r="A61" s="85"/>
      <c r="B61" s="498"/>
      <c r="C61" s="499"/>
      <c r="D61" s="499"/>
      <c r="E61" s="499"/>
      <c r="F61" s="500"/>
      <c r="G61" s="181"/>
    </row>
    <row r="62" spans="1:7" ht="15" x14ac:dyDescent="0.25">
      <c r="A62" s="85"/>
      <c r="B62" s="204" t="s">
        <v>133</v>
      </c>
      <c r="C62" s="205">
        <f>SUM(C57:C60)</f>
        <v>0</v>
      </c>
      <c r="D62" s="205">
        <f>SUM(D57:D60)</f>
        <v>0</v>
      </c>
      <c r="E62" s="206">
        <f>SUM(E57:E60)</f>
        <v>0</v>
      </c>
      <c r="F62" s="207">
        <f>SUM(F57:F60)</f>
        <v>0</v>
      </c>
      <c r="G62" s="181"/>
    </row>
    <row r="63" spans="1:7" ht="15.75" thickBot="1" x14ac:dyDescent="0.3">
      <c r="A63" s="85"/>
      <c r="B63" s="208" t="s">
        <v>122</v>
      </c>
      <c r="C63" s="209">
        <f>C62-D62</f>
        <v>0</v>
      </c>
      <c r="D63" s="209"/>
      <c r="E63" s="210">
        <f>E62-F62</f>
        <v>0</v>
      </c>
      <c r="F63" s="211"/>
      <c r="G63" s="181"/>
    </row>
    <row r="64" spans="1:7" ht="15.75" thickBot="1" x14ac:dyDescent="0.3">
      <c r="A64" s="85"/>
      <c r="B64" s="235"/>
      <c r="C64" s="235"/>
      <c r="D64" s="235"/>
      <c r="E64" s="236"/>
      <c r="F64" s="236"/>
      <c r="G64" s="181"/>
    </row>
    <row r="65" spans="1:7" ht="18.75" thickBot="1" x14ac:dyDescent="0.3">
      <c r="A65" s="85"/>
      <c r="B65" s="501" t="s">
        <v>200</v>
      </c>
      <c r="C65" s="502"/>
      <c r="D65" s="502"/>
      <c r="E65" s="502"/>
      <c r="F65" s="503"/>
      <c r="G65" s="181"/>
    </row>
    <row r="66" spans="1:7" ht="15" thickBot="1" x14ac:dyDescent="0.25">
      <c r="A66" s="85"/>
      <c r="B66" s="193"/>
      <c r="C66" s="194" t="s">
        <v>131</v>
      </c>
      <c r="D66" s="195" t="s">
        <v>143</v>
      </c>
      <c r="E66" s="194" t="s">
        <v>132</v>
      </c>
      <c r="F66" s="196" t="s">
        <v>144</v>
      </c>
      <c r="G66" s="181"/>
    </row>
    <row r="67" spans="1:7" ht="15" thickBot="1" x14ac:dyDescent="0.25">
      <c r="A67" s="85"/>
      <c r="B67" s="197" t="s">
        <v>134</v>
      </c>
      <c r="C67" s="198">
        <f>BSHrs/4</f>
        <v>0</v>
      </c>
      <c r="D67" s="199"/>
      <c r="E67" s="200">
        <f>(BSHrs*BehSupportsRate)/4</f>
        <v>0</v>
      </c>
      <c r="F67" s="201">
        <f>D67*BehSupportsRate</f>
        <v>0</v>
      </c>
      <c r="G67" s="181"/>
    </row>
    <row r="68" spans="1:7" ht="15" thickBot="1" x14ac:dyDescent="0.25">
      <c r="A68" s="85"/>
      <c r="B68" s="197" t="s">
        <v>135</v>
      </c>
      <c r="C68" s="198">
        <f>BSHrs/4</f>
        <v>0</v>
      </c>
      <c r="D68" s="199"/>
      <c r="E68" s="200">
        <f>(BSHrs*BehSupportsRate)/4</f>
        <v>0</v>
      </c>
      <c r="F68" s="201">
        <f>D68*BehSupportsRate</f>
        <v>0</v>
      </c>
      <c r="G68" s="181"/>
    </row>
    <row r="69" spans="1:7" ht="15" thickBot="1" x14ac:dyDescent="0.25">
      <c r="A69" s="85"/>
      <c r="B69" s="197" t="s">
        <v>136</v>
      </c>
      <c r="C69" s="198">
        <f>BSHrs/4</f>
        <v>0</v>
      </c>
      <c r="D69" s="199"/>
      <c r="E69" s="200">
        <f>(BSHrs*BehSupportsRate)/4</f>
        <v>0</v>
      </c>
      <c r="F69" s="201">
        <f>D69*BehSupportsRate</f>
        <v>0</v>
      </c>
      <c r="G69" s="181"/>
    </row>
    <row r="70" spans="1:7" ht="15" thickBot="1" x14ac:dyDescent="0.25">
      <c r="A70" s="85"/>
      <c r="B70" s="202" t="s">
        <v>137</v>
      </c>
      <c r="C70" s="198">
        <f>BSHrs/4</f>
        <v>0</v>
      </c>
      <c r="D70" s="203"/>
      <c r="E70" s="200">
        <f>(BSHrs*BehSupportsRate)/4</f>
        <v>0</v>
      </c>
      <c r="F70" s="201">
        <f>D70*BehSupportsRate</f>
        <v>0</v>
      </c>
      <c r="G70" s="181"/>
    </row>
    <row r="71" spans="1:7" ht="5.25" customHeight="1" thickBot="1" x14ac:dyDescent="0.25">
      <c r="A71" s="85"/>
      <c r="B71" s="498"/>
      <c r="C71" s="499"/>
      <c r="D71" s="499"/>
      <c r="E71" s="499"/>
      <c r="F71" s="500"/>
      <c r="G71" s="181"/>
    </row>
    <row r="72" spans="1:7" ht="15" x14ac:dyDescent="0.25">
      <c r="A72" s="85"/>
      <c r="B72" s="204" t="s">
        <v>133</v>
      </c>
      <c r="C72" s="205">
        <f>SUM(C67:C70)</f>
        <v>0</v>
      </c>
      <c r="D72" s="205">
        <f>SUM(D67:D70)</f>
        <v>0</v>
      </c>
      <c r="E72" s="206">
        <f>SUM(E67:E70)</f>
        <v>0</v>
      </c>
      <c r="F72" s="207">
        <f>SUM(F67:F70)</f>
        <v>0</v>
      </c>
      <c r="G72" s="181"/>
    </row>
    <row r="73" spans="1:7" ht="15.75" thickBot="1" x14ac:dyDescent="0.3">
      <c r="A73" s="85"/>
      <c r="B73" s="208" t="s">
        <v>122</v>
      </c>
      <c r="C73" s="209">
        <f>C72-D72</f>
        <v>0</v>
      </c>
      <c r="D73" s="209"/>
      <c r="E73" s="210">
        <f>E72-F72</f>
        <v>0</v>
      </c>
      <c r="F73" s="211"/>
      <c r="G73" s="181"/>
    </row>
    <row r="74" spans="1:7" ht="15.75" thickBot="1" x14ac:dyDescent="0.3">
      <c r="A74" s="85"/>
      <c r="B74" s="235"/>
      <c r="C74" s="235"/>
      <c r="D74" s="235"/>
      <c r="E74" s="236"/>
      <c r="F74" s="236"/>
      <c r="G74" s="181"/>
    </row>
    <row r="75" spans="1:7" ht="18.75" thickBot="1" x14ac:dyDescent="0.3">
      <c r="A75" s="85"/>
      <c r="B75" s="501" t="s">
        <v>262</v>
      </c>
      <c r="C75" s="502"/>
      <c r="D75" s="502"/>
      <c r="E75" s="502"/>
      <c r="F75" s="503"/>
      <c r="G75" s="181"/>
    </row>
    <row r="76" spans="1:7" ht="15" thickBot="1" x14ac:dyDescent="0.25">
      <c r="A76" s="85"/>
      <c r="B76" s="193"/>
      <c r="C76" s="194" t="s">
        <v>131</v>
      </c>
      <c r="D76" s="195" t="s">
        <v>143</v>
      </c>
      <c r="E76" s="194" t="s">
        <v>132</v>
      </c>
      <c r="F76" s="196" t="s">
        <v>144</v>
      </c>
      <c r="G76" s="181"/>
    </row>
    <row r="77" spans="1:7" ht="15" thickBot="1" x14ac:dyDescent="0.25">
      <c r="A77" s="85"/>
      <c r="B77" s="197" t="s">
        <v>134</v>
      </c>
      <c r="C77" s="198">
        <f>PTHRS/4</f>
        <v>0</v>
      </c>
      <c r="D77" s="199"/>
      <c r="E77" s="200">
        <f>(PTOTHrs*PTOTRate)/4</f>
        <v>0</v>
      </c>
      <c r="F77" s="201">
        <f>D77*PTOTRate</f>
        <v>0</v>
      </c>
      <c r="G77" s="181"/>
    </row>
    <row r="78" spans="1:7" ht="15" thickBot="1" x14ac:dyDescent="0.25">
      <c r="A78" s="85"/>
      <c r="B78" s="197" t="s">
        <v>135</v>
      </c>
      <c r="C78" s="198">
        <f>PTHRS/4</f>
        <v>0</v>
      </c>
      <c r="D78" s="199"/>
      <c r="E78" s="200">
        <f>(PTOTHrs*PTOTRate)/4</f>
        <v>0</v>
      </c>
      <c r="F78" s="201">
        <f>D78*PTOTRate</f>
        <v>0</v>
      </c>
      <c r="G78" s="181"/>
    </row>
    <row r="79" spans="1:7" ht="15" thickBot="1" x14ac:dyDescent="0.25">
      <c r="A79" s="85"/>
      <c r="B79" s="197" t="s">
        <v>136</v>
      </c>
      <c r="C79" s="198">
        <f>PTHRS/4</f>
        <v>0</v>
      </c>
      <c r="D79" s="199"/>
      <c r="E79" s="200">
        <f>(PTOTHrs*PTOTRate)/4</f>
        <v>0</v>
      </c>
      <c r="F79" s="201">
        <f>D79*PTOTRate</f>
        <v>0</v>
      </c>
      <c r="G79" s="181"/>
    </row>
    <row r="80" spans="1:7" ht="15" thickBot="1" x14ac:dyDescent="0.25">
      <c r="A80" s="85"/>
      <c r="B80" s="202" t="s">
        <v>137</v>
      </c>
      <c r="C80" s="198">
        <f>PTHRS/4</f>
        <v>0</v>
      </c>
      <c r="D80" s="203"/>
      <c r="E80" s="200">
        <f>(PTOTHrs*PTOTRate)/4</f>
        <v>0</v>
      </c>
      <c r="F80" s="201">
        <f>D80*PTOTRate</f>
        <v>0</v>
      </c>
      <c r="G80" s="181"/>
    </row>
    <row r="81" spans="1:7" ht="5.25" customHeight="1" thickBot="1" x14ac:dyDescent="0.25">
      <c r="A81" s="85"/>
      <c r="B81" s="498"/>
      <c r="C81" s="499"/>
      <c r="D81" s="499"/>
      <c r="E81" s="499"/>
      <c r="F81" s="500"/>
      <c r="G81" s="181"/>
    </row>
    <row r="82" spans="1:7" ht="15" x14ac:dyDescent="0.25">
      <c r="A82" s="85"/>
      <c r="B82" s="204" t="s">
        <v>133</v>
      </c>
      <c r="C82" s="205">
        <f>SUM(C77:C80)</f>
        <v>0</v>
      </c>
      <c r="D82" s="205">
        <f>SUM(D77:D80)</f>
        <v>0</v>
      </c>
      <c r="E82" s="206">
        <f>SUM(E77:E80)</f>
        <v>0</v>
      </c>
      <c r="F82" s="207">
        <f>SUM(F77:F80)</f>
        <v>0</v>
      </c>
      <c r="G82" s="181"/>
    </row>
    <row r="83" spans="1:7" ht="15.75" thickBot="1" x14ac:dyDescent="0.3">
      <c r="A83" s="85"/>
      <c r="B83" s="208" t="s">
        <v>122</v>
      </c>
      <c r="C83" s="209">
        <f>C82-D82</f>
        <v>0</v>
      </c>
      <c r="D83" s="209"/>
      <c r="E83" s="210">
        <f>E82-F82</f>
        <v>0</v>
      </c>
      <c r="F83" s="211"/>
      <c r="G83" s="181"/>
    </row>
    <row r="84" spans="1:7" ht="15.75" thickBot="1" x14ac:dyDescent="0.3">
      <c r="A84" s="85"/>
      <c r="B84" s="235"/>
      <c r="C84" s="235"/>
      <c r="D84" s="235"/>
      <c r="E84" s="236"/>
      <c r="F84" s="236"/>
      <c r="G84" s="181"/>
    </row>
    <row r="85" spans="1:7" ht="18.75" thickBot="1" x14ac:dyDescent="0.3">
      <c r="A85" s="85"/>
      <c r="B85" s="501" t="s">
        <v>263</v>
      </c>
      <c r="C85" s="502"/>
      <c r="D85" s="502"/>
      <c r="E85" s="502"/>
      <c r="F85" s="503"/>
      <c r="G85" s="181"/>
    </row>
    <row r="86" spans="1:7" ht="15" thickBot="1" x14ac:dyDescent="0.25">
      <c r="A86" s="85"/>
      <c r="B86" s="193"/>
      <c r="C86" s="194" t="s">
        <v>131</v>
      </c>
      <c r="D86" s="195" t="s">
        <v>143</v>
      </c>
      <c r="E86" s="194" t="s">
        <v>132</v>
      </c>
      <c r="F86" s="196" t="s">
        <v>144</v>
      </c>
      <c r="G86" s="181"/>
    </row>
    <row r="87" spans="1:7" ht="15" thickBot="1" x14ac:dyDescent="0.25">
      <c r="A87" s="85"/>
      <c r="B87" s="197" t="s">
        <v>134</v>
      </c>
      <c r="C87" s="198">
        <f>OTHRS/4</f>
        <v>0</v>
      </c>
      <c r="D87" s="199"/>
      <c r="E87" s="200">
        <f>(OTHRS*OTRATE)/4</f>
        <v>0</v>
      </c>
      <c r="F87" s="201">
        <f>D87*PTOTRate</f>
        <v>0</v>
      </c>
      <c r="G87" s="181"/>
    </row>
    <row r="88" spans="1:7" ht="15" thickBot="1" x14ac:dyDescent="0.25">
      <c r="A88" s="85"/>
      <c r="B88" s="197" t="s">
        <v>135</v>
      </c>
      <c r="C88" s="198">
        <f>OTHRS/4</f>
        <v>0</v>
      </c>
      <c r="D88" s="199"/>
      <c r="E88" s="200">
        <f>(OTHRS*OTRATE)/4</f>
        <v>0</v>
      </c>
      <c r="F88" s="201">
        <f>D88*PTOTRate</f>
        <v>0</v>
      </c>
      <c r="G88" s="181"/>
    </row>
    <row r="89" spans="1:7" ht="15" thickBot="1" x14ac:dyDescent="0.25">
      <c r="A89" s="85"/>
      <c r="B89" s="197" t="s">
        <v>136</v>
      </c>
      <c r="C89" s="198">
        <f>OTHRS/4</f>
        <v>0</v>
      </c>
      <c r="D89" s="199"/>
      <c r="E89" s="200">
        <f>(OTHRS*OTRATE)/4</f>
        <v>0</v>
      </c>
      <c r="F89" s="201">
        <f>D89*PTOTRate</f>
        <v>0</v>
      </c>
      <c r="G89" s="181"/>
    </row>
    <row r="90" spans="1:7" ht="15" thickBot="1" x14ac:dyDescent="0.25">
      <c r="A90" s="85"/>
      <c r="B90" s="202" t="s">
        <v>137</v>
      </c>
      <c r="C90" s="198">
        <f>OTHRS/4</f>
        <v>0</v>
      </c>
      <c r="D90" s="203"/>
      <c r="E90" s="200">
        <f>(OTHRS*OTRATE)/4</f>
        <v>0</v>
      </c>
      <c r="F90" s="201">
        <f>D90*PTOTRate</f>
        <v>0</v>
      </c>
      <c r="G90" s="181"/>
    </row>
    <row r="91" spans="1:7" ht="15" thickBot="1" x14ac:dyDescent="0.25">
      <c r="A91" s="85"/>
      <c r="B91" s="498"/>
      <c r="C91" s="499"/>
      <c r="D91" s="499"/>
      <c r="E91" s="499"/>
      <c r="F91" s="500"/>
      <c r="G91" s="181"/>
    </row>
    <row r="92" spans="1:7" ht="15" x14ac:dyDescent="0.25">
      <c r="A92" s="85"/>
      <c r="B92" s="204" t="s">
        <v>133</v>
      </c>
      <c r="C92" s="205">
        <f>SUM(C87:C90)</f>
        <v>0</v>
      </c>
      <c r="D92" s="205">
        <f>SUM(D87:D90)</f>
        <v>0</v>
      </c>
      <c r="E92" s="206">
        <f>SUM(E87:E90)</f>
        <v>0</v>
      </c>
      <c r="F92" s="207">
        <f>SUM(F87:F90)</f>
        <v>0</v>
      </c>
      <c r="G92" s="181"/>
    </row>
    <row r="93" spans="1:7" ht="15.75" thickBot="1" x14ac:dyDescent="0.3">
      <c r="A93" s="85"/>
      <c r="B93" s="208" t="s">
        <v>122</v>
      </c>
      <c r="C93" s="209">
        <f>C92-D92</f>
        <v>0</v>
      </c>
      <c r="D93" s="209"/>
      <c r="E93" s="210">
        <f>E92-F92</f>
        <v>0</v>
      </c>
      <c r="F93" s="211"/>
      <c r="G93" s="181"/>
    </row>
    <row r="94" spans="1:7" ht="15.75" thickBot="1" x14ac:dyDescent="0.3">
      <c r="A94" s="85"/>
      <c r="B94" s="235"/>
      <c r="C94" s="235"/>
      <c r="D94" s="235"/>
      <c r="E94" s="236"/>
      <c r="F94" s="236"/>
      <c r="G94" s="181"/>
    </row>
    <row r="95" spans="1:7" ht="18.75" thickBot="1" x14ac:dyDescent="0.3">
      <c r="A95" s="85"/>
      <c r="B95" s="501" t="s">
        <v>248</v>
      </c>
      <c r="C95" s="502"/>
      <c r="D95" s="502"/>
      <c r="E95" s="502"/>
      <c r="F95" s="503"/>
      <c r="G95" s="181"/>
    </row>
    <row r="96" spans="1:7" ht="15" thickBot="1" x14ac:dyDescent="0.25">
      <c r="A96" s="85"/>
      <c r="B96" s="193"/>
      <c r="C96" s="194" t="s">
        <v>131</v>
      </c>
      <c r="D96" s="195" t="s">
        <v>143</v>
      </c>
      <c r="E96" s="194" t="s">
        <v>132</v>
      </c>
      <c r="F96" s="196" t="s">
        <v>144</v>
      </c>
      <c r="G96" s="181"/>
    </row>
    <row r="97" spans="1:7" ht="15" thickBot="1" x14ac:dyDescent="0.25">
      <c r="A97" s="85"/>
      <c r="B97" s="197" t="s">
        <v>134</v>
      </c>
      <c r="C97" s="198">
        <f>AUDHRS/4</f>
        <v>0</v>
      </c>
      <c r="D97" s="199"/>
      <c r="E97" s="200">
        <f>(AUDHRS*AUDRATE)/4</f>
        <v>0</v>
      </c>
      <c r="F97" s="201">
        <f>D97*PTOTRate</f>
        <v>0</v>
      </c>
      <c r="G97" s="181"/>
    </row>
    <row r="98" spans="1:7" ht="15" thickBot="1" x14ac:dyDescent="0.25">
      <c r="A98" s="85"/>
      <c r="B98" s="197" t="s">
        <v>135</v>
      </c>
      <c r="C98" s="198">
        <f>AUDHRS/4</f>
        <v>0</v>
      </c>
      <c r="D98" s="199"/>
      <c r="E98" s="200">
        <f>(AUDHRS*AUDRATE)/4</f>
        <v>0</v>
      </c>
      <c r="F98" s="201">
        <f>D98*PTOTRate</f>
        <v>0</v>
      </c>
      <c r="G98" s="181"/>
    </row>
    <row r="99" spans="1:7" ht="15" thickBot="1" x14ac:dyDescent="0.25">
      <c r="A99" s="85"/>
      <c r="B99" s="197" t="s">
        <v>136</v>
      </c>
      <c r="C99" s="198">
        <f>AUDHRS/4</f>
        <v>0</v>
      </c>
      <c r="D99" s="199"/>
      <c r="E99" s="200">
        <f>(AUDHRS*AUDRATE)/4</f>
        <v>0</v>
      </c>
      <c r="F99" s="201">
        <f>D99*PTOTRate</f>
        <v>0</v>
      </c>
      <c r="G99" s="181"/>
    </row>
    <row r="100" spans="1:7" ht="15" thickBot="1" x14ac:dyDescent="0.25">
      <c r="A100" s="85"/>
      <c r="B100" s="202" t="s">
        <v>137</v>
      </c>
      <c r="C100" s="198">
        <f>AUDHRS/4</f>
        <v>0</v>
      </c>
      <c r="D100" s="203"/>
      <c r="E100" s="200">
        <f>(AUDHRS*AUDRATE)/4</f>
        <v>0</v>
      </c>
      <c r="F100" s="201">
        <f>D100*PTOTRate</f>
        <v>0</v>
      </c>
      <c r="G100" s="181"/>
    </row>
    <row r="101" spans="1:7" ht="15" thickBot="1" x14ac:dyDescent="0.25">
      <c r="A101" s="85"/>
      <c r="B101" s="498"/>
      <c r="C101" s="499"/>
      <c r="D101" s="499"/>
      <c r="E101" s="499"/>
      <c r="F101" s="500"/>
      <c r="G101" s="181"/>
    </row>
    <row r="102" spans="1:7" ht="15" x14ac:dyDescent="0.25">
      <c r="A102" s="85"/>
      <c r="B102" s="204" t="s">
        <v>133</v>
      </c>
      <c r="C102" s="205">
        <f>SUM(C97:C100)</f>
        <v>0</v>
      </c>
      <c r="D102" s="205">
        <f>SUM(D97:D100)</f>
        <v>0</v>
      </c>
      <c r="E102" s="206">
        <f>SUM(E97:E100)</f>
        <v>0</v>
      </c>
      <c r="F102" s="207">
        <f>SUM(F97:F100)</f>
        <v>0</v>
      </c>
      <c r="G102" s="181"/>
    </row>
    <row r="103" spans="1:7" ht="15.75" thickBot="1" x14ac:dyDescent="0.3">
      <c r="A103" s="85"/>
      <c r="B103" s="208" t="s">
        <v>122</v>
      </c>
      <c r="C103" s="209">
        <f>C102-D102</f>
        <v>0</v>
      </c>
      <c r="D103" s="209"/>
      <c r="E103" s="210">
        <f>E102-F102</f>
        <v>0</v>
      </c>
      <c r="F103" s="211"/>
      <c r="G103" s="181"/>
    </row>
    <row r="104" spans="1:7" ht="15.75" thickBot="1" x14ac:dyDescent="0.3">
      <c r="A104" s="85"/>
      <c r="B104" s="235"/>
      <c r="C104" s="235"/>
      <c r="D104" s="235"/>
      <c r="E104" s="236"/>
      <c r="F104" s="236"/>
      <c r="G104" s="181"/>
    </row>
    <row r="105" spans="1:7" ht="18.75" thickBot="1" x14ac:dyDescent="0.3">
      <c r="A105" s="85"/>
      <c r="B105" s="501" t="s">
        <v>249</v>
      </c>
      <c r="C105" s="502"/>
      <c r="D105" s="502"/>
      <c r="E105" s="502"/>
      <c r="F105" s="503"/>
      <c r="G105" s="181"/>
    </row>
    <row r="106" spans="1:7" ht="15" thickBot="1" x14ac:dyDescent="0.25">
      <c r="A106" s="85"/>
      <c r="B106" s="193"/>
      <c r="C106" s="194" t="s">
        <v>131</v>
      </c>
      <c r="D106" s="195" t="s">
        <v>143</v>
      </c>
      <c r="E106" s="194" t="s">
        <v>132</v>
      </c>
      <c r="F106" s="196" t="s">
        <v>144</v>
      </c>
      <c r="G106" s="181"/>
    </row>
    <row r="107" spans="1:7" ht="15" thickBot="1" x14ac:dyDescent="0.25">
      <c r="A107" s="85"/>
      <c r="B107" s="197" t="s">
        <v>134</v>
      </c>
      <c r="C107" s="198">
        <f>SPHRS/4</f>
        <v>0</v>
      </c>
      <c r="D107" s="199"/>
      <c r="E107" s="200">
        <f>(SPHRS*SPRATE)/4</f>
        <v>0</v>
      </c>
      <c r="F107" s="201">
        <f>D107*PTOTRate</f>
        <v>0</v>
      </c>
      <c r="G107" s="181"/>
    </row>
    <row r="108" spans="1:7" ht="15" thickBot="1" x14ac:dyDescent="0.25">
      <c r="A108" s="85"/>
      <c r="B108" s="197" t="s">
        <v>135</v>
      </c>
      <c r="C108" s="198">
        <f>SPHRS/4</f>
        <v>0</v>
      </c>
      <c r="D108" s="199"/>
      <c r="E108" s="200">
        <f>(SPHRS*SPRATE)/4</f>
        <v>0</v>
      </c>
      <c r="F108" s="201">
        <f>D108*PTOTRate</f>
        <v>0</v>
      </c>
      <c r="G108" s="181"/>
    </row>
    <row r="109" spans="1:7" ht="15" thickBot="1" x14ac:dyDescent="0.25">
      <c r="A109" s="85"/>
      <c r="B109" s="197" t="s">
        <v>136</v>
      </c>
      <c r="C109" s="198">
        <f>SPHRS/4</f>
        <v>0</v>
      </c>
      <c r="D109" s="199"/>
      <c r="E109" s="200">
        <f>(SPHRS*SPRATE)/4</f>
        <v>0</v>
      </c>
      <c r="F109" s="201">
        <f>D109*PTOTRate</f>
        <v>0</v>
      </c>
      <c r="G109" s="181"/>
    </row>
    <row r="110" spans="1:7" ht="15" thickBot="1" x14ac:dyDescent="0.25">
      <c r="A110" s="85"/>
      <c r="B110" s="202" t="s">
        <v>137</v>
      </c>
      <c r="C110" s="198">
        <f>SPHRS/4</f>
        <v>0</v>
      </c>
      <c r="D110" s="203"/>
      <c r="E110" s="200">
        <f>(SPHRS*SPRATE)/4</f>
        <v>0</v>
      </c>
      <c r="F110" s="201">
        <f>D110*PTOTRate</f>
        <v>0</v>
      </c>
      <c r="G110" s="181"/>
    </row>
    <row r="111" spans="1:7" ht="15" thickBot="1" x14ac:dyDescent="0.25">
      <c r="A111" s="85"/>
      <c r="B111" s="498"/>
      <c r="C111" s="499"/>
      <c r="D111" s="499"/>
      <c r="E111" s="499"/>
      <c r="F111" s="500"/>
      <c r="G111" s="181"/>
    </row>
    <row r="112" spans="1:7" ht="15" x14ac:dyDescent="0.25">
      <c r="A112" s="85"/>
      <c r="B112" s="204" t="s">
        <v>133</v>
      </c>
      <c r="C112" s="205">
        <f>SUM(C107:C110)</f>
        <v>0</v>
      </c>
      <c r="D112" s="205">
        <f>SUM(D107:D110)</f>
        <v>0</v>
      </c>
      <c r="E112" s="206">
        <f>SUM(E107:E110)</f>
        <v>0</v>
      </c>
      <c r="F112" s="207">
        <f>SUM(F107:F110)</f>
        <v>0</v>
      </c>
      <c r="G112" s="181"/>
    </row>
    <row r="113" spans="1:7" ht="15.75" thickBot="1" x14ac:dyDescent="0.3">
      <c r="A113" s="85"/>
      <c r="B113" s="208" t="s">
        <v>122</v>
      </c>
      <c r="C113" s="209">
        <f>C112-D112</f>
        <v>0</v>
      </c>
      <c r="D113" s="209"/>
      <c r="E113" s="210">
        <f>E112-F112</f>
        <v>0</v>
      </c>
      <c r="F113" s="211"/>
      <c r="G113" s="181"/>
    </row>
    <row r="114" spans="1:7" ht="15.75" thickBot="1" x14ac:dyDescent="0.3">
      <c r="A114" s="85"/>
      <c r="B114" s="235"/>
      <c r="C114" s="235"/>
      <c r="D114" s="235"/>
      <c r="E114" s="236"/>
      <c r="F114" s="236"/>
      <c r="G114" s="181"/>
    </row>
    <row r="115" spans="1:7" ht="18.75" thickBot="1" x14ac:dyDescent="0.3">
      <c r="A115" s="85"/>
      <c r="B115" s="501" t="s">
        <v>201</v>
      </c>
      <c r="C115" s="502"/>
      <c r="D115" s="502"/>
      <c r="E115" s="502"/>
      <c r="F115" s="503"/>
      <c r="G115" s="181"/>
    </row>
    <row r="116" spans="1:7" ht="15" thickBot="1" x14ac:dyDescent="0.25">
      <c r="A116" s="85"/>
      <c r="B116" s="193"/>
      <c r="C116" s="194" t="s">
        <v>131</v>
      </c>
      <c r="D116" s="195" t="s">
        <v>143</v>
      </c>
      <c r="E116" s="194" t="s">
        <v>132</v>
      </c>
      <c r="F116" s="196" t="s">
        <v>144</v>
      </c>
      <c r="G116" s="181"/>
    </row>
    <row r="117" spans="1:7" ht="15" thickBot="1" x14ac:dyDescent="0.25">
      <c r="A117" s="85"/>
      <c r="B117" s="197" t="s">
        <v>134</v>
      </c>
      <c r="C117" s="198">
        <f>DHrs/4</f>
        <v>0</v>
      </c>
      <c r="D117" s="199"/>
      <c r="E117" s="200">
        <f>(DHrs*DietaryRate)/4</f>
        <v>0</v>
      </c>
      <c r="F117" s="201">
        <f>D117*DietaryRate</f>
        <v>0</v>
      </c>
      <c r="G117" s="181"/>
    </row>
    <row r="118" spans="1:7" ht="15" thickBot="1" x14ac:dyDescent="0.25">
      <c r="A118" s="85"/>
      <c r="B118" s="197" t="s">
        <v>135</v>
      </c>
      <c r="C118" s="198">
        <f>DHrs/4</f>
        <v>0</v>
      </c>
      <c r="D118" s="199"/>
      <c r="E118" s="200">
        <f>(DHrs*DietaryRate)/4</f>
        <v>0</v>
      </c>
      <c r="F118" s="201">
        <f>D118*DietaryRate</f>
        <v>0</v>
      </c>
      <c r="G118" s="181"/>
    </row>
    <row r="119" spans="1:7" ht="15" thickBot="1" x14ac:dyDescent="0.25">
      <c r="A119" s="85"/>
      <c r="B119" s="197" t="s">
        <v>136</v>
      </c>
      <c r="C119" s="198">
        <f>DHrs/4</f>
        <v>0</v>
      </c>
      <c r="D119" s="199"/>
      <c r="E119" s="200">
        <f>(DHrs*DietaryRate)/4</f>
        <v>0</v>
      </c>
      <c r="F119" s="201">
        <f>D119*DietaryRate</f>
        <v>0</v>
      </c>
      <c r="G119" s="181"/>
    </row>
    <row r="120" spans="1:7" ht="15" thickBot="1" x14ac:dyDescent="0.25">
      <c r="A120" s="85"/>
      <c r="B120" s="202" t="s">
        <v>137</v>
      </c>
      <c r="C120" s="198">
        <f>DHrs/4</f>
        <v>0</v>
      </c>
      <c r="D120" s="203"/>
      <c r="E120" s="200">
        <f>(DHrs*DietaryRate)/4</f>
        <v>0</v>
      </c>
      <c r="F120" s="201">
        <f>D120*DietaryRate</f>
        <v>0</v>
      </c>
      <c r="G120" s="181"/>
    </row>
    <row r="121" spans="1:7" ht="5.25" customHeight="1" thickBot="1" x14ac:dyDescent="0.25">
      <c r="A121" s="85"/>
      <c r="B121" s="498"/>
      <c r="C121" s="499"/>
      <c r="D121" s="499"/>
      <c r="E121" s="499"/>
      <c r="F121" s="500"/>
      <c r="G121" s="181"/>
    </row>
    <row r="122" spans="1:7" ht="15" x14ac:dyDescent="0.25">
      <c r="A122" s="85"/>
      <c r="B122" s="204" t="s">
        <v>133</v>
      </c>
      <c r="C122" s="205">
        <f>SUM(C117:C120)</f>
        <v>0</v>
      </c>
      <c r="D122" s="205">
        <f>SUM(D117:D120)</f>
        <v>0</v>
      </c>
      <c r="E122" s="206">
        <f>SUM(E117:E120)</f>
        <v>0</v>
      </c>
      <c r="F122" s="207">
        <f>SUM(F117:F120)</f>
        <v>0</v>
      </c>
      <c r="G122" s="181"/>
    </row>
    <row r="123" spans="1:7" ht="15.75" thickBot="1" x14ac:dyDescent="0.3">
      <c r="A123" s="85"/>
      <c r="B123" s="208" t="s">
        <v>122</v>
      </c>
      <c r="C123" s="209">
        <f>C122-D122</f>
        <v>0</v>
      </c>
      <c r="D123" s="209"/>
      <c r="E123" s="210">
        <f>E122-F122</f>
        <v>0</v>
      </c>
      <c r="F123" s="211"/>
      <c r="G123" s="181"/>
    </row>
    <row r="124" spans="1:7" ht="15" thickBot="1" x14ac:dyDescent="0.25">
      <c r="A124" s="85"/>
      <c r="B124" s="182"/>
      <c r="C124" s="182"/>
      <c r="D124" s="182"/>
      <c r="E124" s="182"/>
      <c r="F124" s="182"/>
      <c r="G124" s="181"/>
    </row>
    <row r="125" spans="1:7" ht="18.75" thickBot="1" x14ac:dyDescent="0.3">
      <c r="A125" s="85"/>
      <c r="B125" s="501" t="s">
        <v>235</v>
      </c>
      <c r="C125" s="502"/>
      <c r="D125" s="502"/>
      <c r="E125" s="502"/>
      <c r="F125" s="503"/>
      <c r="G125" s="181"/>
    </row>
    <row r="126" spans="1:7" ht="15" thickBot="1" x14ac:dyDescent="0.25">
      <c r="A126" s="85"/>
      <c r="B126" s="193"/>
      <c r="C126" s="194" t="s">
        <v>131</v>
      </c>
      <c r="D126" s="195" t="s">
        <v>143</v>
      </c>
      <c r="E126" s="194" t="s">
        <v>132</v>
      </c>
      <c r="F126" s="196" t="s">
        <v>144</v>
      </c>
      <c r="G126" s="181"/>
    </row>
    <row r="127" spans="1:7" ht="15" thickBot="1" x14ac:dyDescent="0.25">
      <c r="A127" s="85"/>
      <c r="B127" s="197" t="s">
        <v>134</v>
      </c>
      <c r="C127" s="198">
        <f>NURN/4</f>
        <v>0</v>
      </c>
      <c r="D127" s="199"/>
      <c r="E127" s="200">
        <f>(NURN*RateNUR)/4</f>
        <v>0</v>
      </c>
      <c r="F127" s="201">
        <f>D127*RateNUR</f>
        <v>0</v>
      </c>
      <c r="G127" s="181"/>
    </row>
    <row r="128" spans="1:7" ht="15" thickBot="1" x14ac:dyDescent="0.25">
      <c r="A128" s="85"/>
      <c r="B128" s="197" t="s">
        <v>135</v>
      </c>
      <c r="C128" s="198">
        <f>NURN/4</f>
        <v>0</v>
      </c>
      <c r="D128" s="199"/>
      <c r="E128" s="200">
        <f>(NURN*RateNUR)/4</f>
        <v>0</v>
      </c>
      <c r="F128" s="201">
        <f>D128*RateNUR</f>
        <v>0</v>
      </c>
      <c r="G128" s="181"/>
    </row>
    <row r="129" spans="1:7" ht="15" thickBot="1" x14ac:dyDescent="0.25">
      <c r="A129" s="85"/>
      <c r="B129" s="197" t="s">
        <v>136</v>
      </c>
      <c r="C129" s="198">
        <f>NURN/4</f>
        <v>0</v>
      </c>
      <c r="D129" s="199"/>
      <c r="E129" s="200">
        <f>(NURN*RateNUR)/4</f>
        <v>0</v>
      </c>
      <c r="F129" s="201">
        <f>D129*RateNUR</f>
        <v>0</v>
      </c>
      <c r="G129" s="181"/>
    </row>
    <row r="130" spans="1:7" ht="15" thickBot="1" x14ac:dyDescent="0.25">
      <c r="A130" s="85"/>
      <c r="B130" s="202" t="s">
        <v>137</v>
      </c>
      <c r="C130" s="198">
        <f>NURN/4</f>
        <v>0</v>
      </c>
      <c r="D130" s="203"/>
      <c r="E130" s="200">
        <f>(NURN*RateNUR)/4</f>
        <v>0</v>
      </c>
      <c r="F130" s="201">
        <f>D130*RateNUR</f>
        <v>0</v>
      </c>
      <c r="G130" s="181"/>
    </row>
    <row r="131" spans="1:7" ht="15" thickBot="1" x14ac:dyDescent="0.25">
      <c r="A131" s="85"/>
      <c r="B131" s="498"/>
      <c r="C131" s="499"/>
      <c r="D131" s="499"/>
      <c r="E131" s="499"/>
      <c r="F131" s="500"/>
      <c r="G131" s="181"/>
    </row>
    <row r="132" spans="1:7" ht="15" x14ac:dyDescent="0.25">
      <c r="A132" s="85"/>
      <c r="B132" s="204" t="s">
        <v>133</v>
      </c>
      <c r="C132" s="205">
        <f>SUM(C127:C130)</f>
        <v>0</v>
      </c>
      <c r="D132" s="205">
        <f>SUM(D127:D130)</f>
        <v>0</v>
      </c>
      <c r="E132" s="206">
        <f>SUM(E127:E130)</f>
        <v>0</v>
      </c>
      <c r="F132" s="207">
        <f>SUM(F127:F130)</f>
        <v>0</v>
      </c>
      <c r="G132" s="181"/>
    </row>
    <row r="133" spans="1:7" ht="15.75" thickBot="1" x14ac:dyDescent="0.3">
      <c r="A133" s="85"/>
      <c r="B133" s="208" t="s">
        <v>122</v>
      </c>
      <c r="C133" s="209">
        <f>C132-D132</f>
        <v>0</v>
      </c>
      <c r="D133" s="209"/>
      <c r="E133" s="210">
        <f>E132-F132</f>
        <v>0</v>
      </c>
      <c r="F133" s="211"/>
      <c r="G133" s="181"/>
    </row>
    <row r="134" spans="1:7" ht="15" thickBot="1" x14ac:dyDescent="0.25">
      <c r="A134" s="85"/>
      <c r="B134" s="182"/>
      <c r="C134" s="182"/>
      <c r="D134" s="182"/>
      <c r="E134" s="182"/>
      <c r="F134" s="182"/>
      <c r="G134" s="181"/>
    </row>
    <row r="135" spans="1:7" ht="18.75" thickBot="1" x14ac:dyDescent="0.3">
      <c r="A135" s="85"/>
      <c r="B135" s="501" t="s">
        <v>239</v>
      </c>
      <c r="C135" s="502"/>
      <c r="D135" s="502"/>
      <c r="E135" s="502"/>
      <c r="F135" s="503"/>
      <c r="G135" s="181"/>
    </row>
    <row r="136" spans="1:7" ht="15" thickBot="1" x14ac:dyDescent="0.25">
      <c r="A136" s="85"/>
      <c r="B136" s="193"/>
      <c r="C136" s="194" t="s">
        <v>131</v>
      </c>
      <c r="D136" s="195" t="s">
        <v>143</v>
      </c>
      <c r="E136" s="194" t="s">
        <v>132</v>
      </c>
      <c r="F136" s="196" t="s">
        <v>144</v>
      </c>
      <c r="G136" s="181"/>
    </row>
    <row r="137" spans="1:7" ht="15" thickBot="1" x14ac:dyDescent="0.25">
      <c r="A137" s="85"/>
      <c r="B137" s="197" t="s">
        <v>134</v>
      </c>
      <c r="C137" s="198">
        <f>NUL/4</f>
        <v>0</v>
      </c>
      <c r="D137" s="199"/>
      <c r="E137" s="200">
        <f>(NUL*RateNUL)/4</f>
        <v>0</v>
      </c>
      <c r="F137" s="201">
        <f>D137*RateNUL</f>
        <v>0</v>
      </c>
      <c r="G137" s="181"/>
    </row>
    <row r="138" spans="1:7" ht="15" thickBot="1" x14ac:dyDescent="0.25">
      <c r="A138" s="85"/>
      <c r="B138" s="197" t="s">
        <v>135</v>
      </c>
      <c r="C138" s="198">
        <f>NUL/4</f>
        <v>0</v>
      </c>
      <c r="D138" s="199"/>
      <c r="E138" s="200">
        <f>(NUL*RateNUL)/4</f>
        <v>0</v>
      </c>
      <c r="F138" s="201">
        <f>D138*RateNUL</f>
        <v>0</v>
      </c>
      <c r="G138" s="181"/>
    </row>
    <row r="139" spans="1:7" ht="15" thickBot="1" x14ac:dyDescent="0.25">
      <c r="A139" s="85"/>
      <c r="B139" s="197" t="s">
        <v>136</v>
      </c>
      <c r="C139" s="198">
        <f>NUL/4</f>
        <v>0</v>
      </c>
      <c r="D139" s="199"/>
      <c r="E139" s="200">
        <f>(NUL*RateNUL)/4</f>
        <v>0</v>
      </c>
      <c r="F139" s="201">
        <f>D139*RateNUL</f>
        <v>0</v>
      </c>
      <c r="G139" s="181"/>
    </row>
    <row r="140" spans="1:7" ht="15" thickBot="1" x14ac:dyDescent="0.25">
      <c r="A140" s="85"/>
      <c r="B140" s="202" t="s">
        <v>137</v>
      </c>
      <c r="C140" s="198">
        <f>NUL/4</f>
        <v>0</v>
      </c>
      <c r="D140" s="203"/>
      <c r="E140" s="200">
        <f>(NUL*RateNUL)/4</f>
        <v>0</v>
      </c>
      <c r="F140" s="201">
        <f>D140*RateNUL</f>
        <v>0</v>
      </c>
      <c r="G140" s="181"/>
    </row>
    <row r="141" spans="1:7" ht="15" thickBot="1" x14ac:dyDescent="0.25">
      <c r="A141" s="85"/>
      <c r="B141" s="498"/>
      <c r="C141" s="499"/>
      <c r="D141" s="499"/>
      <c r="E141" s="499"/>
      <c r="F141" s="500"/>
      <c r="G141" s="181"/>
    </row>
    <row r="142" spans="1:7" ht="15" x14ac:dyDescent="0.25">
      <c r="A142" s="85"/>
      <c r="B142" s="204" t="s">
        <v>133</v>
      </c>
      <c r="C142" s="205">
        <f>SUM(C137:C140)</f>
        <v>0</v>
      </c>
      <c r="D142" s="205">
        <f>SUM(D137:D140)</f>
        <v>0</v>
      </c>
      <c r="E142" s="206">
        <f>SUM(E137:E140)</f>
        <v>0</v>
      </c>
      <c r="F142" s="207">
        <f>SUM(F137:F140)</f>
        <v>0</v>
      </c>
      <c r="G142" s="181"/>
    </row>
    <row r="143" spans="1:7" ht="15.75" thickBot="1" x14ac:dyDescent="0.3">
      <c r="A143" s="85"/>
      <c r="B143" s="208" t="s">
        <v>122</v>
      </c>
      <c r="C143" s="209">
        <f>C142-D142</f>
        <v>0</v>
      </c>
      <c r="D143" s="209"/>
      <c r="E143" s="210">
        <f>E142-F142</f>
        <v>0</v>
      </c>
      <c r="F143" s="211"/>
      <c r="G143" s="181"/>
    </row>
    <row r="144" spans="1:7" ht="15" thickBot="1" x14ac:dyDescent="0.25">
      <c r="A144" s="85"/>
      <c r="B144" s="182"/>
      <c r="C144" s="182"/>
      <c r="D144" s="182"/>
      <c r="E144" s="182"/>
      <c r="F144" s="182"/>
      <c r="G144" s="181"/>
    </row>
    <row r="145" spans="1:7" ht="18.75" thickBot="1" x14ac:dyDescent="0.3">
      <c r="A145" s="85"/>
      <c r="B145" s="501" t="s">
        <v>241</v>
      </c>
      <c r="C145" s="502"/>
      <c r="D145" s="502"/>
      <c r="E145" s="502"/>
      <c r="F145" s="503"/>
      <c r="G145" s="181"/>
    </row>
    <row r="146" spans="1:7" ht="15" thickBot="1" x14ac:dyDescent="0.25">
      <c r="A146" s="85"/>
      <c r="B146" s="193"/>
      <c r="C146" s="194" t="s">
        <v>131</v>
      </c>
      <c r="D146" s="195" t="s">
        <v>143</v>
      </c>
      <c r="E146" s="194" t="s">
        <v>132</v>
      </c>
      <c r="F146" s="196" t="s">
        <v>144</v>
      </c>
      <c r="G146" s="181"/>
    </row>
    <row r="147" spans="1:7" ht="15" thickBot="1" x14ac:dyDescent="0.25">
      <c r="A147" s="85"/>
      <c r="B147" s="197" t="s">
        <v>134</v>
      </c>
      <c r="C147" s="198">
        <f>NURS/4</f>
        <v>0</v>
      </c>
      <c r="D147" s="199"/>
      <c r="E147" s="200">
        <f>(NURS*RateNURS)/4</f>
        <v>0</v>
      </c>
      <c r="F147" s="201">
        <f>D147*RateNURS</f>
        <v>0</v>
      </c>
      <c r="G147" s="181"/>
    </row>
    <row r="148" spans="1:7" ht="15" thickBot="1" x14ac:dyDescent="0.25">
      <c r="A148" s="85"/>
      <c r="B148" s="197" t="s">
        <v>135</v>
      </c>
      <c r="C148" s="198">
        <f>NURS/4</f>
        <v>0</v>
      </c>
      <c r="D148" s="199"/>
      <c r="E148" s="200">
        <f>(NURS*RateNURS)/4</f>
        <v>0</v>
      </c>
      <c r="F148" s="201">
        <f>D148*RateNURS</f>
        <v>0</v>
      </c>
      <c r="G148" s="181"/>
    </row>
    <row r="149" spans="1:7" ht="15" thickBot="1" x14ac:dyDescent="0.25">
      <c r="A149" s="85"/>
      <c r="B149" s="197" t="s">
        <v>136</v>
      </c>
      <c r="C149" s="198">
        <f>NURS/4</f>
        <v>0</v>
      </c>
      <c r="D149" s="199"/>
      <c r="E149" s="200">
        <f>(NURS*RateNURS)/4</f>
        <v>0</v>
      </c>
      <c r="F149" s="201">
        <f>D149*RateNURS</f>
        <v>0</v>
      </c>
      <c r="G149" s="181"/>
    </row>
    <row r="150" spans="1:7" ht="15" thickBot="1" x14ac:dyDescent="0.25">
      <c r="A150" s="85"/>
      <c r="B150" s="202" t="s">
        <v>137</v>
      </c>
      <c r="C150" s="198">
        <f>NURS/4</f>
        <v>0</v>
      </c>
      <c r="D150" s="203"/>
      <c r="E150" s="200">
        <f>(NURS*RateNURS)/4</f>
        <v>0</v>
      </c>
      <c r="F150" s="201">
        <f>D150*RateNURS</f>
        <v>0</v>
      </c>
      <c r="G150" s="181"/>
    </row>
    <row r="151" spans="1:7" ht="15" thickBot="1" x14ac:dyDescent="0.25">
      <c r="A151" s="85"/>
      <c r="B151" s="498"/>
      <c r="C151" s="499"/>
      <c r="D151" s="499"/>
      <c r="E151" s="499"/>
      <c r="F151" s="500"/>
      <c r="G151" s="181"/>
    </row>
    <row r="152" spans="1:7" ht="15" x14ac:dyDescent="0.25">
      <c r="A152" s="85"/>
      <c r="B152" s="204" t="s">
        <v>133</v>
      </c>
      <c r="C152" s="205">
        <f>SUM(C147:C150)</f>
        <v>0</v>
      </c>
      <c r="D152" s="205">
        <f>SUM(D147:D150)</f>
        <v>0</v>
      </c>
      <c r="E152" s="206">
        <f>SUM(E147:E150)</f>
        <v>0</v>
      </c>
      <c r="F152" s="207">
        <f>SUM(F147:F150)</f>
        <v>0</v>
      </c>
      <c r="G152" s="181"/>
    </row>
    <row r="153" spans="1:7" ht="15.75" thickBot="1" x14ac:dyDescent="0.3">
      <c r="A153" s="85"/>
      <c r="B153" s="208" t="s">
        <v>122</v>
      </c>
      <c r="C153" s="209">
        <f>C152-D152</f>
        <v>0</v>
      </c>
      <c r="D153" s="209"/>
      <c r="E153" s="210">
        <f>E152-F152</f>
        <v>0</v>
      </c>
      <c r="F153" s="211"/>
      <c r="G153" s="181"/>
    </row>
    <row r="154" spans="1:7" ht="15" thickBot="1" x14ac:dyDescent="0.25">
      <c r="A154" s="85"/>
      <c r="B154" s="182"/>
      <c r="C154" s="182"/>
      <c r="D154" s="182"/>
      <c r="E154" s="182"/>
      <c r="F154" s="182"/>
      <c r="G154" s="181"/>
    </row>
    <row r="155" spans="1:7" ht="18.75" thickBot="1" x14ac:dyDescent="0.3">
      <c r="A155" s="85"/>
      <c r="B155" s="501" t="s">
        <v>243</v>
      </c>
      <c r="C155" s="502"/>
      <c r="D155" s="502"/>
      <c r="E155" s="502"/>
      <c r="F155" s="503"/>
      <c r="G155" s="181"/>
    </row>
    <row r="156" spans="1:7" ht="15" thickBot="1" x14ac:dyDescent="0.25">
      <c r="A156" s="85"/>
      <c r="B156" s="193"/>
      <c r="C156" s="194" t="s">
        <v>131</v>
      </c>
      <c r="D156" s="195" t="s">
        <v>143</v>
      </c>
      <c r="E156" s="194" t="s">
        <v>132</v>
      </c>
      <c r="F156" s="196" t="s">
        <v>144</v>
      </c>
      <c r="G156" s="181"/>
    </row>
    <row r="157" spans="1:7" ht="15" thickBot="1" x14ac:dyDescent="0.25">
      <c r="A157" s="85"/>
      <c r="B157" s="197" t="s">
        <v>134</v>
      </c>
      <c r="C157" s="198">
        <f>NULS/4</f>
        <v>0</v>
      </c>
      <c r="D157" s="199"/>
      <c r="E157" s="200">
        <f>(NULS*RateNULS)/4</f>
        <v>0</v>
      </c>
      <c r="F157" s="201">
        <f>D157*RateNULS</f>
        <v>0</v>
      </c>
      <c r="G157" s="181"/>
    </row>
    <row r="158" spans="1:7" ht="15" thickBot="1" x14ac:dyDescent="0.25">
      <c r="A158" s="85"/>
      <c r="B158" s="197" t="s">
        <v>135</v>
      </c>
      <c r="C158" s="198">
        <f>NULS/4</f>
        <v>0</v>
      </c>
      <c r="D158" s="199"/>
      <c r="E158" s="200">
        <f>(NULS*RateNULS)/4</f>
        <v>0</v>
      </c>
      <c r="F158" s="201">
        <f>D158*RateNULS</f>
        <v>0</v>
      </c>
      <c r="G158" s="181"/>
    </row>
    <row r="159" spans="1:7" ht="15" thickBot="1" x14ac:dyDescent="0.25">
      <c r="A159" s="85"/>
      <c r="B159" s="197" t="s">
        <v>136</v>
      </c>
      <c r="C159" s="198">
        <f>NULS/4</f>
        <v>0</v>
      </c>
      <c r="D159" s="199"/>
      <c r="E159" s="200">
        <f>(NULS*RateNULS)/4</f>
        <v>0</v>
      </c>
      <c r="F159" s="201">
        <f>D159*RateNULS</f>
        <v>0</v>
      </c>
      <c r="G159" s="181"/>
    </row>
    <row r="160" spans="1:7" ht="15" thickBot="1" x14ac:dyDescent="0.25">
      <c r="A160" s="85"/>
      <c r="B160" s="202" t="s">
        <v>137</v>
      </c>
      <c r="C160" s="198">
        <f>NULS/4</f>
        <v>0</v>
      </c>
      <c r="D160" s="203"/>
      <c r="E160" s="200">
        <f>(NULS*RateNULS)/4</f>
        <v>0</v>
      </c>
      <c r="F160" s="201">
        <f>D160*RateNULS</f>
        <v>0</v>
      </c>
      <c r="G160" s="181"/>
    </row>
    <row r="161" spans="1:7" ht="4.5" customHeight="1" thickBot="1" x14ac:dyDescent="0.25">
      <c r="A161" s="85"/>
      <c r="B161" s="498"/>
      <c r="C161" s="499"/>
      <c r="D161" s="499"/>
      <c r="E161" s="499"/>
      <c r="F161" s="500"/>
      <c r="G161" s="181"/>
    </row>
    <row r="162" spans="1:7" ht="15" x14ac:dyDescent="0.25">
      <c r="A162" s="85"/>
      <c r="B162" s="204" t="s">
        <v>133</v>
      </c>
      <c r="C162" s="205">
        <f>SUM(C157:C160)</f>
        <v>0</v>
      </c>
      <c r="D162" s="205">
        <f>SUM(D157:D160)</f>
        <v>0</v>
      </c>
      <c r="E162" s="206">
        <f>SUM(E157:E160)</f>
        <v>0</v>
      </c>
      <c r="F162" s="207">
        <f>SUM(F157:F160)</f>
        <v>0</v>
      </c>
      <c r="G162" s="181"/>
    </row>
    <row r="163" spans="1:7" ht="15.75" thickBot="1" x14ac:dyDescent="0.3">
      <c r="A163" s="85"/>
      <c r="B163" s="208" t="s">
        <v>122</v>
      </c>
      <c r="C163" s="209">
        <f>C162-D162</f>
        <v>0</v>
      </c>
      <c r="D163" s="209"/>
      <c r="E163" s="210">
        <f>E162-F162</f>
        <v>0</v>
      </c>
      <c r="F163" s="211"/>
      <c r="G163" s="181"/>
    </row>
    <row r="164" spans="1:7" ht="15.75" thickBot="1" x14ac:dyDescent="0.3">
      <c r="A164" s="85"/>
      <c r="B164" s="235"/>
      <c r="C164" s="235"/>
      <c r="D164" s="235"/>
      <c r="E164" s="236"/>
      <c r="F164" s="236"/>
      <c r="G164" s="181"/>
    </row>
    <row r="165" spans="1:7" ht="18.75" thickBot="1" x14ac:dyDescent="0.3">
      <c r="A165" s="85"/>
      <c r="B165" s="501" t="s">
        <v>227</v>
      </c>
      <c r="C165" s="502"/>
      <c r="D165" s="502"/>
      <c r="E165" s="502"/>
      <c r="F165" s="503"/>
      <c r="G165" s="181"/>
    </row>
    <row r="166" spans="1:7" ht="15" thickBot="1" x14ac:dyDescent="0.25">
      <c r="A166" s="85"/>
      <c r="B166" s="193"/>
      <c r="C166" s="255" t="s">
        <v>131</v>
      </c>
      <c r="D166" s="257" t="s">
        <v>143</v>
      </c>
      <c r="E166" s="194" t="s">
        <v>132</v>
      </c>
      <c r="F166" s="196" t="s">
        <v>144</v>
      </c>
      <c r="G166" s="181"/>
    </row>
    <row r="167" spans="1:7" ht="15" thickBot="1" x14ac:dyDescent="0.25">
      <c r="A167" s="85"/>
      <c r="B167" s="197" t="s">
        <v>134</v>
      </c>
      <c r="C167" s="256"/>
      <c r="D167" s="258"/>
      <c r="E167" s="200">
        <f>(AuthDental)/4</f>
        <v>0</v>
      </c>
      <c r="F167" s="241"/>
      <c r="G167" s="181"/>
    </row>
    <row r="168" spans="1:7" ht="15" thickBot="1" x14ac:dyDescent="0.25">
      <c r="A168" s="85"/>
      <c r="B168" s="197" t="s">
        <v>135</v>
      </c>
      <c r="C168" s="256"/>
      <c r="D168" s="258"/>
      <c r="E168" s="200">
        <f>(AuthDental)/4</f>
        <v>0</v>
      </c>
      <c r="F168" s="241"/>
      <c r="G168" s="181"/>
    </row>
    <row r="169" spans="1:7" ht="15" thickBot="1" x14ac:dyDescent="0.25">
      <c r="A169" s="85"/>
      <c r="B169" s="197" t="s">
        <v>136</v>
      </c>
      <c r="C169" s="256"/>
      <c r="D169" s="258"/>
      <c r="E169" s="200">
        <f>(AuthDental)/4</f>
        <v>0</v>
      </c>
      <c r="F169" s="241"/>
      <c r="G169" s="181"/>
    </row>
    <row r="170" spans="1:7" ht="15" thickBot="1" x14ac:dyDescent="0.25">
      <c r="A170" s="85"/>
      <c r="B170" s="202" t="s">
        <v>137</v>
      </c>
      <c r="C170" s="256"/>
      <c r="D170" s="259"/>
      <c r="E170" s="200">
        <f>(AuthDental)/4</f>
        <v>0</v>
      </c>
      <c r="F170" s="241"/>
      <c r="G170" s="181"/>
    </row>
    <row r="171" spans="1:7" ht="5.25" customHeight="1" thickBot="1" x14ac:dyDescent="0.25">
      <c r="A171" s="85"/>
      <c r="B171" s="498"/>
      <c r="C171" s="499"/>
      <c r="D171" s="504"/>
      <c r="E171" s="499"/>
      <c r="F171" s="505"/>
      <c r="G171" s="181"/>
    </row>
    <row r="172" spans="1:7" ht="15" x14ac:dyDescent="0.25">
      <c r="A172" s="85"/>
      <c r="B172" s="204" t="s">
        <v>133</v>
      </c>
      <c r="C172" s="205">
        <f>SUM(C167:C170)</f>
        <v>0</v>
      </c>
      <c r="D172" s="205">
        <f>SUM(D167:D170)</f>
        <v>0</v>
      </c>
      <c r="E172" s="206">
        <f>SUM(E167:E170)</f>
        <v>0</v>
      </c>
      <c r="F172" s="207">
        <f>SUM(F167:F170)</f>
        <v>0</v>
      </c>
      <c r="G172" s="181"/>
    </row>
    <row r="173" spans="1:7" ht="15.75" thickBot="1" x14ac:dyDescent="0.3">
      <c r="A173" s="85"/>
      <c r="B173" s="208" t="s">
        <v>122</v>
      </c>
      <c r="C173" s="209">
        <f>C172-D172</f>
        <v>0</v>
      </c>
      <c r="D173" s="209"/>
      <c r="E173" s="210">
        <f>E172-F172</f>
        <v>0</v>
      </c>
      <c r="F173" s="211"/>
      <c r="G173" s="181"/>
    </row>
    <row r="174" spans="1:7" ht="15.75" thickBot="1" x14ac:dyDescent="0.3">
      <c r="A174" s="85"/>
      <c r="B174" s="235"/>
      <c r="C174" s="235"/>
      <c r="D174" s="235"/>
      <c r="E174" s="236"/>
      <c r="F174" s="236"/>
      <c r="G174" s="181"/>
    </row>
    <row r="175" spans="1:7" ht="18.75" thickBot="1" x14ac:dyDescent="0.3">
      <c r="A175" s="85"/>
      <c r="B175" s="501" t="s">
        <v>228</v>
      </c>
      <c r="C175" s="502"/>
      <c r="D175" s="502"/>
      <c r="E175" s="502"/>
      <c r="F175" s="503"/>
      <c r="G175" s="181"/>
    </row>
    <row r="176" spans="1:7" ht="15" thickBot="1" x14ac:dyDescent="0.25">
      <c r="A176" s="85"/>
      <c r="B176" s="193"/>
      <c r="C176" s="255" t="s">
        <v>131</v>
      </c>
      <c r="D176" s="257" t="s">
        <v>143</v>
      </c>
      <c r="E176" s="194" t="s">
        <v>132</v>
      </c>
      <c r="F176" s="196" t="s">
        <v>144</v>
      </c>
      <c r="G176" s="181"/>
    </row>
    <row r="177" spans="1:7" ht="15" thickBot="1" x14ac:dyDescent="0.25">
      <c r="A177" s="85"/>
      <c r="B177" s="197" t="s">
        <v>134</v>
      </c>
      <c r="C177" s="256"/>
      <c r="D177" s="258"/>
      <c r="E177" s="200">
        <f>(AuthAA)/4</f>
        <v>0</v>
      </c>
      <c r="F177" s="241"/>
      <c r="G177" s="181"/>
    </row>
    <row r="178" spans="1:7" ht="15" thickBot="1" x14ac:dyDescent="0.25">
      <c r="A178" s="85"/>
      <c r="B178" s="197" t="s">
        <v>135</v>
      </c>
      <c r="C178" s="256"/>
      <c r="D178" s="258"/>
      <c r="E178" s="200">
        <f>(AuthAA)/4</f>
        <v>0</v>
      </c>
      <c r="F178" s="241"/>
      <c r="G178" s="181"/>
    </row>
    <row r="179" spans="1:7" ht="15" thickBot="1" x14ac:dyDescent="0.25">
      <c r="A179" s="85"/>
      <c r="B179" s="197" t="s">
        <v>136</v>
      </c>
      <c r="C179" s="256"/>
      <c r="D179" s="258"/>
      <c r="E179" s="200">
        <f>(AuthAA)/4</f>
        <v>0</v>
      </c>
      <c r="F179" s="241"/>
      <c r="G179" s="181"/>
    </row>
    <row r="180" spans="1:7" ht="15" thickBot="1" x14ac:dyDescent="0.25">
      <c r="A180" s="85"/>
      <c r="B180" s="202" t="s">
        <v>137</v>
      </c>
      <c r="C180" s="256"/>
      <c r="D180" s="259"/>
      <c r="E180" s="200">
        <f>(AuthAA)/4</f>
        <v>0</v>
      </c>
      <c r="F180" s="241"/>
      <c r="G180" s="181"/>
    </row>
    <row r="181" spans="1:7" ht="5.25" customHeight="1" thickBot="1" x14ac:dyDescent="0.25">
      <c r="A181" s="85"/>
      <c r="B181" s="498"/>
      <c r="C181" s="499"/>
      <c r="D181" s="504"/>
      <c r="E181" s="499"/>
      <c r="F181" s="505"/>
      <c r="G181" s="181"/>
    </row>
    <row r="182" spans="1:7" ht="15" x14ac:dyDescent="0.25">
      <c r="A182" s="85"/>
      <c r="B182" s="204" t="s">
        <v>133</v>
      </c>
      <c r="C182" s="205">
        <f>SUM(C177:C180)</f>
        <v>0</v>
      </c>
      <c r="D182" s="205">
        <f>SUM(D177:D180)</f>
        <v>0</v>
      </c>
      <c r="E182" s="206">
        <f>SUM(E177:E180)</f>
        <v>0</v>
      </c>
      <c r="F182" s="207">
        <f>SUM(F177:F180)</f>
        <v>0</v>
      </c>
      <c r="G182" s="181"/>
    </row>
    <row r="183" spans="1:7" ht="15.75" thickBot="1" x14ac:dyDescent="0.3">
      <c r="A183" s="85"/>
      <c r="B183" s="208" t="s">
        <v>122</v>
      </c>
      <c r="C183" s="209">
        <f>C182-D182</f>
        <v>0</v>
      </c>
      <c r="D183" s="209"/>
      <c r="E183" s="210">
        <f>E182-F182</f>
        <v>0</v>
      </c>
      <c r="F183" s="211"/>
      <c r="G183" s="181"/>
    </row>
    <row r="184" spans="1:7" ht="15.75" thickBot="1" x14ac:dyDescent="0.3">
      <c r="A184" s="85"/>
      <c r="B184" s="235"/>
      <c r="C184" s="235"/>
      <c r="D184" s="235"/>
      <c r="E184" s="236"/>
      <c r="F184" s="236"/>
      <c r="G184" s="181"/>
    </row>
    <row r="185" spans="1:7" ht="18.75" thickBot="1" x14ac:dyDescent="0.3">
      <c r="A185" s="85"/>
      <c r="B185" s="501" t="s">
        <v>233</v>
      </c>
      <c r="C185" s="502"/>
      <c r="D185" s="502"/>
      <c r="E185" s="502"/>
      <c r="F185" s="503"/>
      <c r="G185" s="181"/>
    </row>
    <row r="186" spans="1:7" ht="15" thickBot="1" x14ac:dyDescent="0.25">
      <c r="A186" s="85"/>
      <c r="B186" s="193"/>
      <c r="C186" s="255" t="s">
        <v>131</v>
      </c>
      <c r="D186" s="257" t="s">
        <v>143</v>
      </c>
      <c r="E186" s="194" t="s">
        <v>132</v>
      </c>
      <c r="F186" s="196" t="s">
        <v>144</v>
      </c>
      <c r="G186" s="181"/>
    </row>
    <row r="187" spans="1:7" ht="15" thickBot="1" x14ac:dyDescent="0.25">
      <c r="A187" s="85"/>
      <c r="B187" s="197" t="s">
        <v>134</v>
      </c>
      <c r="C187" s="256"/>
      <c r="D187" s="258"/>
      <c r="E187" s="200">
        <f>(AuthMHM)/4</f>
        <v>0</v>
      </c>
      <c r="F187" s="241"/>
      <c r="G187" s="181"/>
    </row>
    <row r="188" spans="1:7" ht="15" thickBot="1" x14ac:dyDescent="0.25">
      <c r="A188" s="85"/>
      <c r="B188" s="197" t="s">
        <v>135</v>
      </c>
      <c r="C188" s="256"/>
      <c r="D188" s="258"/>
      <c r="E188" s="200">
        <f>(AuthMHM)/4</f>
        <v>0</v>
      </c>
      <c r="F188" s="241"/>
      <c r="G188" s="181"/>
    </row>
    <row r="189" spans="1:7" ht="15" thickBot="1" x14ac:dyDescent="0.25">
      <c r="A189" s="85"/>
      <c r="B189" s="197" t="s">
        <v>136</v>
      </c>
      <c r="C189" s="256"/>
      <c r="D189" s="258"/>
      <c r="E189" s="200">
        <f>(AuthMHM)/4</f>
        <v>0</v>
      </c>
      <c r="F189" s="241"/>
      <c r="G189" s="181"/>
    </row>
    <row r="190" spans="1:7" ht="15" thickBot="1" x14ac:dyDescent="0.25">
      <c r="A190" s="85"/>
      <c r="B190" s="202" t="s">
        <v>137</v>
      </c>
      <c r="C190" s="256"/>
      <c r="D190" s="259"/>
      <c r="E190" s="200">
        <f>(AuthMHM)/4</f>
        <v>0</v>
      </c>
      <c r="F190" s="241"/>
      <c r="G190" s="181"/>
    </row>
    <row r="191" spans="1:7" ht="5.25" customHeight="1" thickBot="1" x14ac:dyDescent="0.25">
      <c r="A191" s="85"/>
      <c r="B191" s="498"/>
      <c r="C191" s="499"/>
      <c r="D191" s="504"/>
      <c r="E191" s="499"/>
      <c r="F191" s="505"/>
      <c r="G191" s="181"/>
    </row>
    <row r="192" spans="1:7" ht="15" x14ac:dyDescent="0.25">
      <c r="A192" s="85"/>
      <c r="B192" s="204" t="s">
        <v>133</v>
      </c>
      <c r="C192" s="205">
        <f>SUM(C187:C190)</f>
        <v>0</v>
      </c>
      <c r="D192" s="205">
        <f>SUM(D187:D190)</f>
        <v>0</v>
      </c>
      <c r="E192" s="206">
        <f>SUM(E187:E190)</f>
        <v>0</v>
      </c>
      <c r="F192" s="207">
        <f>SUM(F187:F190)</f>
        <v>0</v>
      </c>
      <c r="G192" s="181"/>
    </row>
    <row r="193" spans="1:7" ht="15.75" thickBot="1" x14ac:dyDescent="0.3">
      <c r="A193" s="85"/>
      <c r="B193" s="208" t="s">
        <v>122</v>
      </c>
      <c r="C193" s="209">
        <f>C192-D192</f>
        <v>0</v>
      </c>
      <c r="D193" s="209"/>
      <c r="E193" s="210">
        <f>E192-F192</f>
        <v>0</v>
      </c>
      <c r="F193" s="211"/>
      <c r="G193" s="181"/>
    </row>
    <row r="194" spans="1:7" ht="15.75" thickBot="1" x14ac:dyDescent="0.3">
      <c r="A194" s="85"/>
      <c r="B194" s="235"/>
      <c r="C194" s="235"/>
      <c r="D194" s="235"/>
      <c r="E194" s="236"/>
      <c r="F194" s="236"/>
      <c r="G194" s="181"/>
    </row>
    <row r="195" spans="1:7" ht="18.75" thickBot="1" x14ac:dyDescent="0.3">
      <c r="A195" s="85"/>
      <c r="B195" s="501" t="s">
        <v>223</v>
      </c>
      <c r="C195" s="502"/>
      <c r="D195" s="502"/>
      <c r="E195" s="502"/>
      <c r="F195" s="503"/>
      <c r="G195" s="181"/>
    </row>
    <row r="196" spans="1:7" ht="15" thickBot="1" x14ac:dyDescent="0.25">
      <c r="A196" s="85"/>
      <c r="B196" s="193"/>
      <c r="C196" s="237" t="s">
        <v>131</v>
      </c>
      <c r="D196" s="238" t="s">
        <v>143</v>
      </c>
      <c r="E196" s="194" t="s">
        <v>132</v>
      </c>
      <c r="F196" s="196" t="s">
        <v>144</v>
      </c>
      <c r="G196" s="181"/>
    </row>
    <row r="197" spans="1:7" ht="15" thickBot="1" x14ac:dyDescent="0.25">
      <c r="A197" s="85"/>
      <c r="B197" s="197" t="s">
        <v>134</v>
      </c>
      <c r="C197" s="239"/>
      <c r="D197" s="240"/>
      <c r="E197" s="200">
        <f>ESS_Purchases/4</f>
        <v>0</v>
      </c>
      <c r="F197" s="241"/>
      <c r="G197" s="181"/>
    </row>
    <row r="198" spans="1:7" ht="15" thickBot="1" x14ac:dyDescent="0.25">
      <c r="A198" s="85"/>
      <c r="B198" s="197" t="s">
        <v>135</v>
      </c>
      <c r="C198" s="239"/>
      <c r="D198" s="240"/>
      <c r="E198" s="200">
        <f>ESS_Purchases/4</f>
        <v>0</v>
      </c>
      <c r="F198" s="241"/>
      <c r="G198" s="181"/>
    </row>
    <row r="199" spans="1:7" ht="15" thickBot="1" x14ac:dyDescent="0.25">
      <c r="A199" s="85"/>
      <c r="B199" s="197" t="s">
        <v>136</v>
      </c>
      <c r="C199" s="239"/>
      <c r="D199" s="240"/>
      <c r="E199" s="200">
        <f>ESS_Purchases/4</f>
        <v>0</v>
      </c>
      <c r="F199" s="241"/>
      <c r="G199" s="181"/>
    </row>
    <row r="200" spans="1:7" ht="15" thickBot="1" x14ac:dyDescent="0.25">
      <c r="A200" s="85"/>
      <c r="B200" s="202" t="s">
        <v>137</v>
      </c>
      <c r="C200" s="242"/>
      <c r="D200" s="243"/>
      <c r="E200" s="200">
        <f>ESS_Purchases/4</f>
        <v>0</v>
      </c>
      <c r="F200" s="241"/>
      <c r="G200" s="181"/>
    </row>
    <row r="201" spans="1:7" ht="4.5" customHeight="1" thickBot="1" x14ac:dyDescent="0.25">
      <c r="A201" s="85"/>
      <c r="B201" s="498"/>
      <c r="C201" s="499"/>
      <c r="D201" s="504"/>
      <c r="E201" s="499"/>
      <c r="F201" s="505"/>
      <c r="G201" s="181"/>
    </row>
    <row r="202" spans="1:7" ht="15" x14ac:dyDescent="0.25">
      <c r="A202" s="85"/>
      <c r="B202" s="204" t="s">
        <v>133</v>
      </c>
      <c r="C202" s="205">
        <f>SUM(C197:C200)</f>
        <v>0</v>
      </c>
      <c r="D202" s="205">
        <f>SUM(D197:D200)</f>
        <v>0</v>
      </c>
      <c r="E202" s="206">
        <f>SUM(E197:E200)</f>
        <v>0</v>
      </c>
      <c r="F202" s="207">
        <f>SUM(F197:F200)</f>
        <v>0</v>
      </c>
      <c r="G202" s="181"/>
    </row>
    <row r="203" spans="1:7" ht="15.75" thickBot="1" x14ac:dyDescent="0.3">
      <c r="A203" s="85"/>
      <c r="B203" s="208" t="s">
        <v>122</v>
      </c>
      <c r="C203" s="209">
        <f>C202-D202</f>
        <v>0</v>
      </c>
      <c r="D203" s="209"/>
      <c r="E203" s="210">
        <f>E202-F202</f>
        <v>0</v>
      </c>
      <c r="F203" s="211"/>
      <c r="G203" s="181"/>
    </row>
    <row r="204" spans="1:7" ht="15.75" thickBot="1" x14ac:dyDescent="0.3">
      <c r="A204" s="85"/>
      <c r="B204" s="235"/>
      <c r="C204" s="235"/>
      <c r="D204" s="235"/>
      <c r="E204" s="236"/>
      <c r="F204" s="236"/>
      <c r="G204" s="181"/>
    </row>
    <row r="205" spans="1:7" ht="18.75" thickBot="1" x14ac:dyDescent="0.3">
      <c r="A205" s="85"/>
      <c r="B205" s="501" t="s">
        <v>224</v>
      </c>
      <c r="C205" s="502"/>
      <c r="D205" s="502"/>
      <c r="E205" s="502"/>
      <c r="F205" s="503"/>
      <c r="G205" s="181"/>
    </row>
    <row r="206" spans="1:7" ht="15" thickBot="1" x14ac:dyDescent="0.25">
      <c r="A206" s="85"/>
      <c r="B206" s="193"/>
      <c r="C206" s="194" t="s">
        <v>131</v>
      </c>
      <c r="D206" s="195" t="s">
        <v>143</v>
      </c>
      <c r="E206" s="194" t="s">
        <v>132</v>
      </c>
      <c r="F206" s="244" t="s">
        <v>144</v>
      </c>
      <c r="G206" s="181"/>
    </row>
    <row r="207" spans="1:7" ht="15" thickBot="1" x14ac:dyDescent="0.25">
      <c r="A207" s="85"/>
      <c r="B207" s="197" t="s">
        <v>134</v>
      </c>
      <c r="C207" s="198">
        <f>AuthSCS/4</f>
        <v>0</v>
      </c>
      <c r="D207" s="199"/>
      <c r="E207" s="200">
        <f>Total_SC_Costs/4</f>
        <v>0</v>
      </c>
      <c r="F207" s="245">
        <f>D207*'[1]ESS &amp; Non-Taxable'!J26</f>
        <v>0</v>
      </c>
      <c r="G207" s="181"/>
    </row>
    <row r="208" spans="1:7" ht="15" thickBot="1" x14ac:dyDescent="0.25">
      <c r="A208" s="85"/>
      <c r="B208" s="197" t="s">
        <v>135</v>
      </c>
      <c r="C208" s="198">
        <f>AuthSCS/4</f>
        <v>0</v>
      </c>
      <c r="D208" s="199"/>
      <c r="E208" s="200">
        <f>Total_SC_Costs/4</f>
        <v>0</v>
      </c>
      <c r="F208" s="245">
        <f>D208*'[1]ESS &amp; Non-Taxable'!J26</f>
        <v>0</v>
      </c>
      <c r="G208" s="181"/>
    </row>
    <row r="209" spans="1:7" ht="15" thickBot="1" x14ac:dyDescent="0.25">
      <c r="A209" s="85"/>
      <c r="B209" s="197" t="s">
        <v>136</v>
      </c>
      <c r="C209" s="198">
        <f>AuthSCS/4</f>
        <v>0</v>
      </c>
      <c r="D209" s="199"/>
      <c r="E209" s="200">
        <f>Total_SC_Costs/4</f>
        <v>0</v>
      </c>
      <c r="F209" s="245">
        <f>D209*'[1]ESS &amp; Non-Taxable'!J26</f>
        <v>0</v>
      </c>
      <c r="G209" s="181"/>
    </row>
    <row r="210" spans="1:7" ht="15" thickBot="1" x14ac:dyDescent="0.25">
      <c r="A210" s="85"/>
      <c r="B210" s="202" t="s">
        <v>137</v>
      </c>
      <c r="C210" s="198">
        <f>AuthSCS/4</f>
        <v>0</v>
      </c>
      <c r="D210" s="199"/>
      <c r="E210" s="200">
        <f>Total_SC_Costs/4</f>
        <v>0</v>
      </c>
      <c r="F210" s="245">
        <f>D210*'[1]ESS &amp; Non-Taxable'!J26</f>
        <v>0</v>
      </c>
      <c r="G210" s="181"/>
    </row>
    <row r="211" spans="1:7" ht="4.5" customHeight="1" thickBot="1" x14ac:dyDescent="0.25">
      <c r="A211" s="85"/>
      <c r="B211" s="498"/>
      <c r="C211" s="499"/>
      <c r="D211" s="504"/>
      <c r="E211" s="499"/>
      <c r="F211" s="505"/>
      <c r="G211" s="181"/>
    </row>
    <row r="212" spans="1:7" ht="15" x14ac:dyDescent="0.25">
      <c r="A212" s="85"/>
      <c r="B212" s="204" t="s">
        <v>133</v>
      </c>
      <c r="C212" s="205">
        <f>SUM(C207:C210)</f>
        <v>0</v>
      </c>
      <c r="D212" s="205">
        <f>SUM(D207:D210)</f>
        <v>0</v>
      </c>
      <c r="E212" s="206">
        <f>SUM(E207:E210)</f>
        <v>0</v>
      </c>
      <c r="F212" s="207">
        <f>SUM(F207:F210)</f>
        <v>0</v>
      </c>
      <c r="G212" s="181"/>
    </row>
    <row r="213" spans="1:7" ht="15.75" thickBot="1" x14ac:dyDescent="0.3">
      <c r="A213" s="85"/>
      <c r="B213" s="208" t="s">
        <v>122</v>
      </c>
      <c r="C213" s="209">
        <f>C212-D212</f>
        <v>0</v>
      </c>
      <c r="D213" s="209"/>
      <c r="E213" s="210">
        <f>E212-F212</f>
        <v>0</v>
      </c>
      <c r="F213" s="211"/>
      <c r="G213" s="181"/>
    </row>
    <row r="214" spans="1:7" ht="15.75" thickBot="1" x14ac:dyDescent="0.3">
      <c r="A214" s="85"/>
      <c r="B214" s="235"/>
      <c r="C214" s="235"/>
      <c r="D214" s="235"/>
      <c r="E214" s="236"/>
      <c r="F214" s="236"/>
      <c r="G214" s="181"/>
    </row>
    <row r="215" spans="1:7" ht="18.75" thickBot="1" x14ac:dyDescent="0.3">
      <c r="A215" s="85"/>
      <c r="B215" s="501" t="s">
        <v>89</v>
      </c>
      <c r="C215" s="508"/>
      <c r="D215" s="508"/>
      <c r="E215" s="502"/>
      <c r="F215" s="503"/>
      <c r="G215" s="181"/>
    </row>
    <row r="216" spans="1:7" ht="15" thickBot="1" x14ac:dyDescent="0.25">
      <c r="A216" s="85"/>
      <c r="B216" s="193"/>
      <c r="C216" s="240" t="s">
        <v>131</v>
      </c>
      <c r="D216" s="240" t="s">
        <v>143</v>
      </c>
      <c r="E216" s="246" t="s">
        <v>132</v>
      </c>
      <c r="F216" s="196" t="s">
        <v>144</v>
      </c>
      <c r="G216" s="181"/>
    </row>
    <row r="217" spans="1:7" ht="15" thickBot="1" x14ac:dyDescent="0.25">
      <c r="A217" s="85"/>
      <c r="B217" s="197" t="s">
        <v>134</v>
      </c>
      <c r="C217" s="240"/>
      <c r="D217" s="247"/>
      <c r="E217" s="200">
        <f>Non_Taxable/4</f>
        <v>0</v>
      </c>
      <c r="F217" s="241"/>
      <c r="G217" s="181"/>
    </row>
    <row r="218" spans="1:7" ht="15" thickBot="1" x14ac:dyDescent="0.25">
      <c r="A218" s="85"/>
      <c r="B218" s="197" t="s">
        <v>135</v>
      </c>
      <c r="C218" s="240"/>
      <c r="D218" s="247"/>
      <c r="E218" s="200">
        <f>Non_Taxable/4</f>
        <v>0</v>
      </c>
      <c r="F218" s="241"/>
      <c r="G218" s="181"/>
    </row>
    <row r="219" spans="1:7" ht="15" thickBot="1" x14ac:dyDescent="0.25">
      <c r="A219" s="85"/>
      <c r="B219" s="197" t="s">
        <v>136</v>
      </c>
      <c r="C219" s="240"/>
      <c r="D219" s="247"/>
      <c r="E219" s="200">
        <f>Non_Taxable/4</f>
        <v>0</v>
      </c>
      <c r="F219" s="241"/>
      <c r="G219" s="181"/>
    </row>
    <row r="220" spans="1:7" ht="15" thickBot="1" x14ac:dyDescent="0.25">
      <c r="A220" s="85"/>
      <c r="B220" s="202" t="s">
        <v>137</v>
      </c>
      <c r="C220" s="243"/>
      <c r="D220" s="248"/>
      <c r="E220" s="200">
        <f>Non_Taxable/4</f>
        <v>0</v>
      </c>
      <c r="F220" s="241"/>
      <c r="G220" s="181"/>
    </row>
    <row r="221" spans="1:7" ht="4.5" customHeight="1" thickBot="1" x14ac:dyDescent="0.25">
      <c r="A221" s="85"/>
      <c r="B221" s="498"/>
      <c r="C221" s="504"/>
      <c r="D221" s="504"/>
      <c r="E221" s="499"/>
      <c r="F221" s="505"/>
      <c r="G221" s="181"/>
    </row>
    <row r="222" spans="1:7" ht="15" x14ac:dyDescent="0.25">
      <c r="A222" s="85"/>
      <c r="B222" s="204" t="s">
        <v>133</v>
      </c>
      <c r="C222" s="205">
        <f>SUM(C217:C220)</f>
        <v>0</v>
      </c>
      <c r="D222" s="205">
        <f>SUM(D217:D220)</f>
        <v>0</v>
      </c>
      <c r="E222" s="206">
        <f>SUM(E217:E220)</f>
        <v>0</v>
      </c>
      <c r="F222" s="207">
        <f>SUM(F217:F220)</f>
        <v>0</v>
      </c>
      <c r="G222" s="181"/>
    </row>
    <row r="223" spans="1:7" ht="15.75" thickBot="1" x14ac:dyDescent="0.3">
      <c r="A223" s="85"/>
      <c r="B223" s="208" t="s">
        <v>122</v>
      </c>
      <c r="C223" s="209">
        <f>C222-D222</f>
        <v>0</v>
      </c>
      <c r="D223" s="209"/>
      <c r="E223" s="210">
        <f>E222-F222</f>
        <v>0</v>
      </c>
      <c r="F223" s="211"/>
      <c r="G223" s="181"/>
    </row>
    <row r="224" spans="1:7" ht="15.75" thickBot="1" x14ac:dyDescent="0.3">
      <c r="A224" s="85"/>
      <c r="B224" s="179"/>
      <c r="C224" s="515"/>
      <c r="D224" s="515"/>
      <c r="E224" s="119"/>
      <c r="F224" s="4"/>
      <c r="G224" s="181"/>
    </row>
    <row r="225" spans="1:12" ht="21" thickBot="1" x14ac:dyDescent="0.35">
      <c r="A225" s="85"/>
      <c r="B225" s="516" t="s">
        <v>139</v>
      </c>
      <c r="C225" s="517"/>
      <c r="D225" s="517"/>
      <c r="E225" s="517"/>
      <c r="F225" s="518"/>
      <c r="G225" s="181"/>
    </row>
    <row r="226" spans="1:12" ht="14.25" x14ac:dyDescent="0.2">
      <c r="A226" s="85"/>
      <c r="B226" s="212"/>
      <c r="C226" s="519" t="s">
        <v>132</v>
      </c>
      <c r="D226" s="519"/>
      <c r="E226" s="513" t="s">
        <v>144</v>
      </c>
      <c r="F226" s="514"/>
      <c r="G226" s="184"/>
      <c r="K226"/>
      <c r="L226"/>
    </row>
    <row r="227" spans="1:12" ht="14.25" x14ac:dyDescent="0.2">
      <c r="A227" s="85"/>
      <c r="B227" s="197" t="s">
        <v>134</v>
      </c>
      <c r="C227" s="549">
        <f>Total_Budget/4</f>
        <v>0</v>
      </c>
      <c r="D227" s="549"/>
      <c r="E227" s="549">
        <f>F17+F27+F37+F47+F57+F67+F77+F87+F97+F107+F117+F157+F167+F177+F187+F197+F207+F217+F127+F137+F147</f>
        <v>0</v>
      </c>
      <c r="F227" s="550"/>
      <c r="G227" s="184"/>
      <c r="K227"/>
      <c r="L227"/>
    </row>
    <row r="228" spans="1:12" ht="14.25" x14ac:dyDescent="0.2">
      <c r="A228" s="85"/>
      <c r="B228" s="197" t="s">
        <v>135</v>
      </c>
      <c r="C228" s="549">
        <f>Total_Budget/4</f>
        <v>0</v>
      </c>
      <c r="D228" s="549"/>
      <c r="E228" s="549">
        <f>F18+F28+F38+F48+F58+F68+F78+F88+F98+F108+F118+F158+F168+F178+F188+F198+F208+F218+F128+F138+F148</f>
        <v>0</v>
      </c>
      <c r="F228" s="550"/>
      <c r="G228" s="184"/>
      <c r="K228"/>
      <c r="L228"/>
    </row>
    <row r="229" spans="1:12" ht="14.25" x14ac:dyDescent="0.2">
      <c r="A229" s="85"/>
      <c r="B229" s="197" t="s">
        <v>136</v>
      </c>
      <c r="C229" s="549">
        <f>Total_Budget/4</f>
        <v>0</v>
      </c>
      <c r="D229" s="549"/>
      <c r="E229" s="549">
        <f>F19+F29+F39+F49+F59+F69+F79+F89+F99+F109+F119+F159+F169+F179+F189+F199+F209+F219+F129+F139+F149</f>
        <v>0</v>
      </c>
      <c r="F229" s="550"/>
      <c r="G229" s="184"/>
      <c r="K229"/>
      <c r="L229"/>
    </row>
    <row r="230" spans="1:12" ht="15" thickBot="1" x14ac:dyDescent="0.25">
      <c r="A230" s="85"/>
      <c r="B230" s="202" t="s">
        <v>137</v>
      </c>
      <c r="C230" s="551">
        <f>Total_Budget/4</f>
        <v>0</v>
      </c>
      <c r="D230" s="551"/>
      <c r="E230" s="549">
        <f>F20+F30+F40+F50+F60+F70+F80+F90+F100+F110+F120+F160+F170+F180+F190+F200+F210+F220+F130+F140+F150</f>
        <v>0</v>
      </c>
      <c r="F230" s="550"/>
      <c r="G230" s="184"/>
      <c r="K230"/>
      <c r="L230"/>
    </row>
    <row r="231" spans="1:12" ht="4.5" customHeight="1" thickBot="1" x14ac:dyDescent="0.25">
      <c r="A231" s="85"/>
      <c r="B231" s="546"/>
      <c r="C231" s="547"/>
      <c r="D231" s="547"/>
      <c r="E231" s="547"/>
      <c r="F231" s="548"/>
      <c r="G231" s="181"/>
    </row>
    <row r="232" spans="1:12" ht="15.75" thickBot="1" x14ac:dyDescent="0.3">
      <c r="A232" s="85"/>
      <c r="B232" s="213" t="s">
        <v>133</v>
      </c>
      <c r="C232" s="533">
        <f>SUM(C227:C230)</f>
        <v>0</v>
      </c>
      <c r="D232" s="533"/>
      <c r="E232" s="533">
        <f>SUM(E227:E230)</f>
        <v>0</v>
      </c>
      <c r="F232" s="534"/>
      <c r="G232" s="181"/>
    </row>
    <row r="233" spans="1:12" ht="4.5" customHeight="1" thickBot="1" x14ac:dyDescent="0.3">
      <c r="A233" s="85"/>
      <c r="B233" s="535"/>
      <c r="C233" s="536"/>
      <c r="D233" s="536"/>
      <c r="E233" s="536"/>
      <c r="F233" s="537"/>
      <c r="G233" s="181"/>
    </row>
    <row r="234" spans="1:12" s="188" customFormat="1" ht="15.75" thickBot="1" x14ac:dyDescent="0.25">
      <c r="A234" s="185"/>
      <c r="B234" s="538" t="s">
        <v>138</v>
      </c>
      <c r="C234" s="539"/>
      <c r="D234" s="540"/>
      <c r="E234" s="544">
        <f>Total_Budget-E232</f>
        <v>0</v>
      </c>
      <c r="F234" s="545"/>
      <c r="G234" s="186"/>
      <c r="H234" s="187"/>
      <c r="I234" s="187"/>
      <c r="J234" s="187"/>
      <c r="K234" s="187"/>
      <c r="L234" s="187"/>
    </row>
    <row r="235" spans="1:12" ht="15.75" thickBot="1" x14ac:dyDescent="0.3">
      <c r="A235" s="85"/>
      <c r="B235" s="179"/>
      <c r="C235" s="119"/>
      <c r="D235" s="119"/>
      <c r="E235" s="119"/>
      <c r="F235" s="4"/>
      <c r="G235" s="181"/>
    </row>
    <row r="236" spans="1:12" s="192" customFormat="1" ht="36" customHeight="1" x14ac:dyDescent="0.25">
      <c r="A236" s="189"/>
      <c r="B236" s="509" t="s">
        <v>142</v>
      </c>
      <c r="C236" s="510"/>
      <c r="D236" s="510"/>
      <c r="E236" s="511">
        <f>Total_Budget-E232</f>
        <v>0</v>
      </c>
      <c r="F236" s="512"/>
      <c r="G236" s="190"/>
      <c r="H236" s="191"/>
      <c r="I236" s="191"/>
      <c r="J236" s="191"/>
      <c r="K236" s="191"/>
      <c r="L236" s="191"/>
    </row>
    <row r="237" spans="1:12" s="192" customFormat="1" ht="36" customHeight="1" thickBot="1" x14ac:dyDescent="0.3">
      <c r="A237" s="189"/>
      <c r="B237" s="506" t="s">
        <v>141</v>
      </c>
      <c r="C237" s="507"/>
      <c r="D237" s="507"/>
      <c r="E237" s="541" t="e">
        <f>E232/Total_Budget</f>
        <v>#DIV/0!</v>
      </c>
      <c r="F237" s="542"/>
      <c r="G237" s="190"/>
      <c r="H237" s="191"/>
      <c r="I237" s="191"/>
      <c r="J237" s="191"/>
      <c r="K237" s="191"/>
      <c r="L237" s="191"/>
    </row>
    <row r="238" spans="1:12" ht="31.5" customHeight="1" thickBot="1" x14ac:dyDescent="0.25">
      <c r="A238" s="86"/>
      <c r="B238" s="543" t="s">
        <v>140</v>
      </c>
      <c r="C238" s="543"/>
      <c r="D238" s="543"/>
      <c r="E238" s="543"/>
      <c r="F238" s="543"/>
      <c r="G238" s="183"/>
    </row>
    <row r="239" spans="1:12" ht="14.25" x14ac:dyDescent="0.2">
      <c r="A239" s="21"/>
      <c r="B239" s="21"/>
      <c r="C239" s="21"/>
      <c r="D239" s="21"/>
      <c r="E239" s="21"/>
      <c r="F239" s="28"/>
    </row>
    <row r="240" spans="1:12" ht="6.75" customHeight="1" x14ac:dyDescent="0.2">
      <c r="A240" s="1"/>
      <c r="B240" s="532" t="s">
        <v>71</v>
      </c>
      <c r="C240" s="532"/>
      <c r="D240" s="532"/>
      <c r="E240" s="532"/>
      <c r="F240" s="532"/>
    </row>
    <row r="241" spans="1:6" x14ac:dyDescent="0.2">
      <c r="A241" s="1"/>
      <c r="B241" s="532"/>
      <c r="C241" s="532"/>
      <c r="D241" s="532"/>
      <c r="E241" s="532"/>
      <c r="F241" s="532"/>
    </row>
    <row r="242" spans="1:6" x14ac:dyDescent="0.2">
      <c r="A242" s="1"/>
      <c r="B242" s="1"/>
      <c r="C242" s="1"/>
      <c r="D242" s="1"/>
      <c r="E242" s="1"/>
      <c r="F242" s="1"/>
    </row>
    <row r="243" spans="1:6" ht="13.5" thickBot="1" x14ac:dyDescent="0.25">
      <c r="A243" s="1"/>
      <c r="B243" s="1"/>
      <c r="C243" s="1"/>
      <c r="D243" s="1"/>
      <c r="E243" s="1"/>
      <c r="F243" s="1"/>
    </row>
    <row r="244" spans="1:6" x14ac:dyDescent="0.2">
      <c r="A244" s="1"/>
      <c r="B244" s="524"/>
      <c r="C244" s="525"/>
      <c r="D244" s="1"/>
      <c r="E244" s="528"/>
      <c r="F244" s="529"/>
    </row>
    <row r="245" spans="1:6" ht="13.5" thickBot="1" x14ac:dyDescent="0.25">
      <c r="A245" s="1"/>
      <c r="B245" s="526"/>
      <c r="C245" s="527"/>
      <c r="D245" s="1"/>
      <c r="E245" s="530"/>
      <c r="F245" s="531"/>
    </row>
    <row r="246" spans="1:6" x14ac:dyDescent="0.2">
      <c r="A246" s="1"/>
      <c r="B246" s="521" t="s">
        <v>72</v>
      </c>
      <c r="C246" s="521"/>
      <c r="D246" s="1"/>
      <c r="E246" s="522" t="s">
        <v>70</v>
      </c>
      <c r="F246" s="522"/>
    </row>
    <row r="247" spans="1:6" x14ac:dyDescent="0.2">
      <c r="A247" s="1"/>
      <c r="B247" s="1"/>
      <c r="C247" s="1"/>
      <c r="D247" s="1"/>
      <c r="E247" s="523"/>
      <c r="F247" s="523"/>
    </row>
    <row r="248" spans="1:6" x14ac:dyDescent="0.2">
      <c r="A248" s="1"/>
      <c r="B248" s="1"/>
      <c r="C248" s="1"/>
      <c r="D248" s="1"/>
      <c r="E248" s="1"/>
      <c r="F248" s="1"/>
    </row>
    <row r="249" spans="1:6" x14ac:dyDescent="0.2">
      <c r="A249" s="1"/>
      <c r="B249" s="1"/>
      <c r="C249" s="1"/>
      <c r="D249" s="1"/>
      <c r="E249" s="1"/>
      <c r="F249" s="1"/>
    </row>
    <row r="250" spans="1:6" ht="13.5" thickBot="1" x14ac:dyDescent="0.25">
      <c r="A250" s="1"/>
      <c r="B250" s="1"/>
      <c r="C250" s="1"/>
      <c r="D250" s="1"/>
      <c r="E250" s="520"/>
      <c r="F250" s="520"/>
    </row>
    <row r="251" spans="1:6" x14ac:dyDescent="0.2">
      <c r="A251" s="1"/>
      <c r="B251" s="521" t="s">
        <v>69</v>
      </c>
      <c r="C251" s="521"/>
      <c r="D251" s="1"/>
      <c r="E251" s="1" t="s">
        <v>0</v>
      </c>
      <c r="F251" s="1"/>
    </row>
  </sheetData>
  <sheetProtection password="F830" sheet="1" objects="1" scenarios="1"/>
  <mergeCells count="75">
    <mergeCell ref="A2:F2"/>
    <mergeCell ref="A3:F3"/>
    <mergeCell ref="A12:F12"/>
    <mergeCell ref="B15:F15"/>
    <mergeCell ref="B21:F21"/>
    <mergeCell ref="B205:F205"/>
    <mergeCell ref="B65:F65"/>
    <mergeCell ref="B211:F211"/>
    <mergeCell ref="B181:F181"/>
    <mergeCell ref="B185:F185"/>
    <mergeCell ref="B191:F191"/>
    <mergeCell ref="B145:F145"/>
    <mergeCell ref="B151:F151"/>
    <mergeCell ref="B71:F71"/>
    <mergeCell ref="B155:F155"/>
    <mergeCell ref="B201:F201"/>
    <mergeCell ref="B195:F195"/>
    <mergeCell ref="B91:F91"/>
    <mergeCell ref="B95:F95"/>
    <mergeCell ref="B101:F101"/>
    <mergeCell ref="B105:F105"/>
    <mergeCell ref="B25:F25"/>
    <mergeCell ref="B161:F161"/>
    <mergeCell ref="B31:F31"/>
    <mergeCell ref="B231:F231"/>
    <mergeCell ref="E227:F227"/>
    <mergeCell ref="C228:D228"/>
    <mergeCell ref="E228:F228"/>
    <mergeCell ref="C229:D229"/>
    <mergeCell ref="E229:F229"/>
    <mergeCell ref="C230:D230"/>
    <mergeCell ref="E230:F230"/>
    <mergeCell ref="C227:D227"/>
    <mergeCell ref="B35:F35"/>
    <mergeCell ref="B41:F41"/>
    <mergeCell ref="B45:F45"/>
    <mergeCell ref="B51:F51"/>
    <mergeCell ref="B240:F241"/>
    <mergeCell ref="C232:D232"/>
    <mergeCell ref="E232:F232"/>
    <mergeCell ref="B233:F233"/>
    <mergeCell ref="B234:D234"/>
    <mergeCell ref="E237:F237"/>
    <mergeCell ref="B238:F238"/>
    <mergeCell ref="E234:F234"/>
    <mergeCell ref="E250:F250"/>
    <mergeCell ref="B251:C251"/>
    <mergeCell ref="B246:C246"/>
    <mergeCell ref="E246:F247"/>
    <mergeCell ref="B244:C245"/>
    <mergeCell ref="E244:F245"/>
    <mergeCell ref="B55:F55"/>
    <mergeCell ref="B61:F61"/>
    <mergeCell ref="B237:D237"/>
    <mergeCell ref="B215:F215"/>
    <mergeCell ref="B236:D236"/>
    <mergeCell ref="E236:F236"/>
    <mergeCell ref="B221:F221"/>
    <mergeCell ref="E226:F226"/>
    <mergeCell ref="C224:D224"/>
    <mergeCell ref="B225:F225"/>
    <mergeCell ref="C226:D226"/>
    <mergeCell ref="B115:F115"/>
    <mergeCell ref="B121:F121"/>
    <mergeCell ref="B75:F75"/>
    <mergeCell ref="B81:F81"/>
    <mergeCell ref="B85:F85"/>
    <mergeCell ref="B111:F111"/>
    <mergeCell ref="B125:F125"/>
    <mergeCell ref="B131:F131"/>
    <mergeCell ref="B135:F135"/>
    <mergeCell ref="B175:F175"/>
    <mergeCell ref="B165:F165"/>
    <mergeCell ref="B171:F171"/>
    <mergeCell ref="B141:F141"/>
  </mergeCells>
  <phoneticPr fontId="22" type="noConversion"/>
  <dataValidations count="3">
    <dataValidation type="list" allowBlank="1" showInputMessage="1" showErrorMessage="1" promptTitle="Quarter Number" prompt="Select the appropriate Quarter Number from the drop-down list.  Be sure to change the number for each quarterly report." sqref="C9">
      <formula1>$H$8:$H$11</formula1>
    </dataValidation>
    <dataValidation allowBlank="1" showInputMessage="1" showErrorMessage="1" promptTitle="Quarterly Report- To Date" prompt="Enter the end date for the period of this quarterly report.  Be sure to change the date for each quarterly report." sqref="E8"/>
    <dataValidation allowBlank="1" showInputMessage="1" showErrorMessage="1" promptTitle="Quarterly Report - From Date" prompt="Enter the begin date for the period of this quarterly report.  Be sure to change the date for each quarterly report." sqref="C8"/>
  </dataValidations>
  <printOptions horizontalCentered="1"/>
  <pageMargins left="0.17" right="0.17" top="0.46" bottom="0.38" header="0.17" footer="0.17"/>
  <pageSetup scale="48" fitToHeight="2" orientation="portrait" r:id="rId1"/>
  <headerFooter alignWithMargins="0">
    <oddHeader>&amp;L&amp;8Texas Department of 
Aging and Disability Services&amp;R&amp;8TxHmL CDS Budget
June 2010</oddHeader>
    <oddFooter>&amp;R&amp;8Date and Time Created
&amp;D &amp;T</oddFooter>
  </headerFooter>
  <rowBreaks count="1" manualBreakCount="1">
    <brk id="1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75" workbookViewId="0">
      <selection activeCell="E32" sqref="E32"/>
    </sheetView>
  </sheetViews>
  <sheetFormatPr defaultRowHeight="12.75" x14ac:dyDescent="0.2"/>
  <cols>
    <col min="1" max="1" width="4.140625" style="129" customWidth="1"/>
    <col min="2" max="2" width="3" style="129" customWidth="1"/>
    <col min="3" max="3" width="39.85546875" style="129" customWidth="1"/>
    <col min="4" max="4" width="5.7109375" style="129" customWidth="1"/>
    <col min="5" max="5" width="3" style="129" customWidth="1"/>
    <col min="6" max="6" width="39.7109375" style="129" customWidth="1"/>
    <col min="7" max="7" width="4.140625" style="129" customWidth="1"/>
    <col min="8" max="8" width="14" style="129" customWidth="1"/>
    <col min="9" max="9" width="4" style="129" customWidth="1"/>
    <col min="10" max="16384" width="9.140625" style="129"/>
  </cols>
  <sheetData>
    <row r="1" spans="1:9" x14ac:dyDescent="0.2">
      <c r="A1" s="61"/>
      <c r="B1" s="124"/>
      <c r="C1" s="124"/>
      <c r="D1" s="124"/>
      <c r="E1" s="61"/>
      <c r="F1" s="61"/>
      <c r="G1" s="61"/>
      <c r="H1" s="61"/>
      <c r="I1" s="61"/>
    </row>
    <row r="2" spans="1:9" ht="60" customHeight="1" x14ac:dyDescent="0.2">
      <c r="B2" s="553" t="s">
        <v>193</v>
      </c>
      <c r="C2" s="553"/>
      <c r="D2" s="553"/>
      <c r="E2" s="553"/>
      <c r="F2" s="553"/>
    </row>
    <row r="3" spans="1:9" ht="15.75" x14ac:dyDescent="0.25">
      <c r="B3" s="554" t="s">
        <v>150</v>
      </c>
      <c r="C3" s="554"/>
      <c r="D3" s="554"/>
      <c r="E3" s="554"/>
      <c r="F3" s="554"/>
    </row>
    <row r="4" spans="1:9" ht="15.75" x14ac:dyDescent="0.25">
      <c r="B4" s="124"/>
      <c r="C4" s="214"/>
      <c r="D4" s="214"/>
    </row>
    <row r="5" spans="1:9" ht="15.75" x14ac:dyDescent="0.25">
      <c r="B5" s="555" t="s">
        <v>151</v>
      </c>
      <c r="C5" s="555"/>
      <c r="D5" s="555"/>
      <c r="E5" s="555"/>
      <c r="F5" s="555"/>
    </row>
    <row r="6" spans="1:9" ht="15.75" x14ac:dyDescent="0.25">
      <c r="B6" s="215"/>
      <c r="C6" s="215"/>
      <c r="D6" s="215"/>
      <c r="E6" s="215"/>
      <c r="F6" s="215"/>
    </row>
    <row r="7" spans="1:9" ht="15.75" x14ac:dyDescent="0.25">
      <c r="B7" s="215"/>
      <c r="C7" s="215"/>
      <c r="D7" s="215"/>
      <c r="E7" s="215"/>
      <c r="F7" s="215"/>
    </row>
    <row r="8" spans="1:9" ht="12.75" customHeight="1" x14ac:dyDescent="0.25">
      <c r="B8" s="215"/>
      <c r="C8" s="215"/>
      <c r="D8" s="215"/>
      <c r="E8" s="215"/>
      <c r="F8" s="215"/>
    </row>
    <row r="9" spans="1:9" ht="15.75" x14ac:dyDescent="0.25">
      <c r="B9" s="554" t="s">
        <v>152</v>
      </c>
      <c r="C9" s="554"/>
      <c r="D9" s="554"/>
      <c r="E9" s="554"/>
      <c r="F9" s="554"/>
    </row>
    <row r="10" spans="1:9" ht="9" customHeight="1" x14ac:dyDescent="0.2">
      <c r="B10" s="124"/>
      <c r="C10" s="124"/>
      <c r="D10" s="124"/>
      <c r="E10" s="182"/>
    </row>
    <row r="11" spans="1:9" x14ac:dyDescent="0.2">
      <c r="A11" s="216"/>
      <c r="B11" s="556" t="s">
        <v>153</v>
      </c>
      <c r="C11" s="556"/>
      <c r="D11" s="216"/>
      <c r="E11" s="556" t="s">
        <v>154</v>
      </c>
      <c r="F11" s="556"/>
      <c r="G11" s="216"/>
    </row>
    <row r="12" spans="1:9" x14ac:dyDescent="0.2">
      <c r="A12" s="216"/>
      <c r="B12" s="561" t="s">
        <v>155</v>
      </c>
      <c r="C12" s="561"/>
      <c r="D12" s="126"/>
      <c r="E12" s="557" t="s">
        <v>156</v>
      </c>
      <c r="F12" s="557"/>
      <c r="G12" s="216"/>
    </row>
    <row r="13" spans="1:9" x14ac:dyDescent="0.2">
      <c r="A13" s="216"/>
      <c r="B13" s="216"/>
      <c r="C13" s="216" t="s">
        <v>157</v>
      </c>
      <c r="D13" s="216"/>
      <c r="E13" s="216"/>
      <c r="F13" s="216" t="s">
        <v>158</v>
      </c>
      <c r="G13" s="216"/>
    </row>
    <row r="14" spans="1:9" x14ac:dyDescent="0.2">
      <c r="A14" s="216"/>
      <c r="B14" s="216"/>
      <c r="C14" s="216" t="s">
        <v>24</v>
      </c>
      <c r="D14" s="216"/>
      <c r="G14" s="216"/>
    </row>
    <row r="15" spans="1:9" x14ac:dyDescent="0.2">
      <c r="A15" s="216"/>
      <c r="B15" s="216"/>
      <c r="C15" s="216" t="s">
        <v>159</v>
      </c>
      <c r="D15" s="216"/>
      <c r="G15" s="216"/>
    </row>
    <row r="16" spans="1:9" x14ac:dyDescent="0.2">
      <c r="A16" s="216"/>
      <c r="B16" s="216"/>
      <c r="C16" s="216" t="s">
        <v>160</v>
      </c>
      <c r="D16" s="216"/>
      <c r="G16" s="216"/>
    </row>
    <row r="17" spans="1:7" x14ac:dyDescent="0.2">
      <c r="A17" s="216"/>
      <c r="B17" s="216"/>
      <c r="C17" s="216" t="s">
        <v>161</v>
      </c>
      <c r="D17" s="216"/>
      <c r="G17" s="216"/>
    </row>
    <row r="18" spans="1:7" x14ac:dyDescent="0.2">
      <c r="A18" s="216"/>
      <c r="B18" s="216"/>
      <c r="C18" s="216" t="s">
        <v>162</v>
      </c>
      <c r="D18" s="216"/>
      <c r="G18" s="216"/>
    </row>
    <row r="19" spans="1:7" x14ac:dyDescent="0.2">
      <c r="A19" s="216"/>
      <c r="B19" s="216"/>
      <c r="C19" s="216"/>
      <c r="D19" s="216"/>
      <c r="G19" s="216"/>
    </row>
    <row r="20" spans="1:7" x14ac:dyDescent="0.2">
      <c r="A20" s="216"/>
      <c r="B20" s="216"/>
      <c r="C20" s="216"/>
      <c r="D20" s="126"/>
      <c r="G20" s="216"/>
    </row>
    <row r="21" spans="1:7" x14ac:dyDescent="0.2">
      <c r="A21" s="216"/>
      <c r="B21" s="216"/>
      <c r="C21" s="216"/>
      <c r="D21" s="126"/>
      <c r="G21" s="216"/>
    </row>
    <row r="22" spans="1:7" ht="15.75" x14ac:dyDescent="0.25">
      <c r="B22" s="554" t="s">
        <v>163</v>
      </c>
      <c r="C22" s="554"/>
      <c r="D22" s="554"/>
      <c r="E22" s="554"/>
      <c r="F22" s="554"/>
    </row>
    <row r="23" spans="1:7" ht="9" customHeight="1" x14ac:dyDescent="0.2">
      <c r="A23" s="216"/>
      <c r="B23" s="216"/>
      <c r="C23" s="216"/>
      <c r="D23" s="126"/>
      <c r="G23" s="216"/>
    </row>
    <row r="24" spans="1:7" x14ac:dyDescent="0.2">
      <c r="A24" s="216"/>
      <c r="B24" s="559" t="s">
        <v>164</v>
      </c>
      <c r="C24" s="559"/>
      <c r="D24" s="216"/>
      <c r="E24" s="556" t="s">
        <v>154</v>
      </c>
      <c r="F24" s="556"/>
      <c r="G24" s="216"/>
    </row>
    <row r="25" spans="1:7" x14ac:dyDescent="0.2">
      <c r="A25" s="216"/>
      <c r="B25" s="216"/>
      <c r="C25" s="216" t="s">
        <v>165</v>
      </c>
      <c r="D25" s="216"/>
      <c r="E25" s="560" t="s">
        <v>166</v>
      </c>
      <c r="F25" s="560"/>
      <c r="G25" s="216"/>
    </row>
    <row r="26" spans="1:7" x14ac:dyDescent="0.2">
      <c r="A26" s="216"/>
      <c r="B26" s="216"/>
      <c r="C26" s="216" t="s">
        <v>167</v>
      </c>
      <c r="D26" s="216"/>
      <c r="E26" s="560" t="s">
        <v>168</v>
      </c>
      <c r="F26" s="560"/>
      <c r="G26" s="216"/>
    </row>
    <row r="27" spans="1:7" x14ac:dyDescent="0.2">
      <c r="A27" s="216"/>
      <c r="B27" s="216"/>
      <c r="C27" s="216" t="s">
        <v>169</v>
      </c>
      <c r="D27" s="216"/>
      <c r="E27" s="218"/>
      <c r="F27" s="216" t="s">
        <v>170</v>
      </c>
      <c r="G27" s="216"/>
    </row>
    <row r="28" spans="1:7" x14ac:dyDescent="0.2">
      <c r="A28" s="216"/>
      <c r="B28" s="216"/>
      <c r="C28" s="216" t="s">
        <v>171</v>
      </c>
      <c r="D28" s="216"/>
      <c r="E28" s="218"/>
      <c r="F28" s="216" t="s">
        <v>172</v>
      </c>
      <c r="G28" s="216"/>
    </row>
    <row r="29" spans="1:7" x14ac:dyDescent="0.2">
      <c r="A29" s="216"/>
      <c r="B29" s="216"/>
      <c r="C29" s="216" t="s">
        <v>173</v>
      </c>
      <c r="D29" s="216"/>
      <c r="E29" s="218"/>
      <c r="F29" s="216" t="s">
        <v>174</v>
      </c>
      <c r="G29" s="216"/>
    </row>
    <row r="30" spans="1:7" x14ac:dyDescent="0.2">
      <c r="A30" s="216"/>
      <c r="B30" s="216"/>
      <c r="C30" s="216" t="s">
        <v>175</v>
      </c>
      <c r="D30" s="216"/>
      <c r="E30" s="216"/>
      <c r="F30" s="216"/>
      <c r="G30" s="216"/>
    </row>
    <row r="31" spans="1:7" x14ac:dyDescent="0.2">
      <c r="A31" s="216"/>
      <c r="B31" s="216"/>
      <c r="C31" s="216" t="s">
        <v>176</v>
      </c>
      <c r="D31" s="216"/>
      <c r="E31" s="556" t="s">
        <v>177</v>
      </c>
      <c r="F31" s="556"/>
      <c r="G31" s="216"/>
    </row>
    <row r="32" spans="1:7" x14ac:dyDescent="0.2">
      <c r="A32" s="216"/>
      <c r="B32" s="216"/>
      <c r="C32" s="216" t="s">
        <v>178</v>
      </c>
      <c r="D32" s="216"/>
      <c r="F32" s="216" t="s">
        <v>179</v>
      </c>
      <c r="G32" s="216"/>
    </row>
    <row r="33" spans="1:7" ht="12.75" customHeight="1" x14ac:dyDescent="0.2">
      <c r="A33" s="216"/>
      <c r="B33" s="216"/>
      <c r="C33" s="216"/>
      <c r="D33" s="216"/>
      <c r="F33" s="216" t="s">
        <v>180</v>
      </c>
      <c r="G33" s="216"/>
    </row>
    <row r="34" spans="1:7" ht="12.75" customHeight="1" x14ac:dyDescent="0.2">
      <c r="A34" s="216"/>
      <c r="B34" s="556" t="s">
        <v>181</v>
      </c>
      <c r="C34" s="556"/>
      <c r="D34" s="216"/>
      <c r="F34" s="216" t="s">
        <v>182</v>
      </c>
      <c r="G34" s="216"/>
    </row>
    <row r="35" spans="1:7" ht="12.75" customHeight="1" x14ac:dyDescent="0.2">
      <c r="A35" s="216"/>
      <c r="C35" s="216" t="s">
        <v>183</v>
      </c>
      <c r="D35" s="216"/>
      <c r="F35" s="216" t="s">
        <v>184</v>
      </c>
      <c r="G35" s="216"/>
    </row>
    <row r="36" spans="1:7" ht="12.75" customHeight="1" x14ac:dyDescent="0.2">
      <c r="A36" s="216"/>
      <c r="C36" s="216" t="s">
        <v>185</v>
      </c>
      <c r="D36" s="216"/>
      <c r="G36" s="216"/>
    </row>
    <row r="37" spans="1:7" x14ac:dyDescent="0.2">
      <c r="A37" s="216"/>
      <c r="C37" s="216" t="s">
        <v>186</v>
      </c>
      <c r="D37" s="216"/>
      <c r="E37" s="558" t="s">
        <v>187</v>
      </c>
      <c r="F37" s="558"/>
      <c r="G37" s="216"/>
    </row>
    <row r="38" spans="1:7" ht="12.75" customHeight="1" x14ac:dyDescent="0.2">
      <c r="C38" s="216" t="s">
        <v>188</v>
      </c>
      <c r="D38" s="216"/>
      <c r="E38" s="557" t="s">
        <v>189</v>
      </c>
      <c r="F38" s="557"/>
      <c r="G38" s="216"/>
    </row>
    <row r="39" spans="1:7" ht="12.75" customHeight="1" x14ac:dyDescent="0.2">
      <c r="A39" s="216"/>
      <c r="B39" s="216"/>
      <c r="C39" s="216" t="s">
        <v>190</v>
      </c>
      <c r="D39" s="216"/>
      <c r="F39" s="129" t="s">
        <v>191</v>
      </c>
      <c r="G39" s="216"/>
    </row>
    <row r="40" spans="1:7" ht="12.75" customHeight="1" x14ac:dyDescent="0.2">
      <c r="A40" s="216"/>
      <c r="B40" s="218"/>
      <c r="C40" s="216"/>
      <c r="D40" s="216"/>
      <c r="F40" s="129" t="s">
        <v>192</v>
      </c>
      <c r="G40" s="216"/>
    </row>
    <row r="41" spans="1:7" ht="12.75" customHeight="1" x14ac:dyDescent="0.2">
      <c r="D41" s="216"/>
      <c r="G41" s="216"/>
    </row>
    <row r="42" spans="1:7" x14ac:dyDescent="0.2">
      <c r="C42" s="216"/>
      <c r="D42" s="216"/>
      <c r="F42" s="216"/>
      <c r="G42" s="216"/>
    </row>
    <row r="43" spans="1:7" x14ac:dyDescent="0.2">
      <c r="C43" s="216"/>
      <c r="D43" s="216"/>
      <c r="G43" s="216"/>
    </row>
    <row r="44" spans="1:7" x14ac:dyDescent="0.2">
      <c r="A44" s="216"/>
      <c r="B44" s="126"/>
      <c r="C44" s="126"/>
      <c r="D44" s="126"/>
      <c r="E44" s="126"/>
      <c r="F44" s="126"/>
      <c r="G44" s="216"/>
    </row>
    <row r="45" spans="1:7" x14ac:dyDescent="0.2">
      <c r="A45" s="216"/>
      <c r="B45" s="216"/>
      <c r="C45" s="216"/>
      <c r="E45" s="217"/>
      <c r="F45" s="219"/>
      <c r="G45" s="216"/>
    </row>
    <row r="46" spans="1:7" ht="12.75" customHeight="1" x14ac:dyDescent="0.2">
      <c r="D46" s="218"/>
      <c r="E46" s="218"/>
      <c r="F46" s="218"/>
      <c r="G46" s="216"/>
    </row>
    <row r="47" spans="1:7" ht="12.75" customHeight="1" x14ac:dyDescent="0.2">
      <c r="D47" s="218"/>
      <c r="E47" s="218"/>
      <c r="F47" s="218"/>
      <c r="G47" s="216"/>
    </row>
    <row r="48" spans="1:7" ht="12.75" customHeight="1" x14ac:dyDescent="0.2">
      <c r="D48" s="218"/>
      <c r="E48" s="218"/>
      <c r="F48" s="218"/>
      <c r="G48" s="216"/>
    </row>
    <row r="49" spans="1:7" x14ac:dyDescent="0.2">
      <c r="A49" s="218"/>
      <c r="D49" s="219"/>
      <c r="E49" s="219"/>
      <c r="F49" s="219"/>
      <c r="G49" s="216"/>
    </row>
    <row r="50" spans="1:7" x14ac:dyDescent="0.2">
      <c r="A50" s="218"/>
      <c r="D50" s="219"/>
      <c r="E50" s="219"/>
      <c r="F50" s="219"/>
      <c r="G50" s="216"/>
    </row>
    <row r="51" spans="1:7" x14ac:dyDescent="0.2">
      <c r="A51" s="218"/>
      <c r="D51" s="219"/>
      <c r="E51" s="219"/>
      <c r="F51" s="219"/>
      <c r="G51" s="216"/>
    </row>
    <row r="52" spans="1:7" x14ac:dyDescent="0.2">
      <c r="A52" s="218"/>
      <c r="B52" s="218"/>
      <c r="C52" s="216"/>
      <c r="D52" s="219"/>
      <c r="E52" s="219"/>
      <c r="F52" s="219"/>
      <c r="G52" s="216"/>
    </row>
    <row r="53" spans="1:7" x14ac:dyDescent="0.2">
      <c r="A53" s="218"/>
      <c r="B53" s="218"/>
      <c r="C53" s="216"/>
      <c r="D53" s="219"/>
      <c r="E53" s="219"/>
      <c r="F53" s="219"/>
      <c r="G53" s="216"/>
    </row>
    <row r="54" spans="1:7" x14ac:dyDescent="0.2">
      <c r="A54" s="218"/>
      <c r="B54" s="218"/>
      <c r="C54" s="216"/>
      <c r="D54" s="219"/>
      <c r="E54" s="219"/>
      <c r="F54" s="219"/>
      <c r="G54" s="216"/>
    </row>
    <row r="55" spans="1:7" x14ac:dyDescent="0.2">
      <c r="A55" s="220"/>
      <c r="B55" s="216"/>
      <c r="C55" s="216"/>
      <c r="D55" s="216"/>
      <c r="E55" s="216"/>
      <c r="F55" s="216"/>
      <c r="G55" s="216"/>
    </row>
    <row r="56" spans="1:7" x14ac:dyDescent="0.2">
      <c r="A56" s="216"/>
      <c r="B56" s="216"/>
      <c r="C56" s="216"/>
      <c r="D56" s="216"/>
      <c r="E56" s="216"/>
      <c r="F56" s="216"/>
      <c r="G56" s="216"/>
    </row>
    <row r="57" spans="1:7" x14ac:dyDescent="0.2">
      <c r="A57" s="216"/>
      <c r="B57" s="216"/>
      <c r="C57" s="216"/>
      <c r="D57" s="216"/>
      <c r="E57" s="216"/>
      <c r="F57" s="216"/>
      <c r="G57" s="216"/>
    </row>
    <row r="58" spans="1:7" x14ac:dyDescent="0.2">
      <c r="A58" s="220"/>
      <c r="B58" s="216"/>
      <c r="C58" s="216"/>
      <c r="D58" s="216"/>
      <c r="E58" s="216"/>
      <c r="F58" s="216"/>
      <c r="G58" s="216"/>
    </row>
    <row r="59" spans="1:7" x14ac:dyDescent="0.2">
      <c r="A59" s="216"/>
      <c r="B59" s="216"/>
      <c r="C59" s="126"/>
      <c r="D59" s="216"/>
      <c r="E59" s="216"/>
      <c r="F59" s="216"/>
      <c r="G59" s="216"/>
    </row>
    <row r="60" spans="1:7" x14ac:dyDescent="0.2">
      <c r="A60" s="216"/>
      <c r="B60" s="216"/>
      <c r="C60" s="216"/>
      <c r="D60" s="216"/>
      <c r="E60" s="216"/>
      <c r="F60" s="216"/>
      <c r="G60" s="216"/>
    </row>
    <row r="61" spans="1:7" x14ac:dyDescent="0.2">
      <c r="A61" s="216"/>
      <c r="B61" s="216"/>
      <c r="C61" s="216"/>
      <c r="D61" s="216"/>
      <c r="E61" s="216"/>
      <c r="F61" s="216"/>
      <c r="G61" s="216"/>
    </row>
    <row r="62" spans="1:7" x14ac:dyDescent="0.2">
      <c r="A62" s="216"/>
      <c r="B62" s="216"/>
      <c r="C62" s="216"/>
      <c r="D62" s="216"/>
      <c r="E62" s="216"/>
      <c r="F62" s="216"/>
      <c r="G62" s="216"/>
    </row>
    <row r="63" spans="1:7" x14ac:dyDescent="0.2">
      <c r="A63" s="216"/>
      <c r="B63" s="216"/>
      <c r="C63" s="216"/>
      <c r="D63" s="216"/>
      <c r="E63" s="217"/>
      <c r="F63" s="221"/>
      <c r="G63" s="216"/>
    </row>
    <row r="64" spans="1:7" x14ac:dyDescent="0.2">
      <c r="A64" s="216"/>
      <c r="B64" s="216"/>
      <c r="C64" s="216"/>
      <c r="D64" s="216"/>
      <c r="F64" s="216"/>
      <c r="G64" s="216"/>
    </row>
    <row r="65" spans="1:7" x14ac:dyDescent="0.2">
      <c r="A65" s="216"/>
      <c r="B65" s="216"/>
      <c r="C65" s="216"/>
      <c r="D65" s="216"/>
      <c r="F65" s="222"/>
      <c r="G65" s="216"/>
    </row>
    <row r="66" spans="1:7" x14ac:dyDescent="0.2">
      <c r="A66" s="216"/>
      <c r="B66" s="216"/>
      <c r="C66" s="216"/>
      <c r="D66" s="216"/>
      <c r="F66" s="216"/>
      <c r="G66" s="216"/>
    </row>
    <row r="67" spans="1:7" x14ac:dyDescent="0.2">
      <c r="A67" s="216"/>
      <c r="B67" s="216"/>
      <c r="C67" s="216"/>
      <c r="D67" s="216"/>
      <c r="F67" s="216"/>
      <c r="G67" s="216"/>
    </row>
    <row r="68" spans="1:7" x14ac:dyDescent="0.2">
      <c r="A68" s="216"/>
      <c r="B68" s="216"/>
      <c r="C68" s="216"/>
      <c r="D68" s="216"/>
      <c r="E68" s="216"/>
      <c r="F68" s="216"/>
      <c r="G68" s="216"/>
    </row>
    <row r="69" spans="1:7" x14ac:dyDescent="0.2">
      <c r="A69" s="216"/>
      <c r="B69" s="216"/>
      <c r="C69" s="216"/>
      <c r="D69" s="216"/>
      <c r="E69" s="216"/>
      <c r="F69" s="216"/>
      <c r="G69" s="216"/>
    </row>
  </sheetData>
  <sheetProtection password="E7F0" sheet="1" objects="1" scenarios="1"/>
  <mergeCells count="17">
    <mergeCell ref="E38:F38"/>
    <mergeCell ref="E37:F37"/>
    <mergeCell ref="B34:C34"/>
    <mergeCell ref="B24:C24"/>
    <mergeCell ref="E12:F12"/>
    <mergeCell ref="E24:F24"/>
    <mergeCell ref="E26:F26"/>
    <mergeCell ref="E31:F31"/>
    <mergeCell ref="B22:F22"/>
    <mergeCell ref="B12:C12"/>
    <mergeCell ref="E25:F25"/>
    <mergeCell ref="B2:F2"/>
    <mergeCell ref="B3:F3"/>
    <mergeCell ref="B5:F5"/>
    <mergeCell ref="E11:F11"/>
    <mergeCell ref="B9:F9"/>
    <mergeCell ref="B11:C11"/>
  </mergeCells>
  <phoneticPr fontId="0" type="noConversion"/>
  <dataValidations xWindow="502" yWindow="139" count="1">
    <dataValidation allowBlank="1" showErrorMessage="1" promptTitle="Information Only Page" prompt="This page is for Information only.  It is not a part of the Client's budget." sqref="B2"/>
  </dataValidations>
  <printOptions horizontalCentered="1"/>
  <pageMargins left="0.2" right="0.2" top="0.75" bottom="0.25" header="0" footer="0.25"/>
  <pageSetup orientation="portrait" r:id="rId1"/>
  <headerFooter alignWithMargins="0">
    <oddHeader>&amp;L&amp;8Texas Department of 
Aging and Disability Services&amp;R&amp;8TxHmL CDS Budget
June 2010</oddHeader>
    <oddFooter>&amp;R&amp;8Date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91</vt:i4>
      </vt:variant>
    </vt:vector>
  </HeadingPairs>
  <TitlesOfParts>
    <vt:vector size="99" baseType="lpstr">
      <vt:lpstr>General Information</vt:lpstr>
      <vt:lpstr>Consumer Information &amp; Approval</vt:lpstr>
      <vt:lpstr>Notes</vt:lpstr>
      <vt:lpstr>Authorized Units &amp; Budget</vt:lpstr>
      <vt:lpstr>ESS &amp; Non-Taxable</vt:lpstr>
      <vt:lpstr>Taxable Wage &amp; Compensation</vt:lpstr>
      <vt:lpstr>Quarterly Report</vt:lpstr>
      <vt:lpstr>Definitions</vt:lpstr>
      <vt:lpstr>AudDollars</vt:lpstr>
      <vt:lpstr>AUDHRS</vt:lpstr>
      <vt:lpstr>AUDRATE</vt:lpstr>
      <vt:lpstr>Auth_SC_Amount</vt:lpstr>
      <vt:lpstr>AuthAA</vt:lpstr>
      <vt:lpstr>AuthDental</vt:lpstr>
      <vt:lpstr>AuthMHM</vt:lpstr>
      <vt:lpstr>Authorized_Daily_Respite_Units</vt:lpstr>
      <vt:lpstr>Authorized_Hourly_Respite_Hours</vt:lpstr>
      <vt:lpstr>Authorized_SHL_Hours</vt:lpstr>
      <vt:lpstr>AuthSCS</vt:lpstr>
      <vt:lpstr>Avail_for_SC</vt:lpstr>
      <vt:lpstr>BehSupportsRate</vt:lpstr>
      <vt:lpstr>BSHrs</vt:lpstr>
      <vt:lpstr>Budget_Balance</vt:lpstr>
      <vt:lpstr>CommSupportsRate</vt:lpstr>
      <vt:lpstr>Consumer_Name</vt:lpstr>
      <vt:lpstr>CSHrs</vt:lpstr>
      <vt:lpstr>Daily_Rate</vt:lpstr>
      <vt:lpstr>Daily_Respite_Rate</vt:lpstr>
      <vt:lpstr>DayHabRate</vt:lpstr>
      <vt:lpstr>Days</vt:lpstr>
      <vt:lpstr>Dental__AA__MHM</vt:lpstr>
      <vt:lpstr>DHHrs</vt:lpstr>
      <vt:lpstr>DHrs</vt:lpstr>
      <vt:lpstr>DietaryRate</vt:lpstr>
      <vt:lpstr>DR_LAR</vt:lpstr>
      <vt:lpstr>EAHrs</vt:lpstr>
      <vt:lpstr>EARate</vt:lpstr>
      <vt:lpstr>ESS_Amount</vt:lpstr>
      <vt:lpstr>ESS_Budget</vt:lpstr>
      <vt:lpstr>ESS_Purchases</vt:lpstr>
      <vt:lpstr>FICA</vt:lpstr>
      <vt:lpstr>From</vt:lpstr>
      <vt:lpstr>FUTA</vt:lpstr>
      <vt:lpstr>FUTA_Max</vt:lpstr>
      <vt:lpstr>Hourly_Respite_Rate</vt:lpstr>
      <vt:lpstr>HourlyRespiteRate</vt:lpstr>
      <vt:lpstr>HRHrs</vt:lpstr>
      <vt:lpstr>Medicaid_Number</vt:lpstr>
      <vt:lpstr>Medicare</vt:lpstr>
      <vt:lpstr>Min_Compensation</vt:lpstr>
      <vt:lpstr>Min_Employee_Comp</vt:lpstr>
      <vt:lpstr>Non_Taxable</vt:lpstr>
      <vt:lpstr>NUL</vt:lpstr>
      <vt:lpstr>NULS</vt:lpstr>
      <vt:lpstr>NURN</vt:lpstr>
      <vt:lpstr>NURS</vt:lpstr>
      <vt:lpstr>OTHRS</vt:lpstr>
      <vt:lpstr>OTRATE</vt:lpstr>
      <vt:lpstr>'Authorized Units &amp; Budget'!Print_Area</vt:lpstr>
      <vt:lpstr>'Consumer Information &amp; Approval'!Print_Area</vt:lpstr>
      <vt:lpstr>Definitions!Print_Area</vt:lpstr>
      <vt:lpstr>'ESS &amp; Non-Taxable'!Print_Area</vt:lpstr>
      <vt:lpstr>'General Information'!Print_Area</vt:lpstr>
      <vt:lpstr>Notes!Print_Area</vt:lpstr>
      <vt:lpstr>'Taxable Wage &amp; Compensation'!Print_Area</vt:lpstr>
      <vt:lpstr>'Quarterly Report'!Print_Titles</vt:lpstr>
      <vt:lpstr>'Taxable Wage &amp; Compensation'!Print_Titles</vt:lpstr>
      <vt:lpstr>PTHRS</vt:lpstr>
      <vt:lpstr>PTOTHrs</vt:lpstr>
      <vt:lpstr>PTOTRate</vt:lpstr>
      <vt:lpstr>Rate_BehSupports</vt:lpstr>
      <vt:lpstr>Rate_CommSupports</vt:lpstr>
      <vt:lpstr>Rate_DayHab</vt:lpstr>
      <vt:lpstr>Rate_Dietary</vt:lpstr>
      <vt:lpstr>Rate_HourlyRespite</vt:lpstr>
      <vt:lpstr>Rate_PTOT</vt:lpstr>
      <vt:lpstr>Rate_SE</vt:lpstr>
      <vt:lpstr>RateNUL</vt:lpstr>
      <vt:lpstr>RateNULS</vt:lpstr>
      <vt:lpstr>RateNUR</vt:lpstr>
      <vt:lpstr>RateNURS</vt:lpstr>
      <vt:lpstr>SC_funded_by_ESS</vt:lpstr>
      <vt:lpstr>SC_funded_outside_ESS</vt:lpstr>
      <vt:lpstr>SC_Rate</vt:lpstr>
      <vt:lpstr>SEHRs</vt:lpstr>
      <vt:lpstr>SERate</vt:lpstr>
      <vt:lpstr>SHL_Rate</vt:lpstr>
      <vt:lpstr>SpeechDollars</vt:lpstr>
      <vt:lpstr>SPHRS</vt:lpstr>
      <vt:lpstr>SPRATE</vt:lpstr>
      <vt:lpstr>SUTA_Max</vt:lpstr>
      <vt:lpstr>Taxable</vt:lpstr>
      <vt:lpstr>Taxable_Funds</vt:lpstr>
      <vt:lpstr>To</vt:lpstr>
      <vt:lpstr>Total_Budget</vt:lpstr>
      <vt:lpstr>Total_ESS_Costs</vt:lpstr>
      <vt:lpstr>Total_SC_Costs</vt:lpstr>
      <vt:lpstr>Total_Tax</vt:lpstr>
      <vt:lpstr>Weeks</vt:lpstr>
    </vt:vector>
  </TitlesOfParts>
  <Company>Texas Department of Aging and Disability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DADS CDS Attendant Care Budget</dc:title>
  <dc:creator>Sarah E. Hambrick</dc:creator>
  <cp:lastModifiedBy>Rodriguez,Mario (DADS)</cp:lastModifiedBy>
  <cp:lastPrinted>2009-09-10T19:57:22Z</cp:lastPrinted>
  <dcterms:created xsi:type="dcterms:W3CDTF">2001-07-04T15:10:40Z</dcterms:created>
  <dcterms:modified xsi:type="dcterms:W3CDTF">2014-09-02T16:39:11Z</dcterms:modified>
  <cp:category>CDS</cp:category>
</cp:coreProperties>
</file>