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2790" windowWidth="14670" windowHeight="9810" tabRatio="857" firstSheet="2" activeTab="5"/>
  </bookViews>
  <sheets>
    <sheet name="General Information" sheetId="1" r:id="rId1"/>
    <sheet name="Consumer Information &amp; Approval" sheetId="14" r:id="rId2"/>
    <sheet name="Notes" sheetId="7" r:id="rId3"/>
    <sheet name="Authorized Units &amp; Budget" sheetId="3" r:id="rId4"/>
    <sheet name="ESS &amp; Non-Taxable" sheetId="4" r:id="rId5"/>
    <sheet name="Taxable Wage &amp; Compensation" sheetId="5" r:id="rId6"/>
    <sheet name="Quarterly Report" sheetId="6" r:id="rId7"/>
    <sheet name="Definitions" sheetId="15" r:id="rId8"/>
  </sheets>
  <externalReferences>
    <externalReference r:id="rId9"/>
  </externalReferences>
  <definedNames>
    <definedName name="Admin">#REF!</definedName>
    <definedName name="Administrative_Percent" localSheetId="2">Notes!#REF!</definedName>
    <definedName name="Annual_Auth_Hours">'Authorized Units &amp; Budget'!$J$18</definedName>
    <definedName name="Benefits">#REF!</definedName>
    <definedName name="Billing_Percent" localSheetId="2">Notes!#REF!</definedName>
    <definedName name="Budget_Balance">'Taxable Wage &amp; Compensation'!$L$11</definedName>
    <definedName name="Client">#REF!</definedName>
    <definedName name="Client_Name">#REF!</definedName>
    <definedName name="CMPAS_Rate">#REF!</definedName>
    <definedName name="Consumer_Name">'Consumer Information &amp; Approval'!$D$5</definedName>
    <definedName name="Days">'Consumer Information &amp; Approval'!$I$23</definedName>
    <definedName name="DR_LAR">'Consumer Information &amp; Approval'!$E$18</definedName>
    <definedName name="Employer_Tax">#REF!</definedName>
    <definedName name="ESS_Purchases">'ESS &amp; Non-Taxable'!$G$21</definedName>
    <definedName name="FICA" localSheetId="7">#REF!</definedName>
    <definedName name="FICA">'Taxable Wage &amp; Compensation'!$Q$13</definedName>
    <definedName name="From" localSheetId="7">#REF!</definedName>
    <definedName name="From">'Consumer Information &amp; Approval'!$D$23</definedName>
    <definedName name="FUTA" localSheetId="7">#REF!</definedName>
    <definedName name="FUTA">'Taxable Wage &amp; Compensation'!$Q$12</definedName>
    <definedName name="FUTA_Max" localSheetId="7">#REF!</definedName>
    <definedName name="FUTA_Max">'Taxable Wage &amp; Compensation'!$Q$9</definedName>
    <definedName name="HMO_Percentage" localSheetId="2">Notes!#REF!</definedName>
    <definedName name="Hourly">#REF!</definedName>
    <definedName name="Hourly_Back">#REF!</definedName>
    <definedName name="Hourly_Max">#REF!</definedName>
    <definedName name="Hourly_Min">#REF!</definedName>
    <definedName name="Hourly_Reg">#REF!</definedName>
    <definedName name="Hourly_Total">#REF!</definedName>
    <definedName name="Max_Admin" localSheetId="7">#REF!</definedName>
    <definedName name="Max_Admin" localSheetId="2">Notes!#REF!</definedName>
    <definedName name="Max_Admin">'[1]Admin &amp; Compensation'!$F$38</definedName>
    <definedName name="Medicaid_Number">'Consumer Information &amp; Approval'!$D$7</definedName>
    <definedName name="Medicare" localSheetId="7">#REF!</definedName>
    <definedName name="Medicare">'Taxable Wage &amp; Compensation'!$Q$14</definedName>
    <definedName name="Min_Compensation" localSheetId="7">#REF!</definedName>
    <definedName name="Min_Compensation" localSheetId="2">Notes!#REF!</definedName>
    <definedName name="Min_Compensation">'ESS &amp; Non-Taxable'!$G$24</definedName>
    <definedName name="Min_Employee_Comp">'ESS &amp; Non-Taxable'!$G$24</definedName>
    <definedName name="Min_Employee_Compensation">'Taxable Wage &amp; Compensation'!$Q$18</definedName>
    <definedName name="Name">#REF!</definedName>
    <definedName name="Non_Taxable">'ESS &amp; Non-Taxable'!$G$30</definedName>
    <definedName name="Number">#REF!</definedName>
    <definedName name="_xlnm.Print_Area" localSheetId="3">'Authorized Units &amp; Budget'!$A$1:$G$19</definedName>
    <definedName name="_xlnm.Print_Area" localSheetId="1">'Consumer Information &amp; Approval'!$A$1:$H$38</definedName>
    <definedName name="_xlnm.Print_Area" localSheetId="7">Definitions!$A$1:$G$43</definedName>
    <definedName name="_xlnm.Print_Area" localSheetId="4">'ESS &amp; Non-Taxable'!$A$1:$H$33</definedName>
    <definedName name="_xlnm.Print_Area" localSheetId="0">'General Information'!$A$1:$E$30</definedName>
    <definedName name="_xlnm.Print_Area" localSheetId="2">Notes!$A$1:$G$52</definedName>
    <definedName name="_xlnm.Print_Titles" localSheetId="5">'Taxable Wage &amp; Compensation'!$1:$8</definedName>
    <definedName name="Program">#REF!</definedName>
    <definedName name="Service_Type">'Authorized Units &amp; Budget'!$D$14</definedName>
    <definedName name="SUTA">#REF!</definedName>
    <definedName name="SUTA_Max" localSheetId="7">#REF!</definedName>
    <definedName name="SUTA_Max">'Taxable Wage &amp; Compensation'!$Q$10</definedName>
    <definedName name="Taxable">'ESS &amp; Non-Taxable'!$G$32</definedName>
    <definedName name="Taxable_Funds">'ESS &amp; Non-Taxable'!$G$32</definedName>
    <definedName name="To" localSheetId="7">#REF!</definedName>
    <definedName name="To">'Consumer Information &amp; Approval'!$F$23</definedName>
    <definedName name="Total_Budget">'Authorized Units &amp; Budget'!$D$10</definedName>
    <definedName name="Total_PAS_Dollars">'Authorized Units &amp; Budget'!$D$17</definedName>
    <definedName name="Total_Rate" localSheetId="2">Notes!#REF!</definedName>
    <definedName name="Total_Tax">'Taxable Wage &amp; Compensation'!$Q$15</definedName>
    <definedName name="Units" localSheetId="2">Notes!#REF!</definedName>
    <definedName name="Units">#REF!</definedName>
    <definedName name="Weekly_Authorized_Supported_Home_Living_Hours">'Authorized Units &amp; Budget'!$D$15</definedName>
    <definedName name="Weeks" localSheetId="7">#REF!</definedName>
    <definedName name="Weeks">'Authorized Units &amp; Budget'!$J$21</definedName>
    <definedName name="Z_346F6C38_467E_4277_A934_45FBB069E11D_.wvu.PrintArea" localSheetId="3" hidden="1">'Authorized Units &amp; Budget'!$A$1:$G$13</definedName>
    <definedName name="Z_346F6C38_467E_4277_A934_45FBB069E11D_.wvu.PrintArea" localSheetId="4" hidden="1">'ESS &amp; Non-Taxable'!$A$1:$H$33</definedName>
    <definedName name="Z_346F6C38_467E_4277_A934_45FBB069E11D_.wvu.PrintArea" localSheetId="0" hidden="1">'General Information'!$A$1:$E$30</definedName>
    <definedName name="Z_346F6C38_467E_4277_A934_45FBB069E11D_.wvu.PrintArea" localSheetId="2" hidden="1">Notes!$A$1:$G$11</definedName>
    <definedName name="Z_346F6C38_467E_4277_A934_45FBB069E11D_.wvu.PrintArea" localSheetId="5" hidden="1">'Taxable Wage &amp; Compensation'!$A$1:$N$29</definedName>
    <definedName name="Z_454ECA60_FBCC_11D6_AB9B_00C04F5868C8_.wvu.PrintArea" localSheetId="3" hidden="1">'Authorized Units &amp; Budget'!$A$1:$G$13</definedName>
    <definedName name="Z_454ECA60_FBCC_11D6_AB9B_00C04F5868C8_.wvu.PrintArea" localSheetId="4" hidden="1">'ESS &amp; Non-Taxable'!$A$1:$H$33</definedName>
    <definedName name="Z_454ECA60_FBCC_11D6_AB9B_00C04F5868C8_.wvu.PrintArea" localSheetId="0" hidden="1">'General Information'!$A$1:$E$30</definedName>
    <definedName name="Z_454ECA60_FBCC_11D6_AB9B_00C04F5868C8_.wvu.PrintArea" localSheetId="2" hidden="1">Notes!$A$1:$G$11</definedName>
    <definedName name="Z_454ECA60_FBCC_11D6_AB9B_00C04F5868C8_.wvu.PrintArea" localSheetId="5" hidden="1">'Taxable Wage &amp; Compensation'!$A$1:$N$29</definedName>
  </definedNames>
  <calcPr calcId="145621"/>
  <customWorkbookViews>
    <customWorkbookView name="Sarah E. Hambrick - Personal View" guid="{454ECA60-FBCC-11D6-AB9B-00C04F5868C8}" mergeInterval="0" personalView="1" maximized="1" windowWidth="796" windowHeight="385" tabRatio="764" activeSheetId="2"/>
    <customWorkbookView name="Tford - Personal View" guid="{346F6C38-467E-4277-A934-45FBB069E11D}" mergeInterval="0" personalView="1" maximized="1" windowWidth="987" windowHeight="566" tabRatio="764" activeSheetId="5"/>
  </customWorkbookViews>
</workbook>
</file>

<file path=xl/calcChain.xml><?xml version="1.0" encoding="utf-8"?>
<calcChain xmlns="http://schemas.openxmlformats.org/spreadsheetml/2006/main">
  <c r="E195" i="5" l="1"/>
  <c r="N195" i="5"/>
  <c r="J196" i="5"/>
  <c r="O197" i="5"/>
  <c r="P197" i="5"/>
  <c r="H191" i="5" s="1"/>
  <c r="I201" i="5"/>
  <c r="I202" i="5"/>
  <c r="I203" i="5"/>
  <c r="I204" i="5"/>
  <c r="I205" i="5"/>
  <c r="E212" i="5"/>
  <c r="N212" i="5"/>
  <c r="J213" i="5"/>
  <c r="O214" i="5"/>
  <c r="P214" i="5" s="1"/>
  <c r="H208" i="5" s="1"/>
  <c r="I218" i="5"/>
  <c r="I219" i="5"/>
  <c r="I220" i="5"/>
  <c r="I221" i="5"/>
  <c r="I222" i="5"/>
  <c r="E229" i="5"/>
  <c r="N229" i="5"/>
  <c r="J230" i="5"/>
  <c r="O231" i="5"/>
  <c r="P231" i="5" s="1"/>
  <c r="H225" i="5" s="1"/>
  <c r="I235" i="5"/>
  <c r="I236" i="5"/>
  <c r="I237" i="5"/>
  <c r="I238" i="5"/>
  <c r="I239" i="5"/>
  <c r="E246" i="5"/>
  <c r="N246" i="5"/>
  <c r="J247" i="5"/>
  <c r="O248" i="5"/>
  <c r="P248" i="5" s="1"/>
  <c r="H242" i="5" s="1"/>
  <c r="I252" i="5"/>
  <c r="I253" i="5"/>
  <c r="I254" i="5"/>
  <c r="I255" i="5"/>
  <c r="I256" i="5"/>
  <c r="E263" i="5"/>
  <c r="N263" i="5"/>
  <c r="J264" i="5"/>
  <c r="O265" i="5"/>
  <c r="P265" i="5"/>
  <c r="H259" i="5" s="1"/>
  <c r="I269" i="5"/>
  <c r="I270" i="5"/>
  <c r="I271" i="5"/>
  <c r="I272" i="5"/>
  <c r="I273" i="5"/>
  <c r="E280" i="5"/>
  <c r="N280" i="5"/>
  <c r="J281" i="5"/>
  <c r="O282" i="5"/>
  <c r="P282" i="5" s="1"/>
  <c r="H276" i="5" s="1"/>
  <c r="I286" i="5"/>
  <c r="I287" i="5"/>
  <c r="I288" i="5"/>
  <c r="I289" i="5"/>
  <c r="I290" i="5"/>
  <c r="E297" i="5"/>
  <c r="N297" i="5"/>
  <c r="J298" i="5"/>
  <c r="O299" i="5"/>
  <c r="P299" i="5" s="1"/>
  <c r="H293" i="5" s="1"/>
  <c r="I303" i="5"/>
  <c r="I304" i="5"/>
  <c r="I305" i="5"/>
  <c r="I306" i="5"/>
  <c r="I307" i="5"/>
  <c r="E314" i="5"/>
  <c r="N314" i="5"/>
  <c r="J315" i="5"/>
  <c r="O316" i="5"/>
  <c r="P316" i="5" s="1"/>
  <c r="H310" i="5" s="1"/>
  <c r="I320" i="5"/>
  <c r="I321" i="5"/>
  <c r="I322" i="5"/>
  <c r="I323" i="5"/>
  <c r="I324" i="5"/>
  <c r="E331" i="5"/>
  <c r="N331" i="5"/>
  <c r="J332" i="5"/>
  <c r="O333" i="5"/>
  <c r="P333" i="5"/>
  <c r="H327" i="5" s="1"/>
  <c r="I337" i="5"/>
  <c r="I338" i="5"/>
  <c r="I339" i="5"/>
  <c r="I340" i="5"/>
  <c r="I341" i="5"/>
  <c r="E348" i="5"/>
  <c r="N348" i="5"/>
  <c r="J349" i="5"/>
  <c r="O350" i="5"/>
  <c r="P350" i="5" s="1"/>
  <c r="H344" i="5" s="1"/>
  <c r="I354" i="5"/>
  <c r="I355" i="5"/>
  <c r="I356" i="5"/>
  <c r="I357" i="5"/>
  <c r="I358" i="5"/>
  <c r="I349" i="5" l="1"/>
  <c r="K349" i="5" s="1"/>
  <c r="I348" i="5"/>
  <c r="K348" i="5" s="1"/>
  <c r="J344" i="5" s="1"/>
  <c r="I297" i="5"/>
  <c r="K297" i="5" s="1"/>
  <c r="I298" i="5"/>
  <c r="K298" i="5" s="1"/>
  <c r="I281" i="5"/>
  <c r="K281" i="5" s="1"/>
  <c r="I280" i="5"/>
  <c r="K280" i="5" s="1"/>
  <c r="J276" i="5" s="1"/>
  <c r="I229" i="5"/>
  <c r="K229" i="5" s="1"/>
  <c r="I230" i="5"/>
  <c r="K230" i="5" s="1"/>
  <c r="I213" i="5"/>
  <c r="K213" i="5" s="1"/>
  <c r="I212" i="5"/>
  <c r="K212" i="5" s="1"/>
  <c r="J208" i="5" s="1"/>
  <c r="I331" i="5"/>
  <c r="K331" i="5" s="1"/>
  <c r="I332" i="5"/>
  <c r="K332" i="5" s="1"/>
  <c r="I315" i="5"/>
  <c r="K315" i="5" s="1"/>
  <c r="I314" i="5"/>
  <c r="K314" i="5" s="1"/>
  <c r="J310" i="5" s="1"/>
  <c r="I263" i="5"/>
  <c r="K263" i="5" s="1"/>
  <c r="I264" i="5"/>
  <c r="K264" i="5" s="1"/>
  <c r="I247" i="5"/>
  <c r="K247" i="5" s="1"/>
  <c r="I246" i="5"/>
  <c r="K246" i="5" s="1"/>
  <c r="J242" i="5" s="1"/>
  <c r="I195" i="5"/>
  <c r="K195" i="5" s="1"/>
  <c r="I196" i="5"/>
  <c r="K196" i="5" s="1"/>
  <c r="E59" i="5"/>
  <c r="N59" i="5"/>
  <c r="J60" i="5"/>
  <c r="O61" i="5"/>
  <c r="P61" i="5" s="1"/>
  <c r="H55" i="5" s="1"/>
  <c r="I65" i="5"/>
  <c r="I66" i="5"/>
  <c r="I67" i="5"/>
  <c r="I68" i="5"/>
  <c r="I69" i="5"/>
  <c r="E76" i="5"/>
  <c r="N76" i="5"/>
  <c r="J77" i="5"/>
  <c r="O78" i="5"/>
  <c r="P78" i="5"/>
  <c r="H72" i="5" s="1"/>
  <c r="I82" i="5"/>
  <c r="I83" i="5"/>
  <c r="I84" i="5"/>
  <c r="I85" i="5"/>
  <c r="I86" i="5"/>
  <c r="E93" i="5"/>
  <c r="N93" i="5"/>
  <c r="J94" i="5"/>
  <c r="O95" i="5"/>
  <c r="P95" i="5" s="1"/>
  <c r="H89" i="5" s="1"/>
  <c r="I99" i="5"/>
  <c r="I100" i="5"/>
  <c r="I101" i="5"/>
  <c r="I102" i="5"/>
  <c r="I103" i="5"/>
  <c r="E110" i="5"/>
  <c r="N110" i="5"/>
  <c r="J111" i="5"/>
  <c r="O112" i="5"/>
  <c r="P112" i="5" s="1"/>
  <c r="H106" i="5" s="1"/>
  <c r="I116" i="5"/>
  <c r="I117" i="5"/>
  <c r="I118" i="5"/>
  <c r="I119" i="5"/>
  <c r="I120" i="5"/>
  <c r="E127" i="5"/>
  <c r="N127" i="5"/>
  <c r="J128" i="5"/>
  <c r="O129" i="5"/>
  <c r="P129" i="5" s="1"/>
  <c r="H123" i="5" s="1"/>
  <c r="I133" i="5"/>
  <c r="I134" i="5"/>
  <c r="I135" i="5"/>
  <c r="I136" i="5"/>
  <c r="I137" i="5"/>
  <c r="E144" i="5"/>
  <c r="N144" i="5"/>
  <c r="J145" i="5"/>
  <c r="O146" i="5"/>
  <c r="P146" i="5"/>
  <c r="H140" i="5" s="1"/>
  <c r="I150" i="5"/>
  <c r="I151" i="5"/>
  <c r="I152" i="5"/>
  <c r="I153" i="5"/>
  <c r="I154" i="5"/>
  <c r="E161" i="5"/>
  <c r="N161" i="5"/>
  <c r="J162" i="5"/>
  <c r="O163" i="5"/>
  <c r="P163" i="5" s="1"/>
  <c r="H157" i="5" s="1"/>
  <c r="I167" i="5"/>
  <c r="I168" i="5"/>
  <c r="I169" i="5"/>
  <c r="I170" i="5"/>
  <c r="I171" i="5"/>
  <c r="E178" i="5"/>
  <c r="N178" i="5"/>
  <c r="J179" i="5"/>
  <c r="O180" i="5"/>
  <c r="P180" i="5"/>
  <c r="H174" i="5" s="1"/>
  <c r="I184" i="5"/>
  <c r="I185" i="5"/>
  <c r="I186" i="5"/>
  <c r="I187" i="5"/>
  <c r="I188" i="5"/>
  <c r="E42" i="5"/>
  <c r="N42" i="5"/>
  <c r="J43" i="5"/>
  <c r="O44" i="5"/>
  <c r="P44" i="5"/>
  <c r="H38" i="5" s="1"/>
  <c r="I48" i="5"/>
  <c r="I49" i="5"/>
  <c r="I50" i="5"/>
  <c r="I51" i="5"/>
  <c r="I52" i="5"/>
  <c r="Q242" i="5" l="1"/>
  <c r="K242" i="5" s="1"/>
  <c r="L242" i="5" s="1"/>
  <c r="N242" i="5" s="1"/>
  <c r="L310" i="5"/>
  <c r="N310" i="5" s="1"/>
  <c r="Q310" i="5"/>
  <c r="K310" i="5" s="1"/>
  <c r="Q208" i="5"/>
  <c r="K208" i="5" s="1"/>
  <c r="L208" i="5" s="1"/>
  <c r="N208" i="5" s="1"/>
  <c r="Q276" i="5"/>
  <c r="K276" i="5" s="1"/>
  <c r="L276" i="5" s="1"/>
  <c r="N276" i="5" s="1"/>
  <c r="Q344" i="5"/>
  <c r="K344" i="5" s="1"/>
  <c r="L344" i="5" s="1"/>
  <c r="N344" i="5" s="1"/>
  <c r="J191" i="5"/>
  <c r="J259" i="5"/>
  <c r="J327" i="5"/>
  <c r="J225" i="5"/>
  <c r="J293" i="5"/>
  <c r="I145" i="5"/>
  <c r="K145" i="5" s="1"/>
  <c r="I144" i="5"/>
  <c r="K144" i="5" s="1"/>
  <c r="J140" i="5" s="1"/>
  <c r="I77" i="5"/>
  <c r="K77" i="5" s="1"/>
  <c r="I76" i="5"/>
  <c r="K76" i="5" s="1"/>
  <c r="J72" i="5" s="1"/>
  <c r="I59" i="5"/>
  <c r="K59" i="5" s="1"/>
  <c r="I60" i="5"/>
  <c r="K60" i="5" s="1"/>
  <c r="I127" i="5"/>
  <c r="K127" i="5" s="1"/>
  <c r="I128" i="5"/>
  <c r="K128" i="5" s="1"/>
  <c r="I179" i="5"/>
  <c r="K179" i="5" s="1"/>
  <c r="I178" i="5"/>
  <c r="K178" i="5" s="1"/>
  <c r="J174" i="5" s="1"/>
  <c r="I161" i="5"/>
  <c r="K161" i="5" s="1"/>
  <c r="I162" i="5"/>
  <c r="K162" i="5" s="1"/>
  <c r="I111" i="5"/>
  <c r="K111" i="5" s="1"/>
  <c r="I110" i="5"/>
  <c r="K110" i="5" s="1"/>
  <c r="J106" i="5" s="1"/>
  <c r="I93" i="5"/>
  <c r="K93" i="5" s="1"/>
  <c r="I94" i="5"/>
  <c r="K94" i="5" s="1"/>
  <c r="I42" i="5"/>
  <c r="K42" i="5" s="1"/>
  <c r="I43" i="5"/>
  <c r="K43" i="5" s="1"/>
  <c r="Q225" i="5" l="1"/>
  <c r="K225" i="5" s="1"/>
  <c r="L225" i="5" s="1"/>
  <c r="N225" i="5" s="1"/>
  <c r="Q259" i="5"/>
  <c r="K259" i="5" s="1"/>
  <c r="L259" i="5" s="1"/>
  <c r="N259" i="5" s="1"/>
  <c r="Q293" i="5"/>
  <c r="K293" i="5" s="1"/>
  <c r="L293" i="5" s="1"/>
  <c r="N293" i="5" s="1"/>
  <c r="Q327" i="5"/>
  <c r="K327" i="5" s="1"/>
  <c r="L327" i="5" s="1"/>
  <c r="N327" i="5" s="1"/>
  <c r="Q191" i="5"/>
  <c r="K191" i="5" s="1"/>
  <c r="L191" i="5" s="1"/>
  <c r="N191" i="5" s="1"/>
  <c r="Q174" i="5"/>
  <c r="K174" i="5" s="1"/>
  <c r="L174" i="5"/>
  <c r="N174" i="5" s="1"/>
  <c r="L72" i="5"/>
  <c r="N72" i="5" s="1"/>
  <c r="Q72" i="5"/>
  <c r="K72" i="5" s="1"/>
  <c r="Q140" i="5"/>
  <c r="K140" i="5" s="1"/>
  <c r="L140" i="5" s="1"/>
  <c r="N140" i="5" s="1"/>
  <c r="Q106" i="5"/>
  <c r="K106" i="5" s="1"/>
  <c r="L106" i="5" s="1"/>
  <c r="N106" i="5" s="1"/>
  <c r="J89" i="5"/>
  <c r="J157" i="5"/>
  <c r="J123" i="5"/>
  <c r="J55" i="5"/>
  <c r="J38" i="5"/>
  <c r="Q55" i="5" l="1"/>
  <c r="K55" i="5" s="1"/>
  <c r="L55" i="5" s="1"/>
  <c r="N55" i="5" s="1"/>
  <c r="Q157" i="5"/>
  <c r="K157" i="5" s="1"/>
  <c r="L157" i="5" s="1"/>
  <c r="N157" i="5" s="1"/>
  <c r="L123" i="5"/>
  <c r="N123" i="5" s="1"/>
  <c r="Q123" i="5"/>
  <c r="K123" i="5" s="1"/>
  <c r="Q89" i="5"/>
  <c r="K89" i="5" s="1"/>
  <c r="L89" i="5" s="1"/>
  <c r="N89" i="5" s="1"/>
  <c r="Q38" i="5"/>
  <c r="K38" i="5" s="1"/>
  <c r="L38" i="5" s="1"/>
  <c r="N38" i="5" s="1"/>
  <c r="N25" i="5" l="1"/>
  <c r="D8" i="3" l="1"/>
  <c r="F8" i="3"/>
  <c r="J22" i="3"/>
  <c r="J21" i="3" s="1"/>
  <c r="J18" i="3" s="1"/>
  <c r="D40" i="6" s="1"/>
  <c r="O27" i="5"/>
  <c r="P27" i="5" s="1"/>
  <c r="H21" i="5" s="1"/>
  <c r="D16" i="3"/>
  <c r="D17" i="3" s="1"/>
  <c r="I23" i="14"/>
  <c r="J23" i="14"/>
  <c r="F21" i="6"/>
  <c r="F35" i="6"/>
  <c r="J36" i="6" s="1"/>
  <c r="G21" i="4"/>
  <c r="D18" i="6"/>
  <c r="D19" i="6"/>
  <c r="D20" i="6"/>
  <c r="D17" i="6"/>
  <c r="D21" i="6"/>
  <c r="I31" i="5"/>
  <c r="I32" i="5"/>
  <c r="I33" i="5"/>
  <c r="I34" i="5"/>
  <c r="I35" i="5"/>
  <c r="Q15" i="5"/>
  <c r="F8" i="4"/>
  <c r="D8" i="4"/>
  <c r="J7" i="5"/>
  <c r="G7" i="5"/>
  <c r="K4" i="5"/>
  <c r="C4" i="5"/>
  <c r="D42" i="6"/>
  <c r="C37" i="6"/>
  <c r="E25" i="5"/>
  <c r="F43" i="6"/>
  <c r="G30" i="4"/>
  <c r="E5" i="7"/>
  <c r="F5" i="6"/>
  <c r="E5" i="4"/>
  <c r="E5" i="3"/>
  <c r="C5" i="3"/>
  <c r="B5" i="4"/>
  <c r="C5" i="7"/>
  <c r="D8" i="7"/>
  <c r="F8" i="7"/>
  <c r="C5" i="6"/>
  <c r="Q311" i="5" l="1"/>
  <c r="Q209" i="5"/>
  <c r="Q243" i="5"/>
  <c r="Q277" i="5"/>
  <c r="Q345" i="5"/>
  <c r="Q226" i="5"/>
  <c r="Q260" i="5"/>
  <c r="Q294" i="5"/>
  <c r="Q328" i="5"/>
  <c r="Q192" i="5"/>
  <c r="Q107" i="5"/>
  <c r="Q175" i="5"/>
  <c r="Q73" i="5"/>
  <c r="Q141" i="5"/>
  <c r="Q56" i="5"/>
  <c r="Q158" i="5"/>
  <c r="Q124" i="5"/>
  <c r="Q90" i="5"/>
  <c r="Q39" i="5"/>
  <c r="I25" i="5"/>
  <c r="I26" i="5"/>
  <c r="L10" i="5"/>
  <c r="F27" i="6" s="1"/>
  <c r="D10" i="3"/>
  <c r="D41" i="6"/>
  <c r="D39" i="6"/>
  <c r="D43" i="6" l="1"/>
  <c r="F44" i="6" s="1"/>
  <c r="G10" i="4"/>
  <c r="F47" i="6"/>
  <c r="F48" i="6"/>
  <c r="G24" i="4" l="1"/>
  <c r="G32" i="4"/>
  <c r="G13" i="4"/>
  <c r="F26" i="6" l="1"/>
  <c r="G10" i="5"/>
  <c r="D34" i="6" l="1"/>
  <c r="D32" i="6"/>
  <c r="D33" i="6"/>
  <c r="D31" i="6"/>
  <c r="D35" i="6" l="1"/>
  <c r="K25" i="5" l="1"/>
  <c r="J26" i="5"/>
  <c r="K26" i="5" s="1"/>
  <c r="J21" i="5" l="1"/>
  <c r="Q22" i="5" s="1"/>
  <c r="Q21" i="5" l="1"/>
  <c r="K21" i="5" s="1"/>
  <c r="L21" i="5" s="1"/>
  <c r="N21" i="5" s="1"/>
  <c r="G11" i="5" s="1"/>
  <c r="L11" i="5" l="1"/>
  <c r="L16" i="5" s="1"/>
  <c r="L14" i="5"/>
  <c r="F25" i="14" l="1"/>
</calcChain>
</file>

<file path=xl/sharedStrings.xml><?xml version="1.0" encoding="utf-8"?>
<sst xmlns="http://schemas.openxmlformats.org/spreadsheetml/2006/main" count="788" uniqueCount="207">
  <si>
    <t>Date</t>
  </si>
  <si>
    <t xml:space="preserve">Advertising  </t>
  </si>
  <si>
    <t xml:space="preserve">Criminal History Check </t>
  </si>
  <si>
    <t>Worker's comp or liability insurance</t>
  </si>
  <si>
    <t>Other - Specify</t>
  </si>
  <si>
    <t>Coverage Period From:</t>
  </si>
  <si>
    <t>To:</t>
  </si>
  <si>
    <t>*</t>
  </si>
  <si>
    <t>Change in Administrative Costs</t>
  </si>
  <si>
    <t>Change in Reimbursement Rate</t>
  </si>
  <si>
    <t>Change in Payment Option back to Agency Option</t>
  </si>
  <si>
    <t>General Information and Instructions for Use of Workbook</t>
  </si>
  <si>
    <t>Be sure to read any error messages carefully.  They give you instructions on how to correct data entry errors.</t>
  </si>
  <si>
    <t>Enter the appropriate information in the "Blue" cells (the cells with "dashed" lines around them).  Be sure the information you enter is accurate, as the budget calculations are based on the entries made in these cells.</t>
  </si>
  <si>
    <t>F.I.C.A.:</t>
  </si>
  <si>
    <t>Medicare:</t>
  </si>
  <si>
    <t xml:space="preserve">Equipment &amp; Supplies </t>
  </si>
  <si>
    <t xml:space="preserve">Copies &amp; Mailing </t>
  </si>
  <si>
    <t>Amount:</t>
  </si>
  <si>
    <t>Comments:</t>
  </si>
  <si>
    <t>CDS Agency Representative</t>
  </si>
  <si>
    <t>Initially and at Annual Reassessment</t>
  </si>
  <si>
    <t>Health Insurance Premium(s)</t>
  </si>
  <si>
    <t>Overtime</t>
  </si>
  <si>
    <t>Paid Holidays</t>
  </si>
  <si>
    <t>Vacation Pay</t>
  </si>
  <si>
    <t>Sick Leave</t>
  </si>
  <si>
    <t>Bonuses</t>
  </si>
  <si>
    <t>Termination of Services</t>
  </si>
  <si>
    <t>Consumer Name:</t>
  </si>
  <si>
    <t>Consumer Medicaid Number:</t>
  </si>
  <si>
    <r>
      <t xml:space="preserve">Effective / Coverage Period </t>
    </r>
    <r>
      <rPr>
        <b/>
        <sz val="8"/>
        <rFont val="Arial"/>
        <family val="2"/>
      </rPr>
      <t>(This does not guarantee eligibility for the entire period)</t>
    </r>
    <r>
      <rPr>
        <b/>
        <sz val="12"/>
        <rFont val="Arial"/>
        <family val="2"/>
      </rPr>
      <t>:</t>
    </r>
  </si>
  <si>
    <t>Use the "TAB" key to move between the "Blue" cells.  Entries may only be made in the "Blue" cells; all other cells are locked.</t>
  </si>
  <si>
    <t>Anytime Other Time Required by Program Policy</t>
  </si>
  <si>
    <t>Complete the Quarterly Report at least Quarterly (more frequently if required by Program Policy)</t>
  </si>
  <si>
    <t>Watch for "Pop-Up" information windows for many of the cells.  If the "Pop-Up" windows are covering the body of the budget, you may "drag and drop" them to a different area.</t>
  </si>
  <si>
    <t>Consumer Name</t>
  </si>
  <si>
    <t>Medicaid Number</t>
  </si>
  <si>
    <t>Dollars Needed to Meet Minimum Compensation:</t>
  </si>
  <si>
    <t>Available Amounts</t>
  </si>
  <si>
    <t>Pay Rate</t>
  </si>
  <si>
    <t>Wages</t>
  </si>
  <si>
    <t>Total Annual Wages</t>
  </si>
  <si>
    <t>Annual Taxes</t>
  </si>
  <si>
    <t>Annual Total</t>
  </si>
  <si>
    <t>Weeks</t>
  </si>
  <si>
    <t>Begin Date</t>
  </si>
  <si>
    <t>End Date</t>
  </si>
  <si>
    <t>Hours per Week</t>
  </si>
  <si>
    <t>Amount</t>
  </si>
  <si>
    <t>OT Pay Rate</t>
  </si>
  <si>
    <t>Other -Specify</t>
  </si>
  <si>
    <t>S.U.T.A. Rate</t>
  </si>
  <si>
    <t>Hourly Pay</t>
  </si>
  <si>
    <t>Other Compensation</t>
  </si>
  <si>
    <t>Number of Payments</t>
  </si>
  <si>
    <t>Notes</t>
  </si>
  <si>
    <t>Dollars Left in Budget:</t>
  </si>
  <si>
    <t>Within Total Budget for Consumer?</t>
  </si>
  <si>
    <t>THIS PAGE IS NOT CONSIDERED PART OF THE BUDGET</t>
  </si>
  <si>
    <t>You can use the keyboard to move between the pages in the workbook.  Press "CTRL" and "Page Down" at the same time to move to the next worksheet; Press "CTRL" and "Page Up" at the same time to move to the previous worksheet.</t>
  </si>
  <si>
    <t>Budget Calculations are:</t>
  </si>
  <si>
    <t>Funds Available for Taxable Compensation Costs</t>
  </si>
  <si>
    <t>Total Estimated Non-Taxable Compensation Costs:</t>
  </si>
  <si>
    <t>Total Available for Taxable Compensation:</t>
  </si>
  <si>
    <t>Total Taxable Compensation:</t>
  </si>
  <si>
    <t>Quarterly Report</t>
  </si>
  <si>
    <t>Quarterly Report Coverage Period From:</t>
  </si>
  <si>
    <t>Quarter Number:</t>
  </si>
  <si>
    <t>Budgeted</t>
  </si>
  <si>
    <t>Actual</t>
  </si>
  <si>
    <t>Quarter 1 Dollars</t>
  </si>
  <si>
    <t>Quarter 2 Dollars</t>
  </si>
  <si>
    <t>Quarter 3 Dollars</t>
  </si>
  <si>
    <t>Quarter 4 Dollars</t>
  </si>
  <si>
    <t>Quarter 1 Units</t>
  </si>
  <si>
    <t>Quarter 2 Units</t>
  </si>
  <si>
    <t>Quarter 3 Units</t>
  </si>
  <si>
    <t>Quarter 4 Units</t>
  </si>
  <si>
    <t>NOTE - All Budgeted Amounts on the Quarterly Report are Estimates</t>
  </si>
  <si>
    <t>Authorized</t>
  </si>
  <si>
    <t>Dollars</t>
  </si>
  <si>
    <t>Percent of Budgeted Dollars Spent (negative amount indicates the consumer has overspent):</t>
  </si>
  <si>
    <t>Dollars Remaining (negative indicates the consumer has overspent):</t>
  </si>
  <si>
    <t>CDS Agency Representative Signature</t>
  </si>
  <si>
    <t>Phone Number (with Area Code)</t>
  </si>
  <si>
    <t>CERTIFICATION:  By signature below I certify that the numbers entered into this quarterly report are accurate as reported to me.</t>
  </si>
  <si>
    <t>CDS Agency Representative Printed Name</t>
  </si>
  <si>
    <t>F.U.T.A. Max Wage:</t>
  </si>
  <si>
    <t>F.U.T.A.:</t>
  </si>
  <si>
    <t>Taxable Wage and Compensation Validation</t>
  </si>
  <si>
    <t>S.U.T.A. Max Wage:</t>
  </si>
  <si>
    <t>Change in Number of Authorized Units for Hourly Services</t>
  </si>
  <si>
    <t>Use of Respite Services</t>
  </si>
  <si>
    <t>Consumer's Address:</t>
  </si>
  <si>
    <t>Consumer's City, State, Zip Code:</t>
  </si>
  <si>
    <t>Consumer's Telephone Number:</t>
  </si>
  <si>
    <t>Yes</t>
  </si>
  <si>
    <t>No</t>
  </si>
  <si>
    <t>Employer (Consumer or Legally Authorized Representative)</t>
  </si>
  <si>
    <t>Service</t>
  </si>
  <si>
    <t>Rate</t>
  </si>
  <si>
    <t>Total Annual CDS Budget</t>
  </si>
  <si>
    <t>Total  Annual CDS Budget:</t>
  </si>
  <si>
    <t>Estimated Employer Support Services Costs</t>
  </si>
  <si>
    <t>Total Estimated Employer Support Services Costs:</t>
  </si>
  <si>
    <r>
      <t>Maximum</t>
    </r>
    <r>
      <rPr>
        <sz val="10"/>
        <rFont val="Arial"/>
        <family val="2"/>
      </rPr>
      <t xml:space="preserve"> Amount Available for Employer Support Services Costs:</t>
    </r>
  </si>
  <si>
    <t>Weeks Employed</t>
  </si>
  <si>
    <t>Do the Total Employee Compensation Costs Fall Within the Required Parameters for Employee Compensation?</t>
  </si>
  <si>
    <t>Amount Available for Employee Compensation Costs:</t>
  </si>
  <si>
    <t>Non-Taxable Employee Compensation Costs</t>
  </si>
  <si>
    <t>Complete the entire Workbook for each Consumer at the following times (and when required by program policy):</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</si>
  <si>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</si>
  <si>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Total Tax:</t>
  </si>
  <si>
    <t>Submit a copy of the current Budget Workbook to the appropriate Case Manager/Service Coordinator initially, annually, and as required by program policy.</t>
  </si>
  <si>
    <t>DR's Name:</t>
  </si>
  <si>
    <t>LAR's Name:</t>
  </si>
  <si>
    <t>Consumer Information &amp; Budget Approval</t>
  </si>
  <si>
    <t>Authorized Units and Budget Calculations</t>
  </si>
  <si>
    <t>Taxable Wage and Compensation Costs</t>
  </si>
  <si>
    <t>Employee Hours, Pay Rates and Other Compensation</t>
  </si>
  <si>
    <t>Employee Name</t>
  </si>
  <si>
    <t>Minimum Employee Compensation %</t>
  </si>
  <si>
    <t>NOTE - The consumer must not develop a regular employee schedule that contains fewer than or more than the weekly authorized units.</t>
  </si>
  <si>
    <t>Employee Compensation</t>
  </si>
  <si>
    <t>Annual Dollars Budgeted for Employee Compensation:</t>
  </si>
  <si>
    <t>Minimum Dollars Required for Employee Compensation:</t>
  </si>
  <si>
    <t>Employee Compensation Totals (Dollars):</t>
  </si>
  <si>
    <t>Employee Compensation Totals (Units):</t>
  </si>
  <si>
    <t>Remaining Units</t>
  </si>
  <si>
    <r>
      <t xml:space="preserve">Primary Home Care
</t>
    </r>
    <r>
      <rPr>
        <sz val="12"/>
        <rFont val="Arial"/>
        <family val="2"/>
      </rPr>
      <t>Consumer Directed Services Budget</t>
    </r>
  </si>
  <si>
    <t>Region:</t>
  </si>
  <si>
    <t>Region 1</t>
  </si>
  <si>
    <t>Region 2</t>
  </si>
  <si>
    <t>Region 3</t>
  </si>
  <si>
    <t>Region 4</t>
  </si>
  <si>
    <t>Region 5</t>
  </si>
  <si>
    <t>Region 6</t>
  </si>
  <si>
    <t>Region 7</t>
  </si>
  <si>
    <t>Region 8</t>
  </si>
  <si>
    <t>Region 9</t>
  </si>
  <si>
    <t>Region 10</t>
  </si>
  <si>
    <t>Region 11</t>
  </si>
  <si>
    <t>Priority</t>
  </si>
  <si>
    <t>Non-Priority</t>
  </si>
  <si>
    <t>Change in Employee</t>
  </si>
  <si>
    <t>Change in Number of Hours Employee Works, Rate of Pay, Bonus, or Benefits</t>
  </si>
  <si>
    <t xml:space="preserve">Change in Employee Pay Rate or Benefits </t>
  </si>
  <si>
    <t>Does the Consumer Have a  Designated Representative (DR) or Legally Authorized Representative (LAR)?</t>
  </si>
  <si>
    <t>Designated Representative (If Applicable)</t>
  </si>
  <si>
    <t>Minimum Amount for Employee Compensation Costs met?</t>
  </si>
  <si>
    <t>Weekly Authorized PAS Hours</t>
  </si>
  <si>
    <t>Total PAS Dollars</t>
  </si>
  <si>
    <t>Employer Support Services &amp; Non-Taxable Costs</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</si>
  <si>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</si>
  <si>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</si>
  <si>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</si>
  <si>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</si>
  <si>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</si>
  <si>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</si>
  <si>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</si>
  <si>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</si>
  <si>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</si>
  <si>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</si>
  <si>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</si>
  <si>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</si>
  <si>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</si>
  <si>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</si>
  <si>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</si>
  <si>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</si>
  <si>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</si>
  <si>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</si>
  <si>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</si>
  <si>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</si>
  <si>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</si>
  <si>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</si>
  <si>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</si>
  <si>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</si>
  <si>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</si>
  <si>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</si>
  <si>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</si>
  <si>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</si>
  <si>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</si>
  <si>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</si>
  <si>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</si>
  <si>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</si>
  <si>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</si>
  <si>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</si>
  <si>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</si>
  <si>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</si>
  <si>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</si>
  <si>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</si>
  <si>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</si>
  <si>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</si>
  <si>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</si>
  <si>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</si>
  <si>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In-Home Respite</t>
  </si>
  <si>
    <t>Be sure both the Employer (Consumer or Legal Guardian), Designated Representative (if applicable), and the CDS Agency Representative sign Consumer Information &amp; Budget Approval Page of the workbook, and that the budget Calculations are listed as "VALID".</t>
  </si>
  <si>
    <t>Auth Dollars</t>
  </si>
  <si>
    <t>Actual Dollars</t>
  </si>
  <si>
    <t>Employer Support Services</t>
  </si>
  <si>
    <t>Family Member?</t>
  </si>
  <si>
    <t>Exempt all taxes</t>
  </si>
  <si>
    <t>Exempt SUTA and FUTA</t>
  </si>
  <si>
    <t>Family Exemption</t>
  </si>
  <si>
    <t>Not exempt</t>
  </si>
  <si>
    <t>Household exemption eligible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</si>
</sst>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0%"/>
    <numFmt numFmtId="166" formatCode="0.000%"/>
  </numFmts>
  <fonts count="21" x14ac:knownFonts="1">
    <font>
      <sz val="10"/>
      <name val="Arial"/>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sz val="8"/>
      <name val="Arial"/>
      <family val="2"/>
    </font>
    <font>
      <sz val="11"/>
      <name val="Arial"/>
      <family val="2"/>
    </font>
    <font>
      <i/>
      <sz val="9"/>
      <name val="Arial"/>
      <family val="2"/>
    </font>
    <font>
      <i/>
      <sz val="10"/>
      <name val="Arial"/>
      <family val="2"/>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
      <patternFill patternType="solid">
        <fgColor indexed="42"/>
        <bgColor indexed="64"/>
      </patternFill>
    </fill>
  </fills>
  <borders count="107">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mediumDashDot">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DashDot">
        <color indexed="64"/>
      </left>
      <right/>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DashDot">
        <color indexed="64"/>
      </bottom>
      <diagonal/>
    </border>
    <border>
      <left/>
      <right style="medium">
        <color indexed="64"/>
      </right>
      <top/>
      <bottom style="mediumDashDot">
        <color indexed="64"/>
      </bottom>
      <diagonal/>
    </border>
    <border>
      <left style="medium">
        <color indexed="64"/>
      </left>
      <right style="thin">
        <color indexed="64"/>
      </right>
      <top style="mediumDashDot">
        <color indexed="64"/>
      </top>
      <bottom style="medium">
        <color indexed="64"/>
      </bottom>
      <diagonal/>
    </border>
    <border>
      <left style="medium">
        <color indexed="64"/>
      </left>
      <right style="mediumDashDot">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8"/>
      </left>
      <right style="thin">
        <color indexed="64"/>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Dot">
        <color indexed="64"/>
      </left>
      <right/>
      <top style="mediumDashDot">
        <color indexed="64"/>
      </top>
      <bottom style="mediumDashDot">
        <color indexed="64"/>
      </bottom>
      <diagonal/>
    </border>
    <border>
      <left style="thin">
        <color indexed="64"/>
      </left>
      <right/>
      <top style="medium">
        <color indexed="64"/>
      </top>
      <bottom style="mediumDashDot">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DashDot">
        <color indexed="64"/>
      </top>
      <bottom style="medium">
        <color indexed="64"/>
      </bottom>
      <diagonal/>
    </border>
    <border>
      <left/>
      <right style="medium">
        <color indexed="64"/>
      </right>
      <top style="mediumDashDot">
        <color indexed="64"/>
      </top>
      <bottom style="medium">
        <color indexed="64"/>
      </bottom>
      <diagonal/>
    </border>
    <border>
      <left/>
      <right style="mediumDashDot">
        <color indexed="64"/>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style="medium">
        <color indexed="64"/>
      </left>
      <right/>
      <top style="mediumDashDot">
        <color indexed="64"/>
      </top>
      <bottom style="medium">
        <color indexed="64"/>
      </bottom>
      <diagonal/>
    </border>
    <border>
      <left/>
      <right/>
      <top style="mediumDashDot">
        <color indexed="64"/>
      </top>
      <bottom style="medium">
        <color indexed="64"/>
      </bottom>
      <diagonal/>
    </border>
    <border>
      <left/>
      <right style="mediumDashDot">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DashDot">
        <color indexed="64"/>
      </top>
      <bottom style="thin">
        <color indexed="64"/>
      </bottom>
      <diagonal/>
    </border>
    <border>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right style="thin">
        <color indexed="64"/>
      </right>
      <top/>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
        <color indexed="64"/>
      </right>
      <top style="thin">
        <color indexed="64"/>
      </top>
      <bottom style="mediumDashDot">
        <color indexed="64"/>
      </bottom>
      <diagonal/>
    </border>
    <border>
      <left style="medium">
        <color indexed="64"/>
      </left>
      <right/>
      <top style="mediumDashDot">
        <color indexed="64"/>
      </top>
      <bottom style="thin">
        <color indexed="64"/>
      </bottom>
      <diagonal/>
    </border>
    <border>
      <left/>
      <right style="thin">
        <color indexed="64"/>
      </right>
      <top style="mediumDashDot">
        <color indexed="64"/>
      </top>
      <bottom style="thin">
        <color indexed="64"/>
      </bottom>
      <diagonal/>
    </border>
    <border>
      <left style="medium">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style="mediumDashDot">
        <color indexed="64"/>
      </left>
      <right/>
      <top style="mediumDashDot">
        <color indexed="64"/>
      </top>
      <bottom style="thin">
        <color indexed="64"/>
      </bottom>
      <diagonal/>
    </border>
    <border>
      <left/>
      <right style="mediumDashDot">
        <color indexed="64"/>
      </right>
      <top style="thin">
        <color indexed="64"/>
      </top>
      <bottom style="mediumDashDot">
        <color indexed="64"/>
      </bottom>
      <diagonal/>
    </border>
    <border>
      <left style="medium">
        <color indexed="64"/>
      </left>
      <right/>
      <top/>
      <bottom style="thin">
        <color indexed="64"/>
      </bottom>
      <diagonal/>
    </border>
    <border>
      <left style="mediumDashDot">
        <color indexed="64"/>
      </left>
      <right/>
      <top style="thin">
        <color indexed="64"/>
      </top>
      <bottom style="mediumDashDot">
        <color indexed="64"/>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right style="medium">
        <color indexed="8"/>
      </right>
      <top/>
      <bottom style="medium">
        <color indexed="64"/>
      </bottom>
      <diagonal/>
    </border>
    <border>
      <left/>
      <right style="mediumDashDot">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
        <color indexed="64"/>
      </bottom>
      <diagonal/>
    </border>
    <border>
      <left style="mediumDashDot">
        <color indexed="64"/>
      </left>
      <right style="mediumDashDot">
        <color indexed="64"/>
      </right>
      <top style="mediumDashDot">
        <color indexed="64"/>
      </top>
      <bottom/>
      <diagonal/>
    </border>
    <border>
      <left style="mediumDashDot">
        <color indexed="64"/>
      </left>
      <right style="mediumDashDot">
        <color indexed="64"/>
      </right>
      <top/>
      <bottom style="medium">
        <color indexed="64"/>
      </bottom>
      <diagonal/>
    </border>
  </borders>
  <cellStyleXfs count="1">
    <xf numFmtId="0" fontId="0" fillId="0" borderId="0"/>
  </cellStyleXfs>
  <cellXfs count="477">
    <xf numFmtId="0" fontId="0" fillId="0" borderId="0" xfId="0"/>
    <xf numFmtId="0" fontId="0" fillId="0" borderId="0" xfId="0" applyProtection="1"/>
    <xf numFmtId="0" fontId="5" fillId="0" borderId="0" xfId="0" applyFont="1" applyAlignment="1" applyProtection="1">
      <alignment horizontal="center"/>
    </xf>
    <xf numFmtId="0" fontId="6" fillId="0" borderId="0" xfId="0" applyFont="1" applyAlignment="1" applyProtection="1">
      <alignment horizontal="center"/>
    </xf>
    <xf numFmtId="0" fontId="0" fillId="0" borderId="0" xfId="0" applyBorder="1" applyProtection="1"/>
    <xf numFmtId="0" fontId="0" fillId="0" borderId="0" xfId="0" applyBorder="1" applyAlignment="1" applyProtection="1">
      <alignment horizontal="right"/>
    </xf>
    <xf numFmtId="0" fontId="0" fillId="0" borderId="0" xfId="0" applyFill="1" applyBorder="1" applyAlignment="1" applyProtection="1">
      <alignment horizontal="left"/>
    </xf>
    <xf numFmtId="0" fontId="0" fillId="0" borderId="0" xfId="0" applyBorder="1" applyAlignment="1" applyProtection="1">
      <alignment horizontal="left"/>
    </xf>
    <xf numFmtId="0" fontId="0" fillId="0" borderId="0" xfId="0" applyFill="1" applyBorder="1" applyProtection="1"/>
    <xf numFmtId="0" fontId="6" fillId="0" borderId="1" xfId="0" applyFont="1" applyFill="1" applyBorder="1" applyAlignment="1" applyProtection="1">
      <alignment horizontal="right"/>
    </xf>
    <xf numFmtId="0" fontId="0" fillId="0" borderId="2" xfId="0" applyBorder="1" applyProtection="1"/>
    <xf numFmtId="0" fontId="2" fillId="0" borderId="0" xfId="0" applyFont="1" applyProtection="1"/>
    <xf numFmtId="0" fontId="2" fillId="0" borderId="0" xfId="0" applyFont="1" applyBorder="1" applyProtection="1"/>
    <xf numFmtId="0" fontId="2" fillId="0" borderId="0" xfId="0" applyFont="1" applyBorder="1" applyAlignment="1" applyProtection="1">
      <alignment horizontal="right"/>
    </xf>
    <xf numFmtId="0" fontId="1" fillId="0" borderId="0" xfId="0" applyFont="1" applyProtection="1"/>
    <xf numFmtId="0" fontId="3" fillId="0" borderId="0" xfId="0" applyFont="1" applyProtection="1"/>
    <xf numFmtId="0" fontId="4" fillId="0" borderId="0" xfId="0" applyFont="1" applyProtection="1"/>
    <xf numFmtId="0" fontId="2" fillId="0" borderId="0" xfId="0" applyFont="1" applyAlignment="1" applyProtection="1">
      <alignment wrapText="1"/>
    </xf>
    <xf numFmtId="164" fontId="0" fillId="0" borderId="0" xfId="0" applyNumberFormat="1" applyAlignment="1" applyProtection="1">
      <alignment horizontal="center"/>
    </xf>
    <xf numFmtId="0" fontId="3" fillId="0" borderId="0" xfId="0" applyFont="1" applyBorder="1" applyAlignment="1" applyProtection="1">
      <alignment horizontal="center" wrapText="1"/>
    </xf>
    <xf numFmtId="0" fontId="8" fillId="0" borderId="0" xfId="0" applyFont="1" applyAlignment="1" applyProtection="1">
      <alignment horizontal="center"/>
    </xf>
    <xf numFmtId="0" fontId="8" fillId="0" borderId="2"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right"/>
    </xf>
    <xf numFmtId="14" fontId="8" fillId="0" borderId="0" xfId="0" applyNumberFormat="1" applyFont="1" applyBorder="1" applyAlignment="1" applyProtection="1">
      <alignment horizontal="center"/>
    </xf>
    <xf numFmtId="0" fontId="0" fillId="0" borderId="3" xfId="0" applyBorder="1" applyProtection="1"/>
    <xf numFmtId="0" fontId="0" fillId="0" borderId="0" xfId="0" applyAlignment="1" applyProtection="1">
      <alignment horizontal="right"/>
    </xf>
    <xf numFmtId="0" fontId="8" fillId="0" borderId="0" xfId="0" applyFont="1" applyBorder="1" applyAlignment="1" applyProtection="1">
      <alignment horizontal="center"/>
    </xf>
    <xf numFmtId="0" fontId="7" fillId="0" borderId="1" xfId="0" applyFont="1" applyBorder="1" applyAlignment="1" applyProtection="1">
      <alignment horizontal="center"/>
    </xf>
    <xf numFmtId="0" fontId="7" fillId="0" borderId="0" xfId="0" applyFont="1" applyBorder="1" applyAlignment="1" applyProtection="1">
      <alignment horizontal="center"/>
    </xf>
    <xf numFmtId="164" fontId="0" fillId="0" borderId="0" xfId="0" applyNumberFormat="1" applyBorder="1" applyProtection="1"/>
    <xf numFmtId="164" fontId="1" fillId="0" borderId="0" xfId="0" applyNumberFormat="1" applyFont="1" applyFill="1" applyBorder="1" applyProtection="1"/>
    <xf numFmtId="0" fontId="1" fillId="0" borderId="0" xfId="0" applyFont="1" applyFill="1" applyBorder="1" applyProtection="1"/>
    <xf numFmtId="164" fontId="3" fillId="0" borderId="0" xfId="0" applyNumberFormat="1" applyFont="1" applyFill="1" applyBorder="1" applyProtection="1"/>
    <xf numFmtId="14" fontId="6" fillId="2" borderId="4" xfId="0" applyNumberFormat="1"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14" fontId="8" fillId="0" borderId="2" xfId="0" applyNumberFormat="1" applyFont="1" applyBorder="1" applyAlignment="1" applyProtection="1">
      <alignment horizontal="center"/>
    </xf>
    <xf numFmtId="0" fontId="2" fillId="0" borderId="0" xfId="0" applyFont="1" applyFill="1" applyBorder="1" applyAlignment="1" applyProtection="1">
      <alignment horizontal="right"/>
    </xf>
    <xf numFmtId="0" fontId="6" fillId="0" borderId="0" xfId="0" applyFont="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wrapText="1"/>
    </xf>
    <xf numFmtId="0" fontId="1" fillId="0" borderId="8" xfId="0" applyFont="1" applyBorder="1" applyAlignment="1">
      <alignment horizontal="center" vertical="center" wrapText="1"/>
    </xf>
    <xf numFmtId="164" fontId="6" fillId="0" borderId="9" xfId="0" applyNumberFormat="1" applyFont="1" applyBorder="1" applyAlignment="1" applyProtection="1">
      <alignment horizontal="right"/>
    </xf>
    <xf numFmtId="0" fontId="12" fillId="0" borderId="0" xfId="0" applyFont="1" applyProtection="1"/>
    <xf numFmtId="0" fontId="6" fillId="0" borderId="0" xfId="0" applyFont="1" applyFill="1" applyBorder="1" applyAlignment="1" applyProtection="1">
      <alignment horizontal="center"/>
    </xf>
    <xf numFmtId="0" fontId="11" fillId="0" borderId="0" xfId="0" applyFont="1" applyBorder="1" applyProtection="1"/>
    <xf numFmtId="0" fontId="0" fillId="0" borderId="1" xfId="0" applyBorder="1" applyProtection="1"/>
    <xf numFmtId="164" fontId="6" fillId="0" borderId="10" xfId="0" applyNumberFormat="1" applyFont="1" applyBorder="1" applyAlignment="1" applyProtection="1">
      <alignment horizontal="right"/>
    </xf>
    <xf numFmtId="164" fontId="6" fillId="0" borderId="10" xfId="0" applyNumberFormat="1" applyFont="1" applyBorder="1" applyProtection="1"/>
    <xf numFmtId="164" fontId="0" fillId="2" borderId="11" xfId="0" applyNumberFormat="1" applyFill="1" applyBorder="1" applyProtection="1">
      <protection locked="0"/>
    </xf>
    <xf numFmtId="164" fontId="0" fillId="2" borderId="12" xfId="0" applyNumberFormat="1" applyFill="1" applyBorder="1" applyProtection="1">
      <protection locked="0"/>
    </xf>
    <xf numFmtId="0" fontId="0" fillId="0" borderId="13" xfId="0" applyBorder="1" applyAlignment="1" applyProtection="1">
      <alignment horizontal="right"/>
    </xf>
    <xf numFmtId="164" fontId="0" fillId="2" borderId="12"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164" fontId="0" fillId="2" borderId="15" xfId="0" applyNumberFormat="1" applyFill="1" applyBorder="1" applyAlignment="1" applyProtection="1">
      <alignment horizontal="right"/>
      <protection locked="0"/>
    </xf>
    <xf numFmtId="0" fontId="12" fillId="0" borderId="0" xfId="0" applyFont="1" applyAlignment="1">
      <alignment horizontal="center"/>
    </xf>
    <xf numFmtId="0" fontId="0" fillId="0" borderId="0" xfId="0" applyAlignment="1" applyProtection="1">
      <alignment wrapText="1"/>
    </xf>
    <xf numFmtId="0" fontId="5" fillId="0" borderId="0" xfId="0" applyFont="1" applyAlignment="1" applyProtection="1">
      <alignment horizontal="center" wrapText="1"/>
    </xf>
    <xf numFmtId="0" fontId="1" fillId="0" borderId="0" xfId="0" applyFont="1" applyBorder="1" applyAlignment="1">
      <alignment horizontal="center" vertical="center"/>
    </xf>
    <xf numFmtId="0" fontId="1" fillId="0" borderId="0" xfId="0" applyFont="1" applyBorder="1" applyAlignment="1">
      <alignment wrapText="1"/>
    </xf>
    <xf numFmtId="0" fontId="6" fillId="0" borderId="0" xfId="0" applyFont="1" applyFill="1" applyBorder="1" applyProtection="1"/>
    <xf numFmtId="0" fontId="6" fillId="0" borderId="0" xfId="0" applyFont="1" applyBorder="1" applyProtection="1"/>
    <xf numFmtId="0" fontId="0" fillId="0" borderId="0" xfId="0" applyFill="1" applyProtection="1"/>
    <xf numFmtId="0" fontId="0" fillId="0" borderId="0" xfId="0" applyFill="1" applyAlignment="1" applyProtection="1">
      <alignment horizontal="right"/>
    </xf>
    <xf numFmtId="49" fontId="0" fillId="0" borderId="0" xfId="0" applyNumberFormat="1" applyFill="1" applyAlignment="1" applyProtection="1"/>
    <xf numFmtId="164" fontId="6" fillId="0" borderId="16" xfId="0" applyNumberFormat="1" applyFont="1" applyBorder="1" applyAlignment="1" applyProtection="1"/>
    <xf numFmtId="164" fontId="2" fillId="0" borderId="0" xfId="0" applyNumberFormat="1" applyFont="1" applyFill="1" applyBorder="1" applyProtection="1"/>
    <xf numFmtId="165" fontId="2" fillId="0" borderId="0" xfId="0" applyNumberFormat="1" applyFont="1" applyFill="1" applyBorder="1" applyProtection="1"/>
    <xf numFmtId="165" fontId="2" fillId="0" borderId="0" xfId="0" applyNumberFormat="1" applyFont="1" applyFill="1" applyBorder="1" applyAlignment="1" applyProtection="1">
      <alignment horizontal="right"/>
    </xf>
    <xf numFmtId="0" fontId="0" fillId="0" borderId="0" xfId="0" applyFill="1" applyBorder="1" applyAlignment="1" applyProtection="1">
      <alignment horizontal="center" wrapText="1"/>
    </xf>
    <xf numFmtId="0" fontId="6" fillId="0" borderId="0" xfId="0" applyFont="1" applyProtection="1"/>
    <xf numFmtId="0" fontId="0" fillId="0" borderId="0" xfId="0" applyFill="1" applyBorder="1" applyAlignment="1" applyProtection="1">
      <alignment horizontal="right"/>
    </xf>
    <xf numFmtId="2" fontId="0" fillId="2" borderId="4" xfId="0" applyNumberFormat="1" applyFill="1" applyBorder="1" applyProtection="1">
      <protection locked="0"/>
    </xf>
    <xf numFmtId="164" fontId="0" fillId="0" borderId="17" xfId="0" applyNumberFormat="1" applyBorder="1" applyProtection="1"/>
    <xf numFmtId="0" fontId="0" fillId="0" borderId="0" xfId="0" applyAlignment="1" applyProtection="1">
      <alignment horizontal="left"/>
    </xf>
    <xf numFmtId="1" fontId="0" fillId="0" borderId="0" xfId="0" applyNumberFormat="1" applyProtection="1"/>
    <xf numFmtId="2" fontId="0" fillId="0" borderId="0" xfId="0" applyNumberFormat="1" applyProtection="1"/>
    <xf numFmtId="164" fontId="0" fillId="0" borderId="0" xfId="0" applyNumberFormat="1" applyProtection="1"/>
    <xf numFmtId="164" fontId="2" fillId="0" borderId="18" xfId="0" applyNumberFormat="1" applyFont="1" applyFill="1" applyBorder="1" applyAlignment="1" applyProtection="1">
      <alignment horizontal="left"/>
    </xf>
    <xf numFmtId="4" fontId="0" fillId="0" borderId="0" xfId="0" applyNumberFormat="1" applyFill="1" applyAlignment="1" applyProtection="1"/>
    <xf numFmtId="164" fontId="2" fillId="0" borderId="19" xfId="0" applyNumberFormat="1" applyFont="1" applyFill="1" applyBorder="1" applyAlignment="1" applyProtection="1">
      <alignment horizontal="center"/>
    </xf>
    <xf numFmtId="0" fontId="9" fillId="0" borderId="20" xfId="0" applyFont="1" applyBorder="1" applyAlignment="1" applyProtection="1">
      <alignment horizontal="center"/>
    </xf>
    <xf numFmtId="0" fontId="9" fillId="0" borderId="1" xfId="0" applyFont="1" applyBorder="1" applyAlignment="1" applyProtection="1">
      <alignment horizontal="center"/>
    </xf>
    <xf numFmtId="0" fontId="9" fillId="0" borderId="18" xfId="0" applyFont="1" applyBorder="1" applyAlignment="1" applyProtection="1">
      <alignment horizontal="center"/>
    </xf>
    <xf numFmtId="0" fontId="0" fillId="0" borderId="16" xfId="0" applyBorder="1" applyProtection="1"/>
    <xf numFmtId="0" fontId="16" fillId="0" borderId="0" xfId="0" applyFont="1" applyBorder="1" applyAlignment="1" applyProtection="1">
      <alignment horizontal="center"/>
    </xf>
    <xf numFmtId="0" fontId="6" fillId="0" borderId="0" xfId="0" applyFont="1" applyFill="1" applyAlignment="1" applyProtection="1">
      <alignment horizontal="right"/>
    </xf>
    <xf numFmtId="0" fontId="7" fillId="0" borderId="20" xfId="0" applyFont="1" applyBorder="1" applyAlignment="1" applyProtection="1">
      <alignment horizontal="right" vertical="center"/>
    </xf>
    <xf numFmtId="164" fontId="7" fillId="0" borderId="18" xfId="0" applyNumberFormat="1" applyFont="1" applyBorder="1" applyAlignment="1" applyProtection="1">
      <alignment horizontal="left"/>
    </xf>
    <xf numFmtId="164" fontId="7" fillId="0" borderId="21" xfId="0" applyNumberFormat="1" applyFont="1" applyBorder="1" applyAlignment="1" applyProtection="1">
      <alignment horizontal="left"/>
    </xf>
    <xf numFmtId="164" fontId="7" fillId="0" borderId="16" xfId="0" applyNumberFormat="1" applyFont="1" applyBorder="1" applyAlignment="1" applyProtection="1">
      <alignment horizontal="left"/>
    </xf>
    <xf numFmtId="0" fontId="7" fillId="0" borderId="0" xfId="0" applyFont="1" applyBorder="1" applyAlignment="1" applyProtection="1">
      <alignment horizontal="right" vertical="center"/>
    </xf>
    <xf numFmtId="164" fontId="7" fillId="0" borderId="0" xfId="0" applyNumberFormat="1" applyFont="1" applyBorder="1" applyAlignment="1" applyProtection="1">
      <alignment horizontal="left"/>
    </xf>
    <xf numFmtId="0" fontId="7" fillId="0" borderId="3" xfId="0" applyFont="1" applyBorder="1" applyProtection="1"/>
    <xf numFmtId="0" fontId="0" fillId="0" borderId="21" xfId="0" applyBorder="1" applyProtection="1"/>
    <xf numFmtId="0" fontId="7" fillId="0" borderId="22" xfId="0" applyFont="1" applyBorder="1" applyAlignment="1" applyProtection="1">
      <alignment horizontal="right"/>
    </xf>
    <xf numFmtId="0" fontId="7" fillId="0" borderId="23" xfId="0" applyFont="1" applyBorder="1" applyAlignment="1" applyProtection="1">
      <alignment horizontal="right"/>
    </xf>
    <xf numFmtId="0" fontId="8" fillId="0" borderId="24" xfId="0" applyFont="1" applyBorder="1" applyAlignment="1" applyProtection="1">
      <alignment horizontal="right"/>
    </xf>
    <xf numFmtId="164" fontId="8" fillId="0" borderId="16" xfId="0" applyNumberFormat="1" applyFont="1" applyFill="1" applyBorder="1" applyProtection="1"/>
    <xf numFmtId="0" fontId="8" fillId="0" borderId="0" xfId="0" applyFont="1" applyBorder="1" applyAlignment="1" applyProtection="1">
      <alignment horizontal="right"/>
    </xf>
    <xf numFmtId="164" fontId="8" fillId="0" borderId="0" xfId="0" applyNumberFormat="1" applyFont="1" applyBorder="1" applyProtection="1"/>
    <xf numFmtId="164" fontId="8" fillId="0" borderId="0" xfId="0" applyNumberFormat="1" applyFont="1" applyFill="1" applyBorder="1" applyProtection="1"/>
    <xf numFmtId="0" fontId="7" fillId="0" borderId="20" xfId="0" applyFont="1" applyBorder="1" applyAlignment="1" applyProtection="1">
      <alignment horizontal="right"/>
    </xf>
    <xf numFmtId="164" fontId="7" fillId="0" borderId="18" xfId="0" applyNumberFormat="1" applyFont="1" applyFill="1" applyBorder="1" applyAlignment="1" applyProtection="1">
      <alignment horizontal="right"/>
    </xf>
    <xf numFmtId="0" fontId="7" fillId="0" borderId="3" xfId="0" applyFont="1" applyBorder="1" applyAlignment="1" applyProtection="1">
      <alignment horizontal="right"/>
    </xf>
    <xf numFmtId="2" fontId="8" fillId="0" borderId="16" xfId="0" applyNumberFormat="1" applyFont="1" applyFill="1" applyBorder="1" applyProtection="1"/>
    <xf numFmtId="166" fontId="8" fillId="0" borderId="25" xfId="0" applyNumberFormat="1" applyFont="1" applyBorder="1" applyAlignment="1" applyProtection="1">
      <alignment horizontal="right"/>
    </xf>
    <xf numFmtId="2" fontId="8" fillId="0" borderId="25" xfId="0" applyNumberFormat="1" applyFont="1" applyBorder="1" applyAlignment="1" applyProtection="1">
      <alignment horizontal="right"/>
    </xf>
    <xf numFmtId="0" fontId="0" fillId="0" borderId="26" xfId="0" applyBorder="1" applyProtection="1"/>
    <xf numFmtId="14" fontId="8" fillId="2" borderId="4" xfId="0" applyNumberFormat="1" applyFont="1" applyFill="1" applyBorder="1" applyAlignment="1" applyProtection="1">
      <alignment horizontal="center"/>
      <protection locked="0"/>
    </xf>
    <xf numFmtId="164" fontId="7" fillId="2" borderId="4" xfId="0" applyNumberFormat="1" applyFont="1" applyFill="1" applyBorder="1" applyAlignment="1" applyProtection="1">
      <alignment horizontal="right"/>
      <protection locked="0"/>
    </xf>
    <xf numFmtId="2" fontId="7" fillId="2" borderId="4" xfId="0" applyNumberFormat="1" applyFont="1" applyFill="1" applyBorder="1" applyAlignment="1" applyProtection="1">
      <alignment horizontal="right"/>
      <protection locked="0"/>
    </xf>
    <xf numFmtId="0" fontId="6" fillId="0" borderId="0" xfId="0" applyFont="1" applyBorder="1" applyAlignment="1" applyProtection="1">
      <alignment horizontal="right"/>
    </xf>
    <xf numFmtId="0" fontId="6" fillId="0" borderId="0" xfId="0" applyFont="1" applyFill="1" applyBorder="1" applyAlignment="1" applyProtection="1">
      <alignment horizontal="center"/>
      <protection locked="0"/>
    </xf>
    <xf numFmtId="0" fontId="6" fillId="0" borderId="0" xfId="0" applyFont="1" applyBorder="1" applyAlignment="1" applyProtection="1">
      <alignment horizontal="center" wrapText="1"/>
    </xf>
    <xf numFmtId="0" fontId="6" fillId="0" borderId="27" xfId="0" applyFont="1" applyFill="1" applyBorder="1" applyAlignment="1" applyProtection="1">
      <alignment horizontal="center"/>
    </xf>
    <xf numFmtId="1" fontId="2" fillId="0" borderId="0" xfId="0" applyNumberFormat="1" applyFont="1" applyFill="1" applyBorder="1" applyProtection="1"/>
    <xf numFmtId="164" fontId="0" fillId="0" borderId="0" xfId="0" applyNumberFormat="1" applyFill="1" applyProtection="1"/>
    <xf numFmtId="164" fontId="6" fillId="0" borderId="9" xfId="0" applyNumberFormat="1" applyFont="1" applyBorder="1" applyProtection="1"/>
    <xf numFmtId="164" fontId="9" fillId="0" borderId="28" xfId="0" applyNumberFormat="1" applyFont="1" applyBorder="1" applyAlignment="1" applyProtection="1">
      <alignment horizontal="center"/>
    </xf>
    <xf numFmtId="10" fontId="0" fillId="0" borderId="0" xfId="0" applyNumberFormat="1" applyFill="1" applyProtection="1"/>
    <xf numFmtId="0" fontId="5" fillId="0" borderId="0" xfId="0" applyFont="1" applyAlignment="1">
      <alignment horizontal="center" vertical="center" wrapText="1"/>
    </xf>
    <xf numFmtId="0" fontId="0" fillId="0" borderId="0" xfId="0" applyBorder="1" applyAlignment="1" applyProtection="1">
      <alignment horizontal="center" wrapText="1"/>
    </xf>
    <xf numFmtId="3" fontId="0" fillId="0" borderId="0" xfId="0" applyNumberFormat="1" applyFill="1" applyProtection="1"/>
    <xf numFmtId="164" fontId="0" fillId="0" borderId="29" xfId="0" applyNumberFormat="1" applyFill="1" applyBorder="1" applyAlignment="1" applyProtection="1">
      <alignment horizontal="center"/>
    </xf>
    <xf numFmtId="0" fontId="9" fillId="0" borderId="0" xfId="0" applyFont="1" applyBorder="1" applyAlignment="1" applyProtection="1">
      <alignment horizontal="center"/>
    </xf>
    <xf numFmtId="164" fontId="6" fillId="0" borderId="0" xfId="0" applyNumberFormat="1" applyFont="1" applyBorder="1" applyAlignment="1" applyProtection="1"/>
    <xf numFmtId="0" fontId="2" fillId="0" borderId="0" xfId="0" applyFont="1" applyBorder="1" applyAlignment="1" applyProtection="1">
      <alignment horizontal="center" wrapText="1"/>
    </xf>
    <xf numFmtId="0" fontId="1" fillId="0" borderId="0" xfId="0" applyFont="1" applyBorder="1" applyAlignment="1" applyProtection="1">
      <alignment horizontal="center"/>
    </xf>
    <xf numFmtId="164" fontId="0" fillId="0" borderId="0" xfId="0" applyNumberFormat="1" applyFill="1" applyBorder="1" applyAlignment="1" applyProtection="1">
      <alignment horizontal="right"/>
    </xf>
    <xf numFmtId="0" fontId="0" fillId="0" borderId="0" xfId="0" applyFill="1" applyBorder="1" applyAlignment="1" applyProtection="1">
      <alignment horizontal="right" vertical="top"/>
    </xf>
    <xf numFmtId="14" fontId="0" fillId="3" borderId="30" xfId="0" applyNumberFormat="1" applyFill="1" applyBorder="1" applyProtection="1">
      <protection locked="0"/>
    </xf>
    <xf numFmtId="14" fontId="0" fillId="3" borderId="4" xfId="0" applyNumberFormat="1" applyFill="1" applyBorder="1" applyProtection="1">
      <protection locked="0"/>
    </xf>
    <xf numFmtId="165"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31" xfId="0" applyFill="1" applyBorder="1" applyProtection="1">
      <protection locked="0"/>
    </xf>
    <xf numFmtId="164" fontId="0" fillId="3" borderId="32" xfId="0" applyNumberFormat="1" applyFill="1" applyBorder="1" applyProtection="1">
      <protection locked="0"/>
    </xf>
    <xf numFmtId="0" fontId="0" fillId="3" borderId="33" xfId="0" applyFill="1" applyBorder="1" applyProtection="1">
      <protection locked="0"/>
    </xf>
    <xf numFmtId="164" fontId="0" fillId="3" borderId="34" xfId="0" applyNumberFormat="1" applyFill="1" applyBorder="1" applyProtection="1">
      <protection locked="0"/>
    </xf>
    <xf numFmtId="0" fontId="0" fillId="3" borderId="34" xfId="0" applyFill="1" applyBorder="1" applyProtection="1">
      <protection locked="0"/>
    </xf>
    <xf numFmtId="164" fontId="6" fillId="0" borderId="0" xfId="0" applyNumberFormat="1" applyFont="1" applyBorder="1" applyAlignment="1" applyProtection="1">
      <alignment horizontal="right"/>
    </xf>
    <xf numFmtId="164" fontId="0" fillId="2" borderId="14" xfId="0" applyNumberFormat="1" applyFill="1" applyBorder="1" applyProtection="1">
      <protection locked="0"/>
    </xf>
    <xf numFmtId="164" fontId="0" fillId="2" borderId="15" xfId="0" applyNumberFormat="1" applyFill="1" applyBorder="1" applyProtection="1">
      <protection locked="0"/>
    </xf>
    <xf numFmtId="10" fontId="2" fillId="0" borderId="0" xfId="0" applyNumberFormat="1" applyFont="1" applyBorder="1" applyProtection="1"/>
    <xf numFmtId="165" fontId="0" fillId="0" borderId="0" xfId="0" applyNumberFormat="1" applyProtection="1"/>
    <xf numFmtId="0" fontId="18" fillId="0" borderId="35" xfId="0" applyFont="1" applyBorder="1" applyAlignment="1" applyProtection="1">
      <alignment horizontal="right"/>
    </xf>
    <xf numFmtId="0" fontId="18" fillId="0" borderId="36" xfId="0" applyFont="1" applyBorder="1" applyAlignment="1" applyProtection="1">
      <alignment horizontal="right"/>
    </xf>
    <xf numFmtId="0" fontId="18" fillId="0" borderId="37" xfId="0" applyFont="1" applyBorder="1" applyAlignment="1" applyProtection="1">
      <alignment horizontal="right"/>
    </xf>
    <xf numFmtId="2" fontId="8" fillId="0" borderId="0" xfId="0" applyNumberFormat="1" applyFont="1" applyBorder="1" applyProtection="1"/>
    <xf numFmtId="2" fontId="8" fillId="0" borderId="0" xfId="0" applyNumberFormat="1" applyFont="1" applyFill="1" applyBorder="1" applyProtection="1"/>
    <xf numFmtId="0" fontId="0" fillId="0" borderId="3" xfId="0" applyBorder="1" applyAlignment="1" applyProtection="1">
      <alignment horizontal="right"/>
    </xf>
    <xf numFmtId="0" fontId="0" fillId="0" borderId="1" xfId="0" applyBorder="1" applyAlignment="1" applyProtection="1">
      <alignment wrapText="1"/>
    </xf>
    <xf numFmtId="0" fontId="0" fillId="0" borderId="1" xfId="0" applyBorder="1" applyAlignment="1" applyProtection="1">
      <alignment horizontal="center" wrapText="1"/>
    </xf>
    <xf numFmtId="0" fontId="1" fillId="0" borderId="6" xfId="0" applyFont="1" applyFill="1" applyBorder="1" applyAlignment="1">
      <alignment horizontal="center" vertical="center"/>
    </xf>
    <xf numFmtId="0" fontId="0" fillId="0" borderId="0" xfId="0" applyFill="1"/>
    <xf numFmtId="0" fontId="1" fillId="0" borderId="23" xfId="0" applyFont="1" applyFill="1" applyBorder="1" applyAlignment="1">
      <alignment horizontal="center" vertical="center"/>
    </xf>
    <xf numFmtId="0" fontId="1" fillId="0" borderId="0" xfId="0" applyFont="1" applyFill="1" applyBorder="1"/>
    <xf numFmtId="0" fontId="1" fillId="0" borderId="21" xfId="0" applyFont="1" applyFill="1" applyBorder="1"/>
    <xf numFmtId="0" fontId="0" fillId="0" borderId="23" xfId="0" applyFill="1" applyBorder="1" applyAlignment="1">
      <alignment horizontal="center" vertical="center"/>
    </xf>
    <xf numFmtId="0" fontId="0" fillId="0" borderId="0" xfId="0" applyFill="1" applyBorder="1"/>
    <xf numFmtId="0" fontId="0" fillId="0" borderId="7" xfId="0" applyFill="1" applyBorder="1" applyAlignment="1">
      <alignment horizontal="center" vertical="center"/>
    </xf>
    <xf numFmtId="0" fontId="0" fillId="0" borderId="38" xfId="0" applyFill="1" applyBorder="1"/>
    <xf numFmtId="0" fontId="1" fillId="0" borderId="39" xfId="0" applyFont="1" applyFill="1" applyBorder="1"/>
    <xf numFmtId="0" fontId="1" fillId="0" borderId="40" xfId="0" applyFont="1" applyFill="1" applyBorder="1" applyAlignment="1">
      <alignment horizontal="center" vertical="center"/>
    </xf>
    <xf numFmtId="2" fontId="8" fillId="0" borderId="0" xfId="0" applyNumberFormat="1" applyFont="1" applyFill="1" applyBorder="1" applyAlignment="1" applyProtection="1">
      <alignment horizontal="right"/>
    </xf>
    <xf numFmtId="0" fontId="7" fillId="0" borderId="41" xfId="0" applyFont="1" applyBorder="1" applyAlignment="1" applyProtection="1">
      <alignment horizontal="right"/>
    </xf>
    <xf numFmtId="0" fontId="5" fillId="0" borderId="0" xfId="0" applyFont="1" applyAlignment="1" applyProtection="1">
      <alignment horizontal="center" vertical="center" wrapText="1"/>
    </xf>
    <xf numFmtId="164" fontId="0" fillId="0" borderId="21" xfId="0" applyNumberFormat="1" applyBorder="1" applyProtection="1"/>
    <xf numFmtId="49" fontId="0" fillId="0" borderId="0" xfId="0" applyNumberFormat="1" applyProtection="1"/>
    <xf numFmtId="0" fontId="0" fillId="0" borderId="15" xfId="0" applyBorder="1" applyAlignment="1" applyProtection="1">
      <alignment horizontal="right"/>
    </xf>
    <xf numFmtId="164" fontId="0" fillId="0" borderId="0" xfId="0" applyNumberFormat="1" applyFill="1" applyBorder="1" applyProtection="1"/>
    <xf numFmtId="0" fontId="0" fillId="0" borderId="0" xfId="0" applyAlignment="1" applyProtection="1">
      <alignment horizontal="center"/>
    </xf>
    <xf numFmtId="0" fontId="0" fillId="0" borderId="20" xfId="0" applyBorder="1" applyAlignment="1" applyProtection="1">
      <alignment horizontal="center" wrapText="1"/>
    </xf>
    <xf numFmtId="0" fontId="0" fillId="0" borderId="42" xfId="0" applyBorder="1" applyAlignment="1" applyProtection="1">
      <alignment horizontal="center" wrapText="1"/>
    </xf>
    <xf numFmtId="0" fontId="2" fillId="0" borderId="43" xfId="0" applyFont="1" applyBorder="1" applyAlignment="1" applyProtection="1">
      <alignment horizontal="center" wrapText="1"/>
    </xf>
    <xf numFmtId="0" fontId="0" fillId="0" borderId="43" xfId="0" applyBorder="1" applyAlignment="1" applyProtection="1">
      <alignment horizontal="center" wrapText="1"/>
    </xf>
    <xf numFmtId="0" fontId="0" fillId="0" borderId="28" xfId="0" applyBorder="1" applyAlignment="1" applyProtection="1">
      <alignment horizontal="center" wrapText="1"/>
    </xf>
    <xf numFmtId="2" fontId="0" fillId="0" borderId="44" xfId="0" applyNumberFormat="1" applyBorder="1" applyProtection="1"/>
    <xf numFmtId="164" fontId="0" fillId="0" borderId="45" xfId="0" applyNumberFormat="1" applyBorder="1" applyProtection="1"/>
    <xf numFmtId="164" fontId="0" fillId="0" borderId="45" xfId="0" applyNumberFormat="1" applyBorder="1" applyAlignment="1" applyProtection="1">
      <alignment horizontal="right"/>
    </xf>
    <xf numFmtId="164" fontId="0" fillId="0" borderId="16" xfId="0" applyNumberFormat="1" applyBorder="1" applyAlignment="1" applyProtection="1">
      <alignment horizontal="right"/>
    </xf>
    <xf numFmtId="165" fontId="0" fillId="0" borderId="0" xfId="0" applyNumberFormat="1" applyFill="1" applyBorder="1" applyProtection="1"/>
    <xf numFmtId="164" fontId="0" fillId="0" borderId="0" xfId="0" applyNumberFormat="1" applyBorder="1" applyAlignment="1" applyProtection="1">
      <alignment horizontal="right"/>
    </xf>
    <xf numFmtId="164" fontId="0" fillId="0" borderId="21" xfId="0" applyNumberFormat="1" applyBorder="1" applyAlignment="1" applyProtection="1">
      <alignment horizontal="right"/>
    </xf>
    <xf numFmtId="0" fontId="6" fillId="0" borderId="3" xfId="0" applyFont="1" applyBorder="1" applyProtection="1"/>
    <xf numFmtId="0" fontId="0" fillId="0" borderId="46" xfId="0" applyBorder="1" applyAlignment="1" applyProtection="1">
      <alignment horizontal="center" wrapText="1"/>
    </xf>
    <xf numFmtId="0" fontId="0" fillId="0" borderId="47" xfId="0" applyBorder="1" applyProtection="1"/>
    <xf numFmtId="0" fontId="0" fillId="0" borderId="48" xfId="0" applyBorder="1" applyAlignment="1" applyProtection="1">
      <alignment horizontal="center" wrapText="1"/>
    </xf>
    <xf numFmtId="0" fontId="0" fillId="0" borderId="49" xfId="0" applyBorder="1" applyAlignment="1" applyProtection="1">
      <alignment horizontal="center"/>
    </xf>
    <xf numFmtId="2" fontId="0" fillId="0" borderId="50" xfId="0" applyNumberFormat="1" applyFill="1" applyBorder="1" applyProtection="1"/>
    <xf numFmtId="0" fontId="0" fillId="4" borderId="51" xfId="0" applyFill="1" applyBorder="1" applyProtection="1"/>
    <xf numFmtId="164" fontId="0" fillId="0" borderId="52" xfId="0" applyNumberFormat="1" applyFill="1" applyBorder="1" applyProtection="1"/>
    <xf numFmtId="2" fontId="0" fillId="0" borderId="53" xfId="0" applyNumberFormat="1" applyFill="1" applyBorder="1" applyProtection="1"/>
    <xf numFmtId="164" fontId="0" fillId="0" borderId="53" xfId="0" applyNumberFormat="1" applyFill="1" applyBorder="1" applyProtection="1"/>
    <xf numFmtId="164" fontId="0" fillId="0" borderId="54" xfId="0" applyNumberFormat="1" applyFill="1" applyBorder="1" applyProtection="1"/>
    <xf numFmtId="0" fontId="16" fillId="0" borderId="21" xfId="0" applyFont="1" applyBorder="1" applyAlignment="1" applyProtection="1">
      <alignment horizontal="center"/>
    </xf>
    <xf numFmtId="0" fontId="16" fillId="0" borderId="3" xfId="0" applyFont="1" applyBorder="1" applyAlignment="1" applyProtection="1">
      <alignment horizontal="center"/>
    </xf>
    <xf numFmtId="0" fontId="0" fillId="0" borderId="21" xfId="0" applyBorder="1" applyAlignment="1" applyProtection="1">
      <alignment horizontal="right"/>
    </xf>
    <xf numFmtId="0" fontId="0" fillId="5" borderId="42" xfId="0" applyFill="1" applyBorder="1" applyAlignment="1" applyProtection="1">
      <alignment horizontal="center"/>
    </xf>
    <xf numFmtId="0" fontId="0" fillId="5" borderId="42" xfId="0" applyFill="1" applyBorder="1" applyAlignment="1" applyProtection="1">
      <alignment horizontal="center" wrapText="1"/>
    </xf>
    <xf numFmtId="0" fontId="0" fillId="0" borderId="28" xfId="0" applyBorder="1" applyAlignment="1" applyProtection="1">
      <alignment horizontal="center"/>
    </xf>
    <xf numFmtId="0" fontId="0" fillId="0" borderId="26" xfId="0" applyBorder="1" applyAlignment="1" applyProtection="1">
      <alignment horizontal="right"/>
    </xf>
    <xf numFmtId="164" fontId="0" fillId="0" borderId="16" xfId="0" applyNumberFormat="1" applyBorder="1" applyProtection="1"/>
    <xf numFmtId="164" fontId="0" fillId="0" borderId="2" xfId="0" applyNumberFormat="1" applyBorder="1" applyAlignment="1" applyProtection="1">
      <alignment horizontal="right"/>
    </xf>
    <xf numFmtId="164" fontId="0" fillId="2" borderId="4" xfId="0" applyNumberFormat="1" applyFill="1" applyBorder="1" applyProtection="1">
      <protection locked="0"/>
    </xf>
    <xf numFmtId="2" fontId="8" fillId="0" borderId="9" xfId="0" applyNumberFormat="1" applyFont="1" applyFill="1" applyBorder="1" applyProtection="1"/>
    <xf numFmtId="0" fontId="12" fillId="0" borderId="55" xfId="0" applyFont="1" applyFill="1" applyBorder="1" applyProtection="1"/>
    <xf numFmtId="164" fontId="6" fillId="0" borderId="56" xfId="0" applyNumberFormat="1" applyFont="1" applyFill="1" applyBorder="1" applyAlignment="1" applyProtection="1">
      <alignment horizontal="left"/>
    </xf>
    <xf numFmtId="0" fontId="6" fillId="0" borderId="57" xfId="0" applyFont="1" applyFill="1" applyBorder="1" applyAlignment="1" applyProtection="1">
      <alignment horizontal="right" wrapText="1"/>
    </xf>
    <xf numFmtId="164" fontId="0" fillId="4" borderId="45" xfId="0" applyNumberFormat="1" applyFill="1" applyBorder="1" applyProtection="1"/>
    <xf numFmtId="0" fontId="6" fillId="0" borderId="0" xfId="0" applyFont="1" applyFill="1" applyAlignment="1">
      <alignment horizontal="center"/>
    </xf>
    <xf numFmtId="0" fontId="10" fillId="0" borderId="0" xfId="0" applyFont="1" applyFill="1" applyAlignment="1">
      <alignment horizontal="center"/>
    </xf>
    <xf numFmtId="0" fontId="0" fillId="0" borderId="0" xfId="0" applyFill="1" applyBorder="1" applyAlignment="1">
      <alignment horizontal="center"/>
    </xf>
    <xf numFmtId="0" fontId="2"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 fillId="0" borderId="0" xfId="0" applyFont="1" applyFill="1" applyBorder="1" applyAlignment="1">
      <alignment horizontal="right"/>
    </xf>
    <xf numFmtId="0" fontId="1" fillId="0" borderId="0" xfId="0" applyFont="1" applyFill="1" applyBorder="1" applyAlignment="1">
      <alignment horizontal="center"/>
    </xf>
    <xf numFmtId="0" fontId="2" fillId="0" borderId="0" xfId="0" applyFont="1" applyFill="1" applyBorder="1" applyAlignment="1">
      <alignment horizontal="left"/>
    </xf>
    <xf numFmtId="0" fontId="6" fillId="0" borderId="20" xfId="0" applyFont="1" applyBorder="1" applyAlignment="1" applyProtection="1">
      <alignment horizontal="center"/>
    </xf>
    <xf numFmtId="0" fontId="6" fillId="0" borderId="18" xfId="0" applyFont="1" applyBorder="1" applyAlignment="1" applyProtection="1">
      <alignment horizontal="center"/>
    </xf>
    <xf numFmtId="0" fontId="6" fillId="0" borderId="3" xfId="0" applyFont="1" applyBorder="1" applyAlignment="1" applyProtection="1">
      <alignment horizontal="center"/>
    </xf>
    <xf numFmtId="0" fontId="6" fillId="0" borderId="21" xfId="0" applyFont="1" applyBorder="1" applyAlignment="1" applyProtection="1">
      <alignment horizontal="center"/>
    </xf>
    <xf numFmtId="0" fontId="8" fillId="0" borderId="2" xfId="0" applyFont="1" applyBorder="1" applyAlignment="1" applyProtection="1">
      <alignment horizontal="right"/>
    </xf>
    <xf numFmtId="164" fontId="8" fillId="0" borderId="2" xfId="0" applyNumberFormat="1" applyFont="1" applyBorder="1" applyProtection="1"/>
    <xf numFmtId="164" fontId="8" fillId="0" borderId="2" xfId="0" applyNumberFormat="1" applyFont="1" applyFill="1" applyBorder="1" applyProtection="1"/>
    <xf numFmtId="0" fontId="6" fillId="0" borderId="0" xfId="0" applyFont="1" applyBorder="1" applyAlignment="1" applyProtection="1">
      <alignment horizontal="center"/>
    </xf>
    <xf numFmtId="0" fontId="6" fillId="0" borderId="26" xfId="0" applyFont="1" applyBorder="1" applyAlignment="1" applyProtection="1">
      <alignment horizontal="center"/>
    </xf>
    <xf numFmtId="0" fontId="6" fillId="0" borderId="16" xfId="0" applyFont="1" applyBorder="1" applyAlignment="1" applyProtection="1">
      <alignment horizontal="center"/>
    </xf>
    <xf numFmtId="0" fontId="7" fillId="0" borderId="18" xfId="0" applyFont="1" applyBorder="1" applyAlignment="1" applyProtection="1">
      <alignment horizontal="right"/>
    </xf>
    <xf numFmtId="0" fontId="6" fillId="0" borderId="58" xfId="0" applyNumberFormat="1" applyFont="1" applyFill="1" applyBorder="1" applyAlignment="1" applyProtection="1">
      <alignment horizontal="left"/>
    </xf>
    <xf numFmtId="0" fontId="0" fillId="0" borderId="0" xfId="0" applyFill="1" applyBorder="1" applyAlignment="1" applyProtection="1">
      <alignment horizontal="right"/>
      <protection locked="0"/>
    </xf>
    <xf numFmtId="164" fontId="0" fillId="0" borderId="0" xfId="0" applyNumberFormat="1" applyFill="1" applyBorder="1" applyProtection="1">
      <protection locked="0"/>
    </xf>
    <xf numFmtId="0" fontId="0" fillId="0" borderId="0" xfId="0" applyFill="1" applyBorder="1" applyProtection="1">
      <protection locked="0"/>
    </xf>
    <xf numFmtId="0" fontId="0" fillId="0" borderId="2" xfId="0" applyFill="1" applyBorder="1" applyProtection="1"/>
    <xf numFmtId="164" fontId="0" fillId="0" borderId="2" xfId="0" applyNumberFormat="1" applyFill="1" applyBorder="1" applyAlignment="1" applyProtection="1">
      <alignment horizontal="right"/>
    </xf>
    <xf numFmtId="0" fontId="0" fillId="0" borderId="3" xfId="0" applyBorder="1" applyAlignment="1" applyProtection="1">
      <alignment horizontal="right"/>
    </xf>
    <xf numFmtId="0" fontId="0" fillId="0" borderId="3" xfId="0" applyBorder="1" applyProtection="1"/>
    <xf numFmtId="0" fontId="0" fillId="0" borderId="0" xfId="0" applyBorder="1" applyProtection="1"/>
    <xf numFmtId="0" fontId="0" fillId="0" borderId="2" xfId="0" applyBorder="1" applyProtection="1"/>
    <xf numFmtId="0" fontId="0" fillId="0" borderId="1" xfId="0" applyBorder="1" applyAlignment="1" applyProtection="1">
      <alignment wrapText="1"/>
    </xf>
    <xf numFmtId="0" fontId="0" fillId="0" borderId="1" xfId="0" applyBorder="1" applyAlignment="1" applyProtection="1">
      <alignment horizontal="center" wrapText="1"/>
    </xf>
    <xf numFmtId="0" fontId="0" fillId="0" borderId="0" xfId="0" applyBorder="1" applyAlignment="1" applyProtection="1">
      <alignment horizontal="center" wrapText="1"/>
    </xf>
    <xf numFmtId="0" fontId="0" fillId="0" borderId="3" xfId="0" applyBorder="1" applyAlignment="1" applyProtection="1">
      <alignment horizontal="right"/>
    </xf>
    <xf numFmtId="0" fontId="0" fillId="0" borderId="2" xfId="0" applyBorder="1" applyProtection="1"/>
    <xf numFmtId="0" fontId="0" fillId="0" borderId="3" xfId="0" applyBorder="1" applyProtection="1"/>
    <xf numFmtId="0" fontId="0" fillId="0" borderId="0" xfId="0" applyBorder="1" applyProtection="1"/>
    <xf numFmtId="0" fontId="0" fillId="0" borderId="1" xfId="0" applyBorder="1" applyAlignment="1" applyProtection="1">
      <alignment wrapText="1"/>
    </xf>
    <xf numFmtId="0" fontId="0" fillId="0" borderId="1" xfId="0" applyBorder="1" applyAlignment="1" applyProtection="1">
      <alignment horizontal="center" wrapText="1"/>
    </xf>
    <xf numFmtId="0" fontId="0" fillId="0" borderId="0" xfId="0" applyBorder="1" applyAlignment="1" applyProtection="1">
      <alignment horizontal="center" wrapText="1"/>
    </xf>
    <xf numFmtId="0" fontId="1" fillId="0" borderId="61" xfId="0" applyFont="1" applyFill="1" applyBorder="1" applyAlignment="1">
      <alignment wrapText="1"/>
    </xf>
    <xf numFmtId="0" fontId="1" fillId="0" borderId="62" xfId="0" applyFont="1" applyFill="1" applyBorder="1" applyAlignment="1">
      <alignment wrapText="1"/>
    </xf>
    <xf numFmtId="0" fontId="1" fillId="0" borderId="63" xfId="0" applyFont="1" applyBorder="1" applyAlignment="1">
      <alignment wrapText="1"/>
    </xf>
    <xf numFmtId="0" fontId="1" fillId="0" borderId="64" xfId="0" applyFont="1" applyBorder="1" applyAlignment="1">
      <alignment wrapText="1"/>
    </xf>
    <xf numFmtId="0" fontId="1" fillId="0" borderId="65" xfId="0" applyFont="1" applyFill="1" applyBorder="1" applyAlignment="1">
      <alignment wrapText="1"/>
    </xf>
    <xf numFmtId="0" fontId="1" fillId="0" borderId="66" xfId="0" applyFont="1" applyFill="1" applyBorder="1" applyAlignment="1">
      <alignment wrapText="1"/>
    </xf>
    <xf numFmtId="0" fontId="1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center"/>
    </xf>
    <xf numFmtId="0" fontId="10" fillId="0" borderId="0" xfId="0" applyFont="1" applyAlignment="1">
      <alignment horizontal="center"/>
    </xf>
    <xf numFmtId="0" fontId="1" fillId="0" borderId="60" xfId="0" applyFont="1" applyBorder="1" applyAlignment="1">
      <alignment wrapText="1"/>
    </xf>
    <xf numFmtId="0" fontId="1" fillId="0" borderId="22" xfId="0" applyFont="1" applyBorder="1" applyAlignment="1">
      <alignment wrapText="1"/>
    </xf>
    <xf numFmtId="0" fontId="11" fillId="0" borderId="24" xfId="0" applyFont="1" applyFill="1" applyBorder="1" applyAlignment="1" applyProtection="1">
      <alignment vertical="center" wrapText="1"/>
    </xf>
    <xf numFmtId="0" fontId="11" fillId="0" borderId="44" xfId="0" applyFont="1" applyFill="1" applyBorder="1" applyAlignment="1" applyProtection="1">
      <alignment vertical="center" wrapText="1"/>
    </xf>
    <xf numFmtId="0" fontId="11" fillId="0" borderId="28" xfId="0" applyFont="1" applyFill="1" applyBorder="1" applyAlignment="1" applyProtection="1">
      <alignment vertical="center" wrapText="1"/>
    </xf>
    <xf numFmtId="0" fontId="6" fillId="2" borderId="59" xfId="0" applyFont="1" applyFill="1" applyBorder="1" applyAlignment="1" applyProtection="1">
      <alignment horizontal="center"/>
      <protection locked="0"/>
    </xf>
    <xf numFmtId="0" fontId="6" fillId="2" borderId="30" xfId="0" applyFont="1" applyFill="1" applyBorder="1" applyAlignment="1" applyProtection="1">
      <alignment horizontal="center"/>
      <protection locked="0"/>
    </xf>
    <xf numFmtId="0" fontId="6" fillId="2" borderId="31" xfId="0" applyFont="1" applyFill="1" applyBorder="1" applyAlignment="1" applyProtection="1">
      <alignment horizontal="center"/>
      <protection locked="0"/>
    </xf>
    <xf numFmtId="0" fontId="6" fillId="0" borderId="24" xfId="0" applyFont="1" applyBorder="1" applyAlignment="1" applyProtection="1">
      <alignment horizontal="right"/>
    </xf>
    <xf numFmtId="0" fontId="6" fillId="0" borderId="44" xfId="0" applyFont="1" applyBorder="1" applyAlignment="1" applyProtection="1">
      <alignment horizontal="right"/>
    </xf>
    <xf numFmtId="0" fontId="6" fillId="6" borderId="24" xfId="0" applyFont="1" applyFill="1" applyBorder="1" applyAlignment="1" applyProtection="1">
      <alignment horizontal="center"/>
    </xf>
    <xf numFmtId="0" fontId="6" fillId="6" borderId="28" xfId="0" applyFont="1" applyFill="1" applyBorder="1" applyAlignment="1" applyProtection="1">
      <alignment horizontal="center"/>
    </xf>
    <xf numFmtId="0" fontId="6" fillId="0" borderId="67" xfId="0" applyFont="1" applyBorder="1" applyAlignment="1" applyProtection="1">
      <alignment horizontal="right"/>
    </xf>
    <xf numFmtId="0" fontId="6" fillId="0" borderId="24" xfId="0" applyFont="1" applyBorder="1" applyAlignment="1" applyProtection="1">
      <alignment horizontal="right" wrapText="1"/>
    </xf>
    <xf numFmtId="0" fontId="6" fillId="0" borderId="67" xfId="0" applyFont="1" applyBorder="1" applyAlignment="1" applyProtection="1">
      <alignment horizontal="right" wrapText="1"/>
    </xf>
    <xf numFmtId="14" fontId="6" fillId="2" borderId="59" xfId="0" applyNumberFormat="1" applyFont="1" applyFill="1" applyBorder="1" applyAlignment="1" applyProtection="1">
      <alignment horizontal="center"/>
      <protection locked="0"/>
    </xf>
    <xf numFmtId="14" fontId="6" fillId="2" borderId="31" xfId="0" applyNumberFormat="1" applyFont="1" applyFill="1" applyBorder="1" applyAlignment="1" applyProtection="1">
      <alignment horizontal="center"/>
      <protection locked="0"/>
    </xf>
    <xf numFmtId="0" fontId="6" fillId="0" borderId="44" xfId="0" applyFont="1" applyBorder="1" applyAlignment="1" applyProtection="1">
      <alignment horizontal="right" wrapText="1"/>
    </xf>
    <xf numFmtId="0" fontId="6" fillId="2" borderId="59" xfId="0" applyFont="1" applyFill="1" applyBorder="1" applyAlignment="1" applyProtection="1">
      <alignment horizontal="center" wrapText="1"/>
      <protection locked="0"/>
    </xf>
    <xf numFmtId="0" fontId="6" fillId="2" borderId="30" xfId="0" applyFont="1" applyFill="1" applyBorder="1" applyAlignment="1" applyProtection="1">
      <alignment horizontal="center" wrapText="1"/>
      <protection locked="0"/>
    </xf>
    <xf numFmtId="0" fontId="6" fillId="2" borderId="31" xfId="0" applyFont="1" applyFill="1" applyBorder="1" applyAlignment="1" applyProtection="1">
      <alignment horizontal="center" wrapText="1"/>
      <protection locked="0"/>
    </xf>
    <xf numFmtId="0" fontId="5" fillId="0" borderId="0" xfId="0" applyFont="1" applyAlignment="1" applyProtection="1">
      <alignment horizontal="center" vertical="center" wrapText="1"/>
    </xf>
    <xf numFmtId="0" fontId="6" fillId="0" borderId="0" xfId="0" applyFont="1" applyAlignment="1" applyProtection="1">
      <alignment horizontal="center"/>
    </xf>
    <xf numFmtId="0" fontId="6" fillId="0" borderId="20" xfId="0" applyFont="1" applyBorder="1" applyAlignment="1" applyProtection="1">
      <alignment horizontal="right" wrapText="1"/>
    </xf>
    <xf numFmtId="0" fontId="6" fillId="0" borderId="1" xfId="0" applyFont="1" applyBorder="1" applyAlignment="1" applyProtection="1">
      <alignment horizontal="right" wrapText="1"/>
    </xf>
    <xf numFmtId="0" fontId="6" fillId="0" borderId="18" xfId="0" applyFont="1" applyBorder="1" applyAlignment="1" applyProtection="1">
      <alignment horizontal="right" wrapText="1"/>
    </xf>
    <xf numFmtId="0" fontId="6" fillId="0" borderId="26" xfId="0" applyFont="1" applyBorder="1" applyAlignment="1" applyProtection="1">
      <alignment horizontal="right" wrapText="1"/>
    </xf>
    <xf numFmtId="0" fontId="6" fillId="0" borderId="2" xfId="0" applyFont="1" applyBorder="1" applyAlignment="1" applyProtection="1">
      <alignment horizontal="right" wrapText="1"/>
    </xf>
    <xf numFmtId="0" fontId="8" fillId="0" borderId="2" xfId="0" applyFont="1" applyBorder="1" applyAlignment="1" applyProtection="1">
      <alignment horizontal="center"/>
    </xf>
    <xf numFmtId="0" fontId="7" fillId="0" borderId="0" xfId="0" applyFont="1" applyAlignment="1" applyProtection="1">
      <alignment horizontal="center"/>
    </xf>
    <xf numFmtId="0" fontId="2" fillId="2" borderId="68" xfId="0" applyFont="1" applyFill="1" applyBorder="1" applyAlignment="1" applyProtection="1">
      <alignment horizontal="center" vertical="top" wrapText="1"/>
      <protection locked="0"/>
    </xf>
    <xf numFmtId="0" fontId="2" fillId="2" borderId="69" xfId="0" applyFont="1" applyFill="1" applyBorder="1" applyAlignment="1" applyProtection="1">
      <alignment horizontal="center" vertical="top" wrapText="1"/>
      <protection locked="0"/>
    </xf>
    <xf numFmtId="0" fontId="2" fillId="2" borderId="70" xfId="0" applyFont="1" applyFill="1" applyBorder="1" applyAlignment="1" applyProtection="1">
      <alignment horizontal="center" vertical="top" wrapText="1"/>
      <protection locked="0"/>
    </xf>
    <xf numFmtId="0" fontId="2" fillId="2" borderId="27"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top" wrapText="1"/>
      <protection locked="0"/>
    </xf>
    <xf numFmtId="0" fontId="2" fillId="2" borderId="71" xfId="0" applyFont="1" applyFill="1" applyBorder="1" applyAlignment="1" applyProtection="1">
      <alignment horizontal="center" vertical="top" wrapText="1"/>
      <protection locked="0"/>
    </xf>
    <xf numFmtId="0" fontId="2" fillId="2" borderId="72" xfId="0" applyFont="1" applyFill="1" applyBorder="1" applyAlignment="1" applyProtection="1">
      <alignment horizontal="center" vertical="top" wrapText="1"/>
      <protection locked="0"/>
    </xf>
    <xf numFmtId="0" fontId="2" fillId="2" borderId="38" xfId="0" applyFont="1" applyFill="1" applyBorder="1" applyAlignment="1" applyProtection="1">
      <alignment horizontal="center" vertical="top" wrapText="1"/>
      <protection locked="0"/>
    </xf>
    <xf numFmtId="0" fontId="2" fillId="2" borderId="33" xfId="0" applyFont="1" applyFill="1" applyBorder="1" applyAlignment="1" applyProtection="1">
      <alignment horizontal="center" vertical="top" wrapText="1"/>
      <protection locked="0"/>
    </xf>
    <xf numFmtId="0" fontId="18" fillId="2" borderId="59" xfId="0" applyFont="1" applyFill="1" applyBorder="1" applyAlignment="1" applyProtection="1">
      <alignment horizontal="center"/>
      <protection locked="0"/>
    </xf>
    <xf numFmtId="0" fontId="18" fillId="2" borderId="30" xfId="0" applyFont="1" applyFill="1" applyBorder="1" applyAlignment="1" applyProtection="1">
      <alignment horizontal="center"/>
      <protection locked="0"/>
    </xf>
    <xf numFmtId="0" fontId="18" fillId="2" borderId="31" xfId="0" applyFont="1" applyFill="1" applyBorder="1" applyAlignment="1" applyProtection="1">
      <alignment horizontal="center"/>
      <protection locked="0"/>
    </xf>
    <xf numFmtId="164" fontId="18" fillId="0" borderId="73" xfId="0" applyNumberFormat="1" applyFont="1" applyBorder="1" applyAlignment="1" applyProtection="1">
      <alignment horizontal="center"/>
    </xf>
    <xf numFmtId="164" fontId="18" fillId="0" borderId="74" xfId="0" applyNumberFormat="1" applyFont="1" applyBorder="1" applyAlignment="1" applyProtection="1">
      <alignment horizontal="center"/>
    </xf>
    <xf numFmtId="164" fontId="18" fillId="0" borderId="66" xfId="0" applyNumberFormat="1" applyFont="1" applyBorder="1" applyAlignment="1" applyProtection="1">
      <alignment horizontal="center"/>
    </xf>
    <xf numFmtId="164" fontId="18" fillId="0" borderId="24" xfId="0" applyNumberFormat="1" applyFont="1" applyBorder="1" applyAlignment="1" applyProtection="1">
      <alignment horizontal="center"/>
    </xf>
    <xf numFmtId="164" fontId="18" fillId="0" borderId="44" xfId="0" applyNumberFormat="1" applyFont="1" applyBorder="1" applyAlignment="1" applyProtection="1">
      <alignment horizontal="center"/>
    </xf>
    <xf numFmtId="164" fontId="18" fillId="0" borderId="28" xfId="0" applyNumberFormat="1" applyFont="1" applyBorder="1" applyAlignment="1" applyProtection="1">
      <alignment horizontal="center"/>
    </xf>
    <xf numFmtId="2" fontId="7" fillId="2" borderId="59" xfId="0" applyNumberFormat="1" applyFont="1" applyFill="1" applyBorder="1" applyAlignment="1" applyProtection="1">
      <alignment horizontal="center"/>
      <protection locked="0"/>
    </xf>
    <xf numFmtId="2" fontId="7" fillId="2" borderId="30" xfId="0" applyNumberFormat="1" applyFont="1" applyFill="1" applyBorder="1" applyAlignment="1" applyProtection="1">
      <alignment horizontal="center"/>
      <protection locked="0"/>
    </xf>
    <xf numFmtId="2" fontId="7" fillId="2" borderId="31" xfId="0" applyNumberFormat="1" applyFont="1" applyFill="1" applyBorder="1" applyAlignment="1" applyProtection="1">
      <alignment horizontal="center"/>
      <protection locked="0"/>
    </xf>
    <xf numFmtId="0" fontId="6" fillId="0" borderId="28" xfId="0" applyFont="1" applyBorder="1" applyAlignment="1" applyProtection="1">
      <alignment horizontal="right"/>
    </xf>
    <xf numFmtId="0" fontId="0" fillId="2" borderId="76" xfId="0" applyFill="1" applyBorder="1" applyProtection="1">
      <protection locked="0"/>
    </xf>
    <xf numFmtId="0" fontId="0" fillId="2" borderId="77" xfId="0" applyFill="1" applyBorder="1" applyProtection="1">
      <protection locked="0"/>
    </xf>
    <xf numFmtId="0" fontId="0" fillId="2" borderId="75" xfId="0" applyFill="1" applyBorder="1" applyProtection="1">
      <protection locked="0"/>
    </xf>
    <xf numFmtId="0" fontId="0" fillId="0" borderId="36" xfId="0" applyBorder="1" applyProtection="1"/>
    <xf numFmtId="0" fontId="0" fillId="0" borderId="75" xfId="0" applyBorder="1" applyProtection="1"/>
    <xf numFmtId="0" fontId="0" fillId="2" borderId="78" xfId="0" applyFill="1" applyBorder="1" applyProtection="1">
      <protection locked="0"/>
    </xf>
    <xf numFmtId="0" fontId="0" fillId="2" borderId="79" xfId="0" applyFill="1" applyBorder="1" applyProtection="1">
      <protection locked="0"/>
    </xf>
    <xf numFmtId="0" fontId="0" fillId="2" borderId="80" xfId="0" applyFill="1" applyBorder="1" applyProtection="1">
      <protection locked="0"/>
    </xf>
    <xf numFmtId="0" fontId="1" fillId="0" borderId="20" xfId="0" applyFont="1" applyBorder="1" applyAlignment="1" applyProtection="1">
      <alignment horizontal="right"/>
    </xf>
    <xf numFmtId="0" fontId="1" fillId="0" borderId="1" xfId="0" applyFont="1" applyBorder="1" applyAlignment="1" applyProtection="1">
      <alignment horizontal="right"/>
    </xf>
    <xf numFmtId="0" fontId="0" fillId="0" borderId="3" xfId="0" applyBorder="1" applyAlignment="1" applyProtection="1">
      <alignment horizontal="right"/>
    </xf>
    <xf numFmtId="0" fontId="0" fillId="0" borderId="81" xfId="0" applyBorder="1" applyAlignment="1" applyProtection="1">
      <alignment horizontal="right"/>
    </xf>
    <xf numFmtId="0" fontId="9" fillId="0" borderId="24" xfId="0" applyFont="1" applyFill="1" applyBorder="1" applyAlignment="1" applyProtection="1">
      <alignment horizontal="center"/>
    </xf>
    <xf numFmtId="0" fontId="9" fillId="0" borderId="44" xfId="0" applyFont="1" applyFill="1" applyBorder="1" applyAlignment="1" applyProtection="1">
      <alignment horizontal="center"/>
    </xf>
    <xf numFmtId="0" fontId="9" fillId="0" borderId="28" xfId="0" applyFont="1" applyFill="1" applyBorder="1" applyAlignment="1" applyProtection="1">
      <alignment horizontal="center"/>
    </xf>
    <xf numFmtId="0" fontId="0" fillId="0" borderId="82" xfId="0" applyBorder="1" applyAlignment="1" applyProtection="1">
      <alignment horizontal="right"/>
    </xf>
    <xf numFmtId="0" fontId="0" fillId="0" borderId="83" xfId="0" applyBorder="1" applyAlignment="1" applyProtection="1">
      <alignment horizontal="right"/>
    </xf>
    <xf numFmtId="0" fontId="0" fillId="0" borderId="84" xfId="0" applyBorder="1" applyAlignment="1" applyProtection="1">
      <alignment horizontal="right"/>
    </xf>
    <xf numFmtId="0" fontId="0" fillId="2" borderId="87" xfId="0" applyFill="1" applyBorder="1" applyProtection="1">
      <protection locked="0"/>
    </xf>
    <xf numFmtId="0" fontId="0" fillId="2" borderId="88" xfId="0" applyFill="1" applyBorder="1" applyProtection="1">
      <protection locked="0"/>
    </xf>
    <xf numFmtId="0" fontId="15" fillId="0" borderId="20" xfId="0" applyFont="1" applyFill="1" applyBorder="1" applyAlignment="1" applyProtection="1">
      <alignment horizontal="right"/>
    </xf>
    <xf numFmtId="0" fontId="15" fillId="0" borderId="1" xfId="0" applyFont="1" applyFill="1" applyBorder="1" applyAlignment="1" applyProtection="1">
      <alignment horizontal="right"/>
    </xf>
    <xf numFmtId="0" fontId="0" fillId="2" borderId="82" xfId="0" applyFill="1" applyBorder="1" applyProtection="1">
      <protection locked="0"/>
    </xf>
    <xf numFmtId="0" fontId="0" fillId="2" borderId="83" xfId="0" applyFill="1" applyBorder="1" applyProtection="1">
      <protection locked="0"/>
    </xf>
    <xf numFmtId="0" fontId="0" fillId="2" borderId="90" xfId="0" applyFill="1" applyBorder="1" applyProtection="1">
      <protection locked="0"/>
    </xf>
    <xf numFmtId="0" fontId="6" fillId="0" borderId="26" xfId="0" applyFont="1" applyBorder="1" applyAlignment="1" applyProtection="1">
      <alignment horizontal="right"/>
    </xf>
    <xf numFmtId="0" fontId="6" fillId="0" borderId="2" xfId="0" applyFont="1" applyBorder="1" applyAlignment="1" applyProtection="1">
      <alignment horizontal="right"/>
    </xf>
    <xf numFmtId="0" fontId="6" fillId="0" borderId="16" xfId="0" applyFont="1" applyBorder="1" applyAlignment="1" applyProtection="1">
      <alignment horizontal="right"/>
    </xf>
    <xf numFmtId="0" fontId="0" fillId="0" borderId="91" xfId="0" applyBorder="1" applyAlignment="1" applyProtection="1">
      <alignment horizontal="right"/>
    </xf>
    <xf numFmtId="0" fontId="0" fillId="0" borderId="29" xfId="0" applyBorder="1" applyAlignment="1" applyProtection="1">
      <alignment horizontal="right"/>
    </xf>
    <xf numFmtId="0" fontId="7" fillId="0" borderId="1" xfId="0" applyFont="1" applyBorder="1" applyAlignment="1" applyProtection="1">
      <alignment horizontal="center"/>
    </xf>
    <xf numFmtId="0" fontId="9" fillId="0" borderId="24" xfId="0" applyFont="1" applyBorder="1" applyAlignment="1" applyProtection="1">
      <alignment horizontal="center"/>
    </xf>
    <xf numFmtId="0" fontId="9" fillId="0" borderId="44" xfId="0" applyFont="1" applyBorder="1" applyAlignment="1" applyProtection="1">
      <alignment horizontal="center"/>
    </xf>
    <xf numFmtId="0" fontId="6" fillId="0" borderId="73" xfId="0" applyFont="1" applyBorder="1" applyAlignment="1" applyProtection="1">
      <alignment horizontal="right"/>
    </xf>
    <xf numFmtId="0" fontId="6" fillId="0" borderId="74" xfId="0" applyFont="1" applyBorder="1" applyAlignment="1" applyProtection="1">
      <alignment horizontal="right"/>
    </xf>
    <xf numFmtId="0" fontId="6" fillId="0" borderId="66" xfId="0" applyFont="1" applyBorder="1" applyAlignment="1" applyProtection="1">
      <alignment horizontal="right"/>
    </xf>
    <xf numFmtId="0" fontId="0" fillId="2" borderId="92" xfId="0" applyFill="1" applyBorder="1" applyProtection="1">
      <protection locked="0"/>
    </xf>
    <xf numFmtId="14" fontId="8" fillId="0" borderId="2" xfId="0" applyNumberFormat="1" applyFont="1" applyBorder="1" applyAlignment="1" applyProtection="1">
      <alignment horizontal="center"/>
    </xf>
    <xf numFmtId="0" fontId="0" fillId="2" borderId="89" xfId="0" applyFill="1" applyBorder="1" applyProtection="1">
      <protection locked="0"/>
    </xf>
    <xf numFmtId="0" fontId="0" fillId="2" borderId="86" xfId="0" applyFill="1" applyBorder="1" applyProtection="1">
      <protection locked="0"/>
    </xf>
    <xf numFmtId="0" fontId="0" fillId="0" borderId="87" xfId="0" applyBorder="1" applyProtection="1"/>
    <xf numFmtId="0" fontId="0" fillId="0" borderId="90" xfId="0" applyBorder="1" applyProtection="1"/>
    <xf numFmtId="164" fontId="0" fillId="0" borderId="82" xfId="0" applyNumberFormat="1" applyFill="1" applyBorder="1" applyAlignment="1" applyProtection="1">
      <alignment horizontal="right"/>
    </xf>
    <xf numFmtId="164" fontId="0" fillId="0" borderId="83" xfId="0" applyNumberFormat="1" applyFill="1" applyBorder="1" applyAlignment="1" applyProtection="1">
      <alignment horizontal="right"/>
    </xf>
    <xf numFmtId="164" fontId="0" fillId="0" borderId="84" xfId="0" applyNumberFormat="1" applyFill="1" applyBorder="1" applyAlignment="1" applyProtection="1">
      <alignment horizontal="right"/>
    </xf>
    <xf numFmtId="0" fontId="0" fillId="2" borderId="85" xfId="0" applyFill="1" applyBorder="1" applyProtection="1">
      <protection locked="0"/>
    </xf>
    <xf numFmtId="0" fontId="0" fillId="0" borderId="20" xfId="0" applyFill="1" applyBorder="1" applyAlignment="1" applyProtection="1">
      <alignment horizontal="right" vertical="top"/>
    </xf>
    <xf numFmtId="0" fontId="0" fillId="0" borderId="3" xfId="0" applyFill="1" applyBorder="1" applyAlignment="1" applyProtection="1">
      <alignment horizontal="right" vertical="top"/>
    </xf>
    <xf numFmtId="0" fontId="0" fillId="0" borderId="26" xfId="0" applyFill="1" applyBorder="1" applyAlignment="1" applyProtection="1">
      <alignment horizontal="right" vertical="top"/>
    </xf>
    <xf numFmtId="0" fontId="0" fillId="3" borderId="59" xfId="0" applyFill="1" applyBorder="1" applyAlignment="1" applyProtection="1">
      <alignment horizontal="right"/>
      <protection locked="0"/>
    </xf>
    <xf numFmtId="0" fontId="0" fillId="3" borderId="30" xfId="0" applyFill="1" applyBorder="1" applyAlignment="1" applyProtection="1">
      <alignment horizontal="right"/>
      <protection locked="0"/>
    </xf>
    <xf numFmtId="0" fontId="0" fillId="3" borderId="31" xfId="0" applyFill="1" applyBorder="1" applyAlignment="1" applyProtection="1">
      <alignment horizontal="right"/>
      <protection locked="0"/>
    </xf>
    <xf numFmtId="0" fontId="2" fillId="0" borderId="24" xfId="0" applyFont="1" applyBorder="1" applyAlignment="1">
      <alignment horizontal="center"/>
    </xf>
    <xf numFmtId="0" fontId="2" fillId="0" borderId="44" xfId="0" applyFont="1" applyBorder="1" applyAlignment="1">
      <alignment horizontal="center"/>
    </xf>
    <xf numFmtId="0" fontId="2" fillId="0" borderId="28" xfId="0" applyFont="1" applyBorder="1" applyAlignment="1">
      <alignment horizontal="center"/>
    </xf>
    <xf numFmtId="14" fontId="0" fillId="3" borderId="30" xfId="0" applyNumberFormat="1" applyFill="1" applyBorder="1" applyAlignment="1" applyProtection="1">
      <alignment horizontal="center"/>
      <protection locked="0"/>
    </xf>
    <xf numFmtId="14" fontId="0" fillId="3" borderId="31" xfId="0" applyNumberFormat="1" applyFill="1" applyBorder="1" applyAlignment="1" applyProtection="1">
      <alignment horizontal="center"/>
      <protection locked="0"/>
    </xf>
    <xf numFmtId="0" fontId="0" fillId="0" borderId="3" xfId="0" applyBorder="1" applyProtection="1"/>
    <xf numFmtId="0" fontId="0" fillId="0" borderId="0" xfId="0" applyBorder="1" applyProtection="1"/>
    <xf numFmtId="0" fontId="0" fillId="0" borderId="21" xfId="0" applyBorder="1" applyProtection="1"/>
    <xf numFmtId="0" fontId="0" fillId="0" borderId="2" xfId="0" applyBorder="1" applyProtection="1"/>
    <xf numFmtId="0" fontId="0" fillId="0" borderId="95" xfId="0" applyBorder="1" applyProtection="1"/>
    <xf numFmtId="0" fontId="0" fillId="0" borderId="35" xfId="0" applyBorder="1" applyAlignment="1" applyProtection="1">
      <alignment horizontal="right"/>
    </xf>
    <xf numFmtId="0" fontId="0" fillId="0" borderId="96" xfId="0" applyBorder="1" applyAlignment="1" applyProtection="1">
      <alignment horizontal="right"/>
    </xf>
    <xf numFmtId="0" fontId="0" fillId="0" borderId="37" xfId="0" applyBorder="1" applyAlignment="1" applyProtection="1">
      <alignment horizontal="right"/>
    </xf>
    <xf numFmtId="0" fontId="0" fillId="0" borderId="57" xfId="0" applyBorder="1" applyAlignment="1" applyProtection="1">
      <alignment horizontal="right"/>
    </xf>
    <xf numFmtId="0" fontId="16" fillId="0" borderId="0" xfId="0" applyFont="1" applyBorder="1" applyAlignment="1" applyProtection="1">
      <alignment horizontal="center" wrapText="1"/>
    </xf>
    <xf numFmtId="2" fontId="12" fillId="0" borderId="2" xfId="0" applyNumberFormat="1" applyFont="1" applyBorder="1" applyProtection="1"/>
    <xf numFmtId="2" fontId="12" fillId="0" borderId="95" xfId="0" applyNumberFormat="1" applyFont="1" applyBorder="1" applyProtection="1"/>
    <xf numFmtId="0" fontId="0" fillId="5" borderId="35" xfId="0" applyFill="1" applyBorder="1" applyAlignment="1" applyProtection="1">
      <alignment horizontal="right"/>
    </xf>
    <xf numFmtId="0" fontId="0" fillId="5" borderId="96" xfId="0" applyFill="1" applyBorder="1" applyAlignment="1" applyProtection="1">
      <alignment horizontal="right"/>
    </xf>
    <xf numFmtId="0" fontId="0" fillId="5" borderId="36" xfId="0" applyFill="1" applyBorder="1" applyAlignment="1" applyProtection="1">
      <alignment horizontal="right"/>
    </xf>
    <xf numFmtId="0" fontId="0" fillId="5" borderId="75" xfId="0" applyFill="1" applyBorder="1" applyAlignment="1" applyProtection="1">
      <alignment horizontal="right"/>
    </xf>
    <xf numFmtId="0" fontId="0" fillId="5" borderId="87" xfId="0" applyFill="1" applyBorder="1" applyAlignment="1" applyProtection="1">
      <alignment horizontal="right"/>
    </xf>
    <xf numFmtId="0" fontId="0" fillId="5" borderId="90" xfId="0" applyFill="1" applyBorder="1" applyAlignment="1" applyProtection="1">
      <alignment horizontal="right"/>
    </xf>
    <xf numFmtId="0" fontId="0" fillId="3" borderId="93" xfId="0" applyFill="1" applyBorder="1" applyAlignment="1" applyProtection="1">
      <alignment horizontal="right"/>
      <protection locked="0"/>
    </xf>
    <xf numFmtId="0" fontId="0" fillId="3" borderId="94" xfId="0" applyFill="1" applyBorder="1" applyAlignment="1" applyProtection="1">
      <alignment horizontal="right"/>
      <protection locked="0"/>
    </xf>
    <xf numFmtId="0" fontId="9" fillId="0" borderId="28" xfId="0" applyFont="1" applyBorder="1" applyAlignment="1" applyProtection="1">
      <alignment horizontal="center"/>
    </xf>
    <xf numFmtId="0" fontId="6" fillId="0" borderId="53" xfId="0" applyFont="1" applyFill="1" applyBorder="1" applyAlignment="1" applyProtection="1">
      <alignment horizontal="right"/>
    </xf>
    <xf numFmtId="0" fontId="6" fillId="0" borderId="97" xfId="0" applyFont="1" applyFill="1" applyBorder="1" applyAlignment="1" applyProtection="1">
      <alignment horizontal="right"/>
    </xf>
    <xf numFmtId="0" fontId="2" fillId="0" borderId="37" xfId="0" applyFont="1" applyBorder="1" applyAlignment="1" applyProtection="1">
      <alignment horizontal="right"/>
    </xf>
    <xf numFmtId="0" fontId="2" fillId="0" borderId="57" xfId="0" applyFont="1" applyBorder="1" applyAlignment="1" applyProtection="1">
      <alignment horizontal="right"/>
    </xf>
    <xf numFmtId="0" fontId="2" fillId="0" borderId="0" xfId="0" applyFont="1" applyBorder="1" applyAlignment="1" applyProtection="1">
      <alignment horizontal="right"/>
    </xf>
    <xf numFmtId="0" fontId="1" fillId="0" borderId="100" xfId="0" applyFont="1" applyBorder="1" applyAlignment="1" applyProtection="1">
      <alignment horizontal="center" vertical="center"/>
    </xf>
    <xf numFmtId="0" fontId="1" fillId="0" borderId="101" xfId="0" applyFont="1" applyBorder="1" applyAlignment="1" applyProtection="1">
      <alignment horizontal="center" vertical="center"/>
    </xf>
    <xf numFmtId="0" fontId="2" fillId="0" borderId="0" xfId="0" applyFont="1" applyFill="1" applyBorder="1" applyAlignment="1" applyProtection="1">
      <alignment horizontal="right"/>
    </xf>
    <xf numFmtId="0" fontId="2" fillId="0" borderId="2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1" fillId="0" borderId="20" xfId="0" applyFont="1" applyBorder="1" applyAlignment="1" applyProtection="1">
      <alignment horizontal="right" vertical="center" wrapText="1"/>
    </xf>
    <xf numFmtId="0" fontId="1" fillId="0" borderId="1" xfId="0" applyFont="1" applyBorder="1" applyAlignment="1" applyProtection="1">
      <alignment horizontal="right" vertical="center" wrapText="1"/>
    </xf>
    <xf numFmtId="0" fontId="1" fillId="0" borderId="3"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0" fontId="1" fillId="0" borderId="26" xfId="0" applyFont="1" applyBorder="1" applyAlignment="1" applyProtection="1">
      <alignment horizontal="right" vertical="center" wrapText="1"/>
    </xf>
    <xf numFmtId="0" fontId="1" fillId="0" borderId="2" xfId="0" applyFont="1" applyBorder="1" applyAlignment="1" applyProtection="1">
      <alignment horizontal="right" vertical="center" wrapText="1"/>
    </xf>
    <xf numFmtId="0" fontId="0" fillId="0" borderId="98" xfId="0" applyBorder="1" applyAlignment="1" applyProtection="1">
      <alignment horizontal="right"/>
    </xf>
    <xf numFmtId="0" fontId="0" fillId="0" borderId="55" xfId="0" applyBorder="1" applyAlignment="1" applyProtection="1">
      <alignment horizontal="right"/>
    </xf>
    <xf numFmtId="0" fontId="0" fillId="0" borderId="91" xfId="0" applyFill="1" applyBorder="1" applyAlignment="1" applyProtection="1">
      <alignment horizontal="right"/>
    </xf>
    <xf numFmtId="0" fontId="0" fillId="0" borderId="99" xfId="0" applyFill="1" applyBorder="1" applyAlignment="1" applyProtection="1">
      <alignment horizontal="right"/>
    </xf>
    <xf numFmtId="0" fontId="2" fillId="0" borderId="20"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26" xfId="0" applyFont="1" applyBorder="1" applyAlignment="1" applyProtection="1">
      <alignment horizontal="center" wrapText="1"/>
    </xf>
    <xf numFmtId="0" fontId="2" fillId="0" borderId="2" xfId="0" applyFont="1" applyBorder="1" applyAlignment="1" applyProtection="1">
      <alignment horizontal="center" wrapText="1"/>
    </xf>
    <xf numFmtId="0" fontId="0" fillId="0" borderId="1" xfId="0" applyBorder="1" applyAlignment="1" applyProtection="1">
      <alignment horizontal="center"/>
    </xf>
    <xf numFmtId="0" fontId="0" fillId="0" borderId="20" xfId="0" applyBorder="1" applyAlignment="1" applyProtection="1">
      <alignment wrapText="1"/>
    </xf>
    <xf numFmtId="0" fontId="0" fillId="0" borderId="1" xfId="0" applyBorder="1" applyAlignment="1" applyProtection="1">
      <alignment wrapText="1"/>
    </xf>
    <xf numFmtId="0" fontId="0" fillId="0" borderId="18" xfId="0" applyBorder="1" applyAlignment="1" applyProtection="1">
      <alignment wrapText="1"/>
    </xf>
    <xf numFmtId="0" fontId="0" fillId="0" borderId="26" xfId="0" applyBorder="1" applyAlignment="1" applyProtection="1">
      <alignment wrapText="1"/>
    </xf>
    <xf numFmtId="0" fontId="0" fillId="0" borderId="2" xfId="0" applyBorder="1" applyAlignment="1" applyProtection="1">
      <alignment wrapText="1"/>
    </xf>
    <xf numFmtId="0" fontId="0" fillId="0" borderId="16" xfId="0" applyBorder="1" applyAlignment="1" applyProtection="1">
      <alignment wrapText="1"/>
    </xf>
    <xf numFmtId="49" fontId="6" fillId="2" borderId="68" xfId="0" applyNumberFormat="1" applyFont="1" applyFill="1" applyBorder="1" applyProtection="1">
      <protection locked="0"/>
    </xf>
    <xf numFmtId="49" fontId="6" fillId="2" borderId="70" xfId="0" applyNumberFormat="1" applyFont="1" applyFill="1" applyBorder="1" applyProtection="1">
      <protection locked="0"/>
    </xf>
    <xf numFmtId="49" fontId="6" fillId="2" borderId="104" xfId="0" applyNumberFormat="1" applyFont="1" applyFill="1" applyBorder="1" applyProtection="1">
      <protection locked="0"/>
    </xf>
    <xf numFmtId="49" fontId="6" fillId="2" borderId="34" xfId="0" applyNumberFormat="1" applyFont="1" applyFill="1" applyBorder="1" applyProtection="1">
      <protection locked="0"/>
    </xf>
    <xf numFmtId="49" fontId="0" fillId="2" borderId="105" xfId="0" applyNumberFormat="1" applyFill="1" applyBorder="1" applyProtection="1">
      <protection locked="0"/>
    </xf>
    <xf numFmtId="49" fontId="0" fillId="2" borderId="106" xfId="0" applyNumberFormat="1" applyFill="1" applyBorder="1" applyProtection="1">
      <protection locked="0"/>
    </xf>
    <xf numFmtId="0" fontId="0" fillId="0" borderId="1" xfId="0" applyBorder="1" applyAlignment="1" applyProtection="1">
      <alignment horizontal="center" wrapText="1"/>
    </xf>
    <xf numFmtId="0" fontId="0" fillId="0" borderId="0" xfId="0" applyBorder="1" applyAlignment="1" applyProtection="1">
      <alignment horizontal="center" wrapText="1"/>
    </xf>
    <xf numFmtId="0" fontId="16" fillId="0" borderId="2" xfId="0" applyFont="1" applyBorder="1" applyAlignment="1" applyProtection="1">
      <alignment horizontal="center" wrapText="1"/>
    </xf>
    <xf numFmtId="0" fontId="6" fillId="0" borderId="24" xfId="0" applyFont="1" applyFill="1" applyBorder="1" applyAlignment="1" applyProtection="1">
      <alignment horizontal="center"/>
    </xf>
    <xf numFmtId="0" fontId="6" fillId="0" borderId="44" xfId="0" applyFont="1" applyFill="1" applyBorder="1" applyAlignment="1" applyProtection="1">
      <alignment horizontal="center"/>
    </xf>
    <xf numFmtId="0" fontId="6" fillId="0" borderId="28" xfId="0" applyFont="1" applyFill="1" applyBorder="1" applyAlignment="1" applyProtection="1">
      <alignment horizontal="center"/>
    </xf>
    <xf numFmtId="164" fontId="7" fillId="0" borderId="76" xfId="0" applyNumberFormat="1" applyFont="1" applyBorder="1" applyProtection="1"/>
    <xf numFmtId="164" fontId="7" fillId="0" borderId="77" xfId="0" applyNumberFormat="1" applyFont="1" applyBorder="1" applyProtection="1"/>
    <xf numFmtId="0" fontId="6" fillId="0" borderId="35" xfId="0" applyFont="1" applyFill="1" applyBorder="1" applyAlignment="1" applyProtection="1">
      <alignment horizontal="right" wrapText="1"/>
    </xf>
    <xf numFmtId="0" fontId="6" fillId="0" borderId="50" xfId="0" applyFont="1" applyFill="1" applyBorder="1" applyAlignment="1" applyProtection="1">
      <alignment horizontal="right" wrapText="1"/>
    </xf>
    <xf numFmtId="0" fontId="6" fillId="0" borderId="37" xfId="0" applyFont="1" applyFill="1" applyBorder="1" applyAlignment="1" applyProtection="1">
      <alignment horizontal="right" wrapText="1"/>
    </xf>
    <xf numFmtId="0" fontId="6" fillId="0" borderId="19" xfId="0" applyFont="1" applyFill="1" applyBorder="1" applyAlignment="1" applyProtection="1">
      <alignment horizontal="right" wrapText="1"/>
    </xf>
    <xf numFmtId="2" fontId="7" fillId="0" borderId="76" xfId="0" applyNumberFormat="1" applyFont="1" applyBorder="1" applyProtection="1"/>
    <xf numFmtId="2" fontId="7" fillId="0" borderId="77" xfId="0" applyNumberFormat="1" applyFont="1" applyBorder="1" applyProtection="1"/>
    <xf numFmtId="164" fontId="8" fillId="0" borderId="44" xfId="0" applyNumberFormat="1" applyFont="1" applyBorder="1" applyProtection="1"/>
    <xf numFmtId="164" fontId="7" fillId="0" borderId="1" xfId="0" applyNumberFormat="1" applyFont="1" applyBorder="1" applyAlignment="1" applyProtection="1">
      <alignment horizontal="right"/>
    </xf>
    <xf numFmtId="0" fontId="8" fillId="0" borderId="24" xfId="0" applyFont="1" applyBorder="1" applyAlignment="1" applyProtection="1">
      <alignment horizontal="right"/>
    </xf>
    <xf numFmtId="0" fontId="8" fillId="0" borderId="44" xfId="0" applyFont="1" applyBorder="1" applyAlignment="1" applyProtection="1">
      <alignment horizontal="right"/>
    </xf>
    <xf numFmtId="0" fontId="8" fillId="0" borderId="28" xfId="0" applyFont="1" applyBorder="1" applyAlignment="1" applyProtection="1">
      <alignment horizontal="right"/>
    </xf>
    <xf numFmtId="2" fontId="8" fillId="0" borderId="44" xfId="0" applyNumberFormat="1" applyFont="1" applyBorder="1" applyProtection="1"/>
    <xf numFmtId="0" fontId="8" fillId="0" borderId="0" xfId="0" applyFont="1" applyAlignment="1" applyProtection="1">
      <alignment horizontal="center"/>
    </xf>
    <xf numFmtId="0" fontId="7" fillId="0" borderId="55" xfId="0" applyFont="1" applyBorder="1" applyAlignment="1" applyProtection="1">
      <alignment horizontal="right"/>
    </xf>
    <xf numFmtId="0" fontId="7" fillId="0" borderId="20" xfId="0" applyFont="1" applyBorder="1" applyAlignment="1" applyProtection="1">
      <alignment horizontal="right" vertical="center"/>
    </xf>
    <xf numFmtId="0" fontId="7" fillId="0" borderId="1" xfId="0" applyFont="1" applyBorder="1" applyAlignment="1" applyProtection="1">
      <alignment horizontal="right" vertical="center"/>
    </xf>
    <xf numFmtId="0" fontId="7" fillId="0" borderId="26" xfId="0" applyFont="1" applyBorder="1" applyAlignment="1" applyProtection="1">
      <alignment horizontal="right" vertical="center"/>
    </xf>
    <xf numFmtId="0" fontId="7" fillId="0" borderId="2" xfId="0" applyFont="1" applyBorder="1" applyAlignment="1" applyProtection="1">
      <alignment horizontal="right" vertical="center"/>
    </xf>
    <xf numFmtId="0" fontId="6" fillId="0" borderId="24"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28" xfId="0" applyFont="1" applyBorder="1" applyAlignment="1" applyProtection="1">
      <alignment horizontal="center" vertical="center"/>
    </xf>
    <xf numFmtId="164" fontId="7" fillId="0" borderId="75" xfId="0" applyNumberFormat="1" applyFont="1" applyBorder="1" applyProtection="1"/>
    <xf numFmtId="164" fontId="7" fillId="0" borderId="102" xfId="0" applyNumberFormat="1" applyFont="1" applyBorder="1" applyProtection="1"/>
    <xf numFmtId="164" fontId="7" fillId="0" borderId="103" xfId="0" applyNumberFormat="1" applyFont="1" applyBorder="1" applyProtection="1"/>
    <xf numFmtId="0" fontId="6" fillId="0" borderId="1" xfId="0" applyFont="1" applyBorder="1" applyAlignment="1" applyProtection="1">
      <alignment horizontal="center" vertical="center"/>
    </xf>
    <xf numFmtId="0" fontId="7" fillId="0" borderId="1" xfId="0" applyFont="1" applyBorder="1" applyAlignment="1" applyProtection="1">
      <alignment horizontal="right"/>
    </xf>
    <xf numFmtId="0" fontId="20" fillId="0" borderId="0" xfId="0" applyFont="1" applyFill="1" applyBorder="1"/>
    <xf numFmtId="0" fontId="1" fillId="0" borderId="0" xfId="0" applyFont="1" applyFill="1" applyBorder="1" applyAlignment="1">
      <alignment horizontal="left" vertical="center" wrapText="1"/>
    </xf>
    <xf numFmtId="0" fontId="1" fillId="0" borderId="0" xfId="0" applyFont="1" applyFill="1" applyBorder="1"/>
    <xf numFmtId="0" fontId="1" fillId="0" borderId="0" xfId="0" applyFont="1" applyFill="1" applyBorder="1" applyAlignment="1">
      <alignment horizontal="left"/>
    </xf>
    <xf numFmtId="0" fontId="20" fillId="0" borderId="0" xfId="0" applyFont="1" applyFill="1" applyBorder="1" applyAlignment="1">
      <alignment horizontal="left" vertical="center" wrapText="1"/>
    </xf>
    <xf numFmtId="0" fontId="6" fillId="0" borderId="0" xfId="0" applyFont="1" applyFill="1" applyAlignment="1">
      <alignment horizontal="center"/>
    </xf>
    <xf numFmtId="0" fontId="19" fillId="0" borderId="0" xfId="0" applyFont="1" applyFill="1" applyBorder="1"/>
    <xf numFmtId="0" fontId="5" fillId="0" borderId="0" xfId="0" applyFont="1" applyFill="1" applyAlignment="1" applyProtection="1">
      <alignment horizontal="center" vertical="center" wrapText="1"/>
    </xf>
    <xf numFmtId="0" fontId="10" fillId="0"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CDF2FF"/>
      <color rgb="FFB3EBFF"/>
      <color rgb="FF97E4FF"/>
      <color rgb="FFABE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webb\Local%20Settings\Temporary%20Internet%20Files\OLKEB\Copy%20of%202006-08-08%20Form%201546%20-%20PAS%20Budget%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lient Information"/>
      <sheetName val="Admin &amp; Compensation"/>
      <sheetName val="Category Allocations"/>
      <sheetName val="Hourly Wages"/>
      <sheetName val="Definitions"/>
    </sheetNames>
    <sheetDataSet>
      <sheetData sheetId="0" refreshError="1"/>
      <sheetData sheetId="1" refreshError="1"/>
      <sheetData sheetId="2">
        <row r="38">
          <cell r="F38">
            <v>3705.2000000000012</v>
          </cell>
        </row>
      </sheetData>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zoomScale="75" zoomScaleNormal="75" workbookViewId="0">
      <selection activeCell="J11" sqref="J11"/>
    </sheetView>
  </sheetViews>
  <sheetFormatPr defaultRowHeight="12.75" x14ac:dyDescent="0.2"/>
  <cols>
    <col min="1" max="1" width="8.85546875" customWidth="1"/>
    <col min="2" max="3" width="3.140625" customWidth="1"/>
    <col min="4" max="4" width="77.28515625" customWidth="1"/>
    <col min="5" max="5" width="9.42578125" customWidth="1"/>
  </cols>
  <sheetData>
    <row r="2" spans="2:7" ht="18" x14ac:dyDescent="0.25">
      <c r="B2" s="259"/>
      <c r="C2" s="259"/>
      <c r="D2" s="259"/>
      <c r="E2" s="57"/>
    </row>
    <row r="3" spans="2:7" ht="39.75" customHeight="1" x14ac:dyDescent="0.2">
      <c r="B3" s="260" t="s">
        <v>130</v>
      </c>
      <c r="C3" s="260"/>
      <c r="D3" s="260"/>
      <c r="E3" s="123"/>
      <c r="F3" s="123"/>
      <c r="G3" s="123"/>
    </row>
    <row r="4" spans="2:7" ht="15.75" x14ac:dyDescent="0.25">
      <c r="B4" s="261" t="s">
        <v>11</v>
      </c>
      <c r="C4" s="261"/>
      <c r="D4" s="261"/>
      <c r="E4" s="38"/>
    </row>
    <row r="5" spans="2:7" ht="15.75" x14ac:dyDescent="0.25">
      <c r="B5" s="38"/>
      <c r="C5" s="38"/>
      <c r="D5" s="38"/>
    </row>
    <row r="6" spans="2:7" ht="15.75" x14ac:dyDescent="0.25">
      <c r="B6" s="262" t="s">
        <v>59</v>
      </c>
      <c r="C6" s="262"/>
      <c r="D6" s="262"/>
    </row>
    <row r="7" spans="2:7" ht="13.5" thickBot="1" x14ac:dyDescent="0.25"/>
    <row r="8" spans="2:7" s="42" customFormat="1" ht="50.25" customHeight="1" thickBot="1" x14ac:dyDescent="0.25">
      <c r="B8" s="43" t="s">
        <v>7</v>
      </c>
      <c r="C8" s="263" t="s">
        <v>13</v>
      </c>
      <c r="D8" s="264"/>
    </row>
    <row r="9" spans="2:7" ht="36" customHeight="1" thickBot="1" x14ac:dyDescent="0.25">
      <c r="B9" s="39" t="s">
        <v>7</v>
      </c>
      <c r="C9" s="255" t="s">
        <v>32</v>
      </c>
      <c r="D9" s="256"/>
    </row>
    <row r="10" spans="2:7" ht="48" customHeight="1" thickBot="1" x14ac:dyDescent="0.25">
      <c r="B10" s="40" t="s">
        <v>7</v>
      </c>
      <c r="C10" s="255" t="s">
        <v>60</v>
      </c>
      <c r="D10" s="256"/>
    </row>
    <row r="11" spans="2:7" ht="48" customHeight="1" thickBot="1" x14ac:dyDescent="0.25">
      <c r="B11" s="39" t="s">
        <v>7</v>
      </c>
      <c r="C11" s="255" t="s">
        <v>35</v>
      </c>
      <c r="D11" s="256"/>
    </row>
    <row r="12" spans="2:7" ht="32.25" customHeight="1" thickBot="1" x14ac:dyDescent="0.25">
      <c r="B12" s="39" t="s">
        <v>7</v>
      </c>
      <c r="C12" s="255" t="s">
        <v>12</v>
      </c>
      <c r="D12" s="256"/>
    </row>
    <row r="13" spans="2:7" s="156" customFormat="1" ht="30" customHeight="1" x14ac:dyDescent="0.2">
      <c r="B13" s="155" t="s">
        <v>7</v>
      </c>
      <c r="C13" s="253" t="s">
        <v>111</v>
      </c>
      <c r="D13" s="254"/>
    </row>
    <row r="14" spans="2:7" s="156" customFormat="1" x14ac:dyDescent="0.2">
      <c r="B14" s="157"/>
      <c r="C14" s="158"/>
      <c r="D14" s="159" t="s">
        <v>21</v>
      </c>
    </row>
    <row r="15" spans="2:7" s="156" customFormat="1" x14ac:dyDescent="0.2">
      <c r="B15" s="157"/>
      <c r="C15" s="158"/>
      <c r="D15" s="159" t="s">
        <v>28</v>
      </c>
    </row>
    <row r="16" spans="2:7" s="156" customFormat="1" x14ac:dyDescent="0.2">
      <c r="B16" s="157"/>
      <c r="C16" s="158"/>
      <c r="D16" s="159" t="s">
        <v>145</v>
      </c>
    </row>
    <row r="17" spans="2:4" s="156" customFormat="1" x14ac:dyDescent="0.2">
      <c r="B17" s="157"/>
      <c r="C17" s="158"/>
      <c r="D17" s="159" t="s">
        <v>146</v>
      </c>
    </row>
    <row r="18" spans="2:4" s="156" customFormat="1" x14ac:dyDescent="0.2">
      <c r="B18" s="160"/>
      <c r="C18" s="161"/>
      <c r="D18" s="159" t="s">
        <v>147</v>
      </c>
    </row>
    <row r="19" spans="2:4" s="156" customFormat="1" x14ac:dyDescent="0.2">
      <c r="B19" s="160"/>
      <c r="C19" s="161"/>
      <c r="D19" s="159" t="s">
        <v>9</v>
      </c>
    </row>
    <row r="20" spans="2:4" s="156" customFormat="1" x14ac:dyDescent="0.2">
      <c r="B20" s="160"/>
      <c r="C20" s="161"/>
      <c r="D20" s="159" t="s">
        <v>8</v>
      </c>
    </row>
    <row r="21" spans="2:4" s="156" customFormat="1" x14ac:dyDescent="0.2">
      <c r="B21" s="160"/>
      <c r="C21" s="161"/>
      <c r="D21" s="159" t="s">
        <v>10</v>
      </c>
    </row>
    <row r="22" spans="2:4" s="156" customFormat="1" x14ac:dyDescent="0.2">
      <c r="B22" s="160"/>
      <c r="C22" s="161"/>
      <c r="D22" s="159" t="s">
        <v>92</v>
      </c>
    </row>
    <row r="23" spans="2:4" s="156" customFormat="1" x14ac:dyDescent="0.2">
      <c r="B23" s="160"/>
      <c r="C23" s="161"/>
      <c r="D23" s="159" t="s">
        <v>93</v>
      </c>
    </row>
    <row r="24" spans="2:4" s="156" customFormat="1" ht="13.5" thickBot="1" x14ac:dyDescent="0.25">
      <c r="B24" s="162"/>
      <c r="C24" s="163"/>
      <c r="D24" s="164" t="s">
        <v>33</v>
      </c>
    </row>
    <row r="25" spans="2:4" ht="28.5" customHeight="1" thickBot="1" x14ac:dyDescent="0.25">
      <c r="B25" s="41"/>
      <c r="C25" s="255" t="s">
        <v>34</v>
      </c>
      <c r="D25" s="256"/>
    </row>
    <row r="26" spans="2:4" ht="59.25" customHeight="1" thickBot="1" x14ac:dyDescent="0.25">
      <c r="B26" s="39" t="s">
        <v>7</v>
      </c>
      <c r="C26" s="255" t="s">
        <v>197</v>
      </c>
      <c r="D26" s="256"/>
    </row>
    <row r="27" spans="2:4" s="156" customFormat="1" ht="32.25" customHeight="1" thickBot="1" x14ac:dyDescent="0.25">
      <c r="B27" s="165" t="s">
        <v>7</v>
      </c>
      <c r="C27" s="257" t="s">
        <v>114</v>
      </c>
      <c r="D27" s="258"/>
    </row>
    <row r="28" spans="2:4" ht="26.25" customHeight="1" x14ac:dyDescent="0.2">
      <c r="B28" s="60"/>
      <c r="C28" s="61"/>
      <c r="D28" s="61"/>
    </row>
    <row r="29" spans="2:4" ht="26.25" customHeight="1" x14ac:dyDescent="0.2">
      <c r="B29" s="60"/>
      <c r="C29" s="61"/>
      <c r="D29" s="61"/>
    </row>
  </sheetData>
  <sheetProtection password="E7F0" sheet="1" objects="1" scenarios="1"/>
  <customSheetViews>
    <customSheetView guid="{454ECA60-FBCC-11D6-AB9B-00C04F5868C8}" scale="75" showPageBreaks="1" printArea="1" showRuler="0">
      <selection activeCell="G3" sqref="G3"/>
      <pageMargins left="0.2" right="0.2" top="0.75" bottom="0.25" header="0" footer="0.25"/>
      <printOptions horizontalCentered="1"/>
      <pageSetup orientation="portrait" r:id="rId1"/>
      <headerFooter alignWithMargins="0">
        <oddHeader>&amp;L&amp;8Texas Department
of Human Services&amp;R&amp;8Form  1546
January 2002</oddHeader>
      </headerFooter>
    </customSheetView>
    <customSheetView guid="{346F6C38-467E-4277-A934-45FBB069E11D}" scale="135" showRuler="0" topLeftCell="B11">
      <selection activeCell="C23" sqref="C23"/>
      <pageMargins left="0.2" right="0.2" top="0.75" bottom="0.25" header="0" footer="0.25"/>
      <printOptions horizontalCentered="1"/>
      <pageSetup orientation="portrait" r:id="rId2"/>
      <headerFooter alignWithMargins="0">
        <oddHeader>&amp;L&amp;8Texas Department
of Human Services&amp;R&amp;8Form  1546
January 2002</oddHeader>
      </headerFooter>
    </customSheetView>
  </customSheetViews>
  <mergeCells count="13">
    <mergeCell ref="B2:D2"/>
    <mergeCell ref="B3:D3"/>
    <mergeCell ref="B4:D4"/>
    <mergeCell ref="C12:D12"/>
    <mergeCell ref="B6:D6"/>
    <mergeCell ref="C11:D11"/>
    <mergeCell ref="C8:D8"/>
    <mergeCell ref="C13:D13"/>
    <mergeCell ref="C10:D10"/>
    <mergeCell ref="C9:D9"/>
    <mergeCell ref="C27:D27"/>
    <mergeCell ref="C26:D26"/>
    <mergeCell ref="C25:D25"/>
  </mergeCells>
  <phoneticPr fontId="0" type="noConversion"/>
  <dataValidations xWindow="497" yWindow="143" count="1">
    <dataValidation allowBlank="1" showInputMessage="1" showErrorMessage="1" promptTitle="Information Only Page" prompt="This page is for Information only.  It contains instructions for how and when to complete the budget workbook.  It is not a part of the Consumer's budget." sqref="B2:D2"/>
  </dataValidations>
  <printOptions horizontalCentered="1"/>
  <pageMargins left="0.2" right="0.2" top="0.75" bottom="0.25" header="0" footer="0.25"/>
  <pageSetup orientation="portrait" r:id="rId3"/>
  <headerFooter alignWithMargins="0">
    <oddHeader>&amp;L&amp;8Texas Department of 
Aging and Disability Services&amp;R&amp;8Primary Home Care CDS Budget
September 2009</oddHeader>
    <oddFooter>&amp;RDate and Time Created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zoomScale="75" zoomScaleNormal="75" workbookViewId="0">
      <selection activeCell="L14" sqref="L14"/>
    </sheetView>
  </sheetViews>
  <sheetFormatPr defaultRowHeight="12.75" x14ac:dyDescent="0.2"/>
  <cols>
    <col min="1" max="1" width="4.140625" style="1" customWidth="1"/>
    <col min="2" max="2" width="44.85546875" style="1" customWidth="1"/>
    <col min="3" max="3" width="3.140625" style="1" customWidth="1"/>
    <col min="4" max="4" width="20.28515625" style="1" customWidth="1"/>
    <col min="5" max="5" width="1.5703125" style="1" customWidth="1"/>
    <col min="6" max="6" width="14.42578125" style="1" customWidth="1"/>
    <col min="7" max="7" width="3.140625" style="1" customWidth="1"/>
    <col min="8" max="8" width="4.140625" style="1" customWidth="1"/>
    <col min="9" max="9" width="14.5703125" style="1" hidden="1" customWidth="1"/>
    <col min="10" max="10" width="10.140625" style="1" hidden="1" customWidth="1"/>
    <col min="11" max="11" width="21.85546875" style="1" customWidth="1"/>
    <col min="12" max="16384" width="9.140625" style="1"/>
  </cols>
  <sheetData>
    <row r="1" spans="2:11" ht="11.1" customHeight="1" x14ac:dyDescent="0.2"/>
    <row r="2" spans="2:11" s="58" customFormat="1" ht="39.75" customHeight="1" x14ac:dyDescent="0.3">
      <c r="B2" s="284" t="s">
        <v>130</v>
      </c>
      <c r="C2" s="284"/>
      <c r="D2" s="284"/>
      <c r="E2" s="284"/>
      <c r="F2" s="284"/>
      <c r="G2" s="284"/>
      <c r="H2" s="59"/>
    </row>
    <row r="3" spans="2:11" ht="15.75" customHeight="1" x14ac:dyDescent="0.25">
      <c r="B3" s="285" t="s">
        <v>117</v>
      </c>
      <c r="C3" s="285"/>
      <c r="D3" s="285"/>
      <c r="E3" s="285"/>
      <c r="F3" s="285"/>
      <c r="G3" s="285"/>
      <c r="H3" s="3"/>
    </row>
    <row r="4" spans="2:11" ht="11.1" customHeight="1" thickBot="1" x14ac:dyDescent="0.3">
      <c r="B4" s="3"/>
      <c r="C4" s="3"/>
      <c r="D4" s="3"/>
      <c r="E4" s="3"/>
      <c r="F4" s="3"/>
      <c r="G4" s="3"/>
      <c r="H4" s="3"/>
    </row>
    <row r="5" spans="2:11" s="45" customFormat="1" ht="16.5" customHeight="1" thickBot="1" x14ac:dyDescent="0.3">
      <c r="B5" s="271" t="s">
        <v>29</v>
      </c>
      <c r="C5" s="275"/>
      <c r="D5" s="268"/>
      <c r="E5" s="269"/>
      <c r="F5" s="269"/>
      <c r="G5" s="270"/>
      <c r="H5" s="46"/>
      <c r="I5" s="45" t="s">
        <v>132</v>
      </c>
      <c r="K5" s="76"/>
    </row>
    <row r="6" spans="2:11" ht="11.25" customHeight="1" thickBot="1" x14ac:dyDescent="0.25">
      <c r="B6" s="5"/>
      <c r="C6" s="4"/>
      <c r="D6" s="6"/>
      <c r="E6" s="6"/>
      <c r="F6" s="6"/>
      <c r="G6" s="6"/>
      <c r="H6" s="7"/>
      <c r="I6" s="45" t="s">
        <v>133</v>
      </c>
    </row>
    <row r="7" spans="2:11" s="45" customFormat="1" ht="16.5" customHeight="1" thickBot="1" x14ac:dyDescent="0.3">
      <c r="B7" s="271" t="s">
        <v>30</v>
      </c>
      <c r="C7" s="272"/>
      <c r="D7" s="35"/>
      <c r="E7" s="117"/>
      <c r="F7" s="46"/>
      <c r="G7" s="63"/>
      <c r="I7" s="45" t="s">
        <v>134</v>
      </c>
    </row>
    <row r="8" spans="2:11" s="45" customFormat="1" ht="11.25" customHeight="1" thickBot="1" x14ac:dyDescent="0.3">
      <c r="B8" s="114"/>
      <c r="C8" s="114"/>
      <c r="D8" s="46"/>
      <c r="E8" s="46"/>
      <c r="F8" s="46"/>
      <c r="G8" s="63"/>
      <c r="I8" s="45" t="s">
        <v>135</v>
      </c>
    </row>
    <row r="9" spans="2:11" s="45" customFormat="1" ht="16.5" customHeight="1" thickBot="1" x14ac:dyDescent="0.3">
      <c r="B9" s="271" t="s">
        <v>94</v>
      </c>
      <c r="C9" s="275"/>
      <c r="D9" s="268"/>
      <c r="E9" s="269"/>
      <c r="F9" s="269"/>
      <c r="G9" s="270"/>
      <c r="I9" s="45" t="s">
        <v>136</v>
      </c>
    </row>
    <row r="10" spans="2:11" s="45" customFormat="1" ht="11.25" customHeight="1" thickBot="1" x14ac:dyDescent="0.3">
      <c r="B10" s="114"/>
      <c r="C10" s="114"/>
      <c r="D10" s="46"/>
      <c r="E10" s="46"/>
      <c r="F10" s="46"/>
      <c r="G10" s="63"/>
      <c r="I10" s="45" t="s">
        <v>137</v>
      </c>
    </row>
    <row r="11" spans="2:11" s="45" customFormat="1" ht="16.5" customHeight="1" thickBot="1" x14ac:dyDescent="0.3">
      <c r="B11" s="271" t="s">
        <v>95</v>
      </c>
      <c r="C11" s="275"/>
      <c r="D11" s="268"/>
      <c r="E11" s="269"/>
      <c r="F11" s="269"/>
      <c r="G11" s="270"/>
      <c r="I11" s="45" t="s">
        <v>138</v>
      </c>
    </row>
    <row r="12" spans="2:11" s="45" customFormat="1" ht="11.25" customHeight="1" thickBot="1" x14ac:dyDescent="0.3">
      <c r="B12" s="114"/>
      <c r="C12" s="114"/>
      <c r="D12" s="46"/>
      <c r="E12" s="46"/>
      <c r="F12" s="46"/>
      <c r="G12" s="63"/>
      <c r="I12" s="45" t="s">
        <v>139</v>
      </c>
    </row>
    <row r="13" spans="2:11" s="45" customFormat="1" ht="17.25" customHeight="1" thickBot="1" x14ac:dyDescent="0.3">
      <c r="B13" s="271" t="s">
        <v>96</v>
      </c>
      <c r="C13" s="272"/>
      <c r="D13" s="35"/>
      <c r="E13" s="46"/>
      <c r="F13" s="46"/>
      <c r="G13" s="63"/>
      <c r="I13" s="45" t="s">
        <v>140</v>
      </c>
    </row>
    <row r="14" spans="2:11" s="45" customFormat="1" ht="11.25" customHeight="1" thickBot="1" x14ac:dyDescent="0.3">
      <c r="B14" s="114"/>
      <c r="C14" s="114"/>
      <c r="D14" s="46"/>
      <c r="E14" s="46"/>
      <c r="F14" s="46"/>
      <c r="G14" s="63"/>
      <c r="I14" s="45" t="s">
        <v>141</v>
      </c>
    </row>
    <row r="15" spans="2:11" s="45" customFormat="1" ht="16.5" customHeight="1" thickBot="1" x14ac:dyDescent="0.3">
      <c r="B15" s="271" t="s">
        <v>131</v>
      </c>
      <c r="C15" s="275"/>
      <c r="D15" s="35"/>
      <c r="E15" s="46"/>
      <c r="F15" s="46"/>
      <c r="G15" s="63"/>
      <c r="I15" s="45" t="s">
        <v>142</v>
      </c>
    </row>
    <row r="16" spans="2:11" s="45" customFormat="1" ht="11.25" customHeight="1" thickBot="1" x14ac:dyDescent="0.3">
      <c r="B16" s="114"/>
      <c r="C16" s="114"/>
      <c r="D16" s="46"/>
      <c r="E16" s="46"/>
      <c r="F16" s="46"/>
      <c r="G16" s="63"/>
    </row>
    <row r="17" spans="2:11" s="45" customFormat="1" ht="16.5" customHeight="1" thickBot="1" x14ac:dyDescent="0.3">
      <c r="B17" s="286" t="s">
        <v>148</v>
      </c>
      <c r="C17" s="287"/>
      <c r="D17" s="288"/>
      <c r="E17" s="116"/>
      <c r="F17" s="116"/>
      <c r="G17" s="116"/>
      <c r="I17" s="45" t="s">
        <v>97</v>
      </c>
    </row>
    <row r="18" spans="2:11" s="45" customFormat="1" ht="16.5" customHeight="1" thickBot="1" x14ac:dyDescent="0.3">
      <c r="B18" s="289"/>
      <c r="C18" s="290"/>
      <c r="D18" s="290"/>
      <c r="E18" s="281"/>
      <c r="F18" s="282"/>
      <c r="G18" s="283"/>
      <c r="I18" s="45" t="s">
        <v>98</v>
      </c>
    </row>
    <row r="19" spans="2:11" ht="11.25" customHeight="1" thickBot="1" x14ac:dyDescent="0.25">
      <c r="I19" s="45"/>
    </row>
    <row r="20" spans="2:11" s="45" customFormat="1" ht="16.5" customHeight="1" thickBot="1" x14ac:dyDescent="0.3">
      <c r="B20" s="276" t="s">
        <v>116</v>
      </c>
      <c r="C20" s="280"/>
      <c r="D20" s="281"/>
      <c r="E20" s="282"/>
      <c r="F20" s="282"/>
      <c r="G20" s="283"/>
    </row>
    <row r="21" spans="2:11" s="45" customFormat="1" ht="16.5" customHeight="1" thickBot="1" x14ac:dyDescent="0.3">
      <c r="B21" s="276" t="s">
        <v>115</v>
      </c>
      <c r="C21" s="280"/>
      <c r="D21" s="281"/>
      <c r="E21" s="282"/>
      <c r="F21" s="282"/>
      <c r="G21" s="283"/>
    </row>
    <row r="22" spans="2:11" ht="10.5" customHeight="1" thickBot="1" x14ac:dyDescent="0.25">
      <c r="B22" s="13"/>
      <c r="C22" s="37"/>
      <c r="D22" s="47"/>
      <c r="E22" s="13"/>
      <c r="F22" s="13"/>
      <c r="G22" s="12"/>
      <c r="H22" s="4"/>
      <c r="I22" s="66"/>
      <c r="K22" s="66"/>
    </row>
    <row r="23" spans="2:11" ht="36.75" customHeight="1" thickBot="1" x14ac:dyDescent="0.3">
      <c r="B23" s="276" t="s">
        <v>31</v>
      </c>
      <c r="C23" s="277"/>
      <c r="D23" s="34"/>
      <c r="E23" s="9"/>
      <c r="F23" s="278"/>
      <c r="G23" s="279"/>
      <c r="H23" s="4"/>
      <c r="I23" s="118">
        <f>(F23-D23)+1</f>
        <v>1</v>
      </c>
      <c r="J23" s="125">
        <f>IF(OR(I23=366,I23=365),52,(ROUNDUP(I23/7,0)))</f>
        <v>1</v>
      </c>
      <c r="K23" s="66"/>
    </row>
    <row r="24" spans="2:11" ht="10.5" customHeight="1" thickBot="1" x14ac:dyDescent="0.25">
      <c r="B24" s="14"/>
      <c r="D24" s="15"/>
      <c r="E24" s="15"/>
      <c r="H24" s="16"/>
      <c r="I24" s="66"/>
      <c r="J24" s="81"/>
      <c r="K24" s="66"/>
    </row>
    <row r="25" spans="2:11" ht="16.5" customHeight="1" thickBot="1" x14ac:dyDescent="0.3">
      <c r="B25" s="271" t="s">
        <v>61</v>
      </c>
      <c r="C25" s="272"/>
      <c r="D25" s="272"/>
      <c r="E25" s="272"/>
      <c r="F25" s="273" t="str">
        <f>IF(AND(('Taxable Wage &amp; Compensation'!L14="Yes"),('Taxable Wage &amp; Compensation'!L16="Yes")),"VALID","INVALID")</f>
        <v>VALID</v>
      </c>
      <c r="G25" s="274"/>
      <c r="H25" s="16"/>
      <c r="I25" s="66"/>
      <c r="J25" s="81"/>
      <c r="K25" s="66"/>
    </row>
    <row r="26" spans="2:11" ht="72.75" customHeight="1" thickBot="1" x14ac:dyDescent="0.25">
      <c r="B26" s="265" t="s">
        <v>112</v>
      </c>
      <c r="C26" s="266"/>
      <c r="D26" s="266"/>
      <c r="E26" s="266"/>
      <c r="F26" s="266"/>
      <c r="G26" s="267"/>
      <c r="H26" s="16"/>
      <c r="I26" s="77"/>
      <c r="J26" s="78"/>
    </row>
    <row r="27" spans="2:11" x14ac:dyDescent="0.2">
      <c r="B27" s="17"/>
      <c r="C27" s="17"/>
      <c r="D27" s="17"/>
      <c r="E27" s="17"/>
      <c r="F27" s="17"/>
      <c r="G27" s="17"/>
      <c r="H27" s="16"/>
    </row>
    <row r="28" spans="2:11" x14ac:dyDescent="0.2">
      <c r="B28" s="17"/>
      <c r="C28" s="17"/>
      <c r="D28" s="17"/>
      <c r="E28" s="17"/>
      <c r="F28" s="17"/>
      <c r="G28" s="17"/>
      <c r="H28" s="16"/>
    </row>
    <row r="29" spans="2:11" ht="13.5" thickBot="1" x14ac:dyDescent="0.25">
      <c r="B29" s="10"/>
      <c r="C29" s="10"/>
      <c r="D29" s="4"/>
      <c r="E29" s="10"/>
      <c r="F29" s="10"/>
      <c r="G29" s="18"/>
      <c r="H29" s="4"/>
    </row>
    <row r="30" spans="2:11" x14ac:dyDescent="0.2">
      <c r="B30" s="1" t="s">
        <v>99</v>
      </c>
      <c r="E30" s="1" t="s">
        <v>0</v>
      </c>
      <c r="G30" s="18"/>
    </row>
    <row r="31" spans="2:11" x14ac:dyDescent="0.2">
      <c r="G31" s="18"/>
    </row>
    <row r="32" spans="2:11" ht="12.75" customHeight="1" x14ac:dyDescent="0.2">
      <c r="G32" s="18"/>
      <c r="H32" s="19"/>
    </row>
    <row r="33" spans="2:8" ht="13.5" thickBot="1" x14ac:dyDescent="0.25">
      <c r="B33" s="10"/>
      <c r="C33" s="10"/>
      <c r="D33" s="4"/>
      <c r="E33" s="10"/>
      <c r="F33" s="10"/>
      <c r="G33" s="18"/>
      <c r="H33" s="19"/>
    </row>
    <row r="34" spans="2:8" x14ac:dyDescent="0.2">
      <c r="B34" s="1" t="s">
        <v>149</v>
      </c>
      <c r="E34" s="1" t="s">
        <v>0</v>
      </c>
      <c r="G34" s="18"/>
      <c r="H34" s="19"/>
    </row>
    <row r="35" spans="2:8" ht="12.75" customHeight="1" x14ac:dyDescent="0.2">
      <c r="G35" s="18"/>
      <c r="H35" s="19"/>
    </row>
    <row r="36" spans="2:8" ht="12.75" customHeight="1" x14ac:dyDescent="0.2">
      <c r="G36" s="18"/>
      <c r="H36" s="19"/>
    </row>
    <row r="37" spans="2:8" ht="13.5" thickBot="1" x14ac:dyDescent="0.25">
      <c r="B37" s="10"/>
      <c r="C37" s="10"/>
      <c r="D37" s="4"/>
      <c r="E37" s="10"/>
      <c r="F37" s="10"/>
      <c r="G37" s="18"/>
      <c r="H37" s="19"/>
    </row>
    <row r="38" spans="2:8" x14ac:dyDescent="0.2">
      <c r="B38" s="1" t="s">
        <v>20</v>
      </c>
      <c r="E38" s="1" t="s">
        <v>0</v>
      </c>
      <c r="G38" s="18"/>
    </row>
    <row r="39" spans="2:8" x14ac:dyDescent="0.2">
      <c r="G39" s="18"/>
    </row>
    <row r="40" spans="2:8" x14ac:dyDescent="0.2">
      <c r="B40" s="58"/>
      <c r="D40" s="58"/>
    </row>
  </sheetData>
  <sheetProtection password="E7F0" sheet="1" objects="1" scenarios="1"/>
  <mergeCells count="22">
    <mergeCell ref="B2:G2"/>
    <mergeCell ref="B3:G3"/>
    <mergeCell ref="B9:C9"/>
    <mergeCell ref="D20:G20"/>
    <mergeCell ref="E18:G18"/>
    <mergeCell ref="B5:C5"/>
    <mergeCell ref="D5:G5"/>
    <mergeCell ref="B7:C7"/>
    <mergeCell ref="B17:D18"/>
    <mergeCell ref="B20:C20"/>
    <mergeCell ref="B26:G26"/>
    <mergeCell ref="D9:G9"/>
    <mergeCell ref="D11:G11"/>
    <mergeCell ref="B13:C13"/>
    <mergeCell ref="F25:G25"/>
    <mergeCell ref="B25:E25"/>
    <mergeCell ref="B15:C15"/>
    <mergeCell ref="B11:C11"/>
    <mergeCell ref="B23:C23"/>
    <mergeCell ref="F23:G23"/>
    <mergeCell ref="B21:C21"/>
    <mergeCell ref="D21:G21"/>
  </mergeCells>
  <phoneticPr fontId="17" type="noConversion"/>
  <dataValidations count="14">
    <dataValidation type="custom" errorStyle="warning" allowBlank="1" showInputMessage="1" showErrorMessage="1" errorTitle="Coverage Period In Error" error="You have entered a coverage period range other than 1 year/52 weeks.  Please verify the dates and re-enter if in error." promptTitle="Coverage Period - End Date" prompt="Enter the end date of the budget." sqref="F23:G23">
      <formula1>IF(J23=52,F23,FALSE)</formula1>
    </dataValidation>
    <dataValidation allowBlank="1" showInputMessage="1" showErrorMessage="1" error="Blah_x000a_" sqref="B46"/>
    <dataValidation showInputMessage="1" promptTitle="Coverage Period - From Date" prompt="Enter the effective date for this Budget Workbook." sqref="D23"/>
    <dataValidation type="custom" allowBlank="1" showInputMessage="1" showErrorMessage="1" sqref="B41">
      <formula1>IF(OR(Program="CBA",Program="CLASS",Program="DB-MD",Program="HMO",Program="MDCP PAS and Respite",(AND(Program="PHC/CA/FC Priority",#REF!&gt;2184)),(AND(Program="PHC/CA/FC Non-Priority",#REF!&gt;2600)),(AND(Program=LOOKUP(Program,I22:K23),#REF!&gt;2705))),,#REF!)</formula1>
    </dataValidation>
    <dataValidation type="textLength" operator="equal" showInputMessage="1" showErrorMessage="1" errorTitle="Incorrect Medicaid Number" error="Medicaid Numbers are 9 digits in length.  Please verify the number and re-enter." promptTitle="Consumer Medicaid Number" prompt="Enter the Consumer's Medicaid Number as it appears in DADS Records." sqref="D16">
      <formula1>9</formula1>
    </dataValidation>
    <dataValidation allowBlank="1" showInputMessage="1" promptTitle="Consumer's Name" prompt="Enter the Consumer's Name as it appears in DADS Records." sqref="D5:G5"/>
    <dataValidation allowBlank="1" showInputMessage="1" showErrorMessage="1" promptTitle="Consumer's Address" prompt="Enter the Consumer's Address as it appears in DADS Records." sqref="D9:G9"/>
    <dataValidation allowBlank="1" showInputMessage="1" showErrorMessage="1" promptTitle="Consumer's City, State, Zip Code" prompt="Enter the Consumer's Address as it appears in DADS Records." sqref="D11:G11"/>
    <dataValidation allowBlank="1" showInputMessage="1" showErrorMessage="1" promptTitle="Consumer's Telephone Number" prompt="Enter the Consumer's Telephone Number as it appears in DADS Records." sqref="D13"/>
    <dataValidation type="textLength" operator="equal" showInputMessage="1" showErrorMessage="1" errorTitle="Incorrect Medicaid Number" error="Medicaid Numbers are 9 digits in length.  Please verify the number and re-enter." promptTitle="Consumer's Medicaid Number" prompt="Enter the Consumer's Medicaid Number as it appears in DADS Records." sqref="D7">
      <formula1>9</formula1>
    </dataValidation>
    <dataValidation type="list" allowBlank="1" showInputMessage="1" showErrorMessage="1" promptTitle="Region" prompt="Select the Region the Consumer lives in from the list." sqref="D15">
      <formula1>$I$5:$I$15</formula1>
    </dataValidation>
    <dataValidation type="list" errorStyle="warning" allowBlank="1" showInputMessage="1" promptTitle="LAR / DR" prompt="Does the Consumer have a Designated Responsible Party or Legally Authorizied Representative?" sqref="E18:G18">
      <formula1>$I$17:$I$18</formula1>
    </dataValidation>
    <dataValidation type="custom" errorStyle="warning" allowBlank="1" showInputMessage="1" showErrorMessage="1" errorTitle="No DR / LAR" error="You have indicated there is not an LAR or DR. If there is not an LAR, leave this cell blank; Otherwise, change the LAR / DR cell to &quot;Yes.&quot;" promptTitle="LAR's Name" prompt="Enter the name of the Consumer's Legally Authorized Representative, if applicable." sqref="D20:G20">
      <formula1>IF(E18="Yes",D20,FALSE)</formula1>
    </dataValidation>
    <dataValidation type="custom" errorStyle="warning" allowBlank="1" showInputMessage="1" showErrorMessage="1" errorTitle="No LAR / DR" error="You have indicated there is not an LAR or DR. If there is not a DR, leave this cell blank; Otherwise, change the LAR / DR cell to &quot;Yes.&quot;" promptTitle="DR's Name" prompt="Enter the name of the Consumer's Designated Responsible Party, if applicable." sqref="D21:G21">
      <formula1>IF(E19="Yes",D21,FALSE)</formula1>
    </dataValidation>
  </dataValidations>
  <pageMargins left="0.75" right="0.75" top="1" bottom="1" header="0.5" footer="0.5"/>
  <pageSetup scale="86" orientation="portrait" r:id="rId1"/>
  <headerFooter alignWithMargins="0">
    <oddHeader>&amp;L&amp;8Texas Department of
Aging and Disability Services&amp;R&amp;8Primary Home Care CDS Budget
September 2009</oddHeader>
    <oddFooter>&amp;R&amp;8Date and Time Created: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zoomScale="75" workbookViewId="0">
      <selection activeCell="B10" sqref="B10:F51"/>
    </sheetView>
  </sheetViews>
  <sheetFormatPr defaultRowHeight="12.75" x14ac:dyDescent="0.2"/>
  <cols>
    <col min="1" max="2" width="4.140625" style="1" customWidth="1"/>
    <col min="3" max="3" width="46.7109375" style="1" customWidth="1"/>
    <col min="4" max="4" width="16.42578125" style="1" customWidth="1"/>
    <col min="5" max="5" width="4.28515625" style="1" customWidth="1"/>
    <col min="6" max="6" width="16.42578125" style="11" customWidth="1"/>
    <col min="7" max="7" width="4.140625" style="1" customWidth="1"/>
    <col min="8" max="8" width="9.140625" style="1"/>
    <col min="9" max="9" width="22" style="1" customWidth="1"/>
    <col min="10" max="16384" width="9.140625" style="1"/>
  </cols>
  <sheetData>
    <row r="1" spans="2:11" ht="12.75" customHeight="1" x14ac:dyDescent="0.2"/>
    <row r="2" spans="2:11" ht="41.25" customHeight="1" x14ac:dyDescent="0.2">
      <c r="B2" s="284" t="s">
        <v>130</v>
      </c>
      <c r="C2" s="284"/>
      <c r="D2" s="284"/>
      <c r="E2" s="284"/>
      <c r="F2" s="284"/>
      <c r="G2" s="168"/>
    </row>
    <row r="3" spans="2:11" ht="15.75" customHeight="1" x14ac:dyDescent="0.25">
      <c r="B3" s="285" t="s">
        <v>56</v>
      </c>
      <c r="C3" s="285"/>
      <c r="D3" s="285"/>
      <c r="E3" s="285"/>
      <c r="F3" s="285"/>
      <c r="I3" s="64"/>
      <c r="J3" s="65"/>
    </row>
    <row r="4" spans="2:11" ht="15.75" customHeight="1" x14ac:dyDescent="0.25">
      <c r="C4" s="20"/>
      <c r="D4" s="20"/>
      <c r="E4" s="20"/>
      <c r="F4" s="20"/>
      <c r="H4" s="64"/>
      <c r="I4" s="66"/>
      <c r="J4" s="64"/>
      <c r="K4" s="64"/>
    </row>
    <row r="5" spans="2:11" ht="15.75" customHeight="1" thickBot="1" x14ac:dyDescent="0.3">
      <c r="C5" s="21">
        <f>Consumer_Name</f>
        <v>0</v>
      </c>
      <c r="D5" s="20"/>
      <c r="E5" s="291">
        <f>Medicaid_Number</f>
        <v>0</v>
      </c>
      <c r="F5" s="291"/>
      <c r="H5" s="64"/>
      <c r="I5" s="66"/>
      <c r="J5" s="64"/>
      <c r="K5" s="64"/>
    </row>
    <row r="6" spans="2:11" ht="15.75" customHeight="1" x14ac:dyDescent="0.2">
      <c r="C6" s="22" t="s">
        <v>36</v>
      </c>
      <c r="D6" s="22"/>
      <c r="E6" s="292" t="s">
        <v>37</v>
      </c>
      <c r="F6" s="292"/>
      <c r="H6" s="64"/>
      <c r="I6" s="66"/>
      <c r="J6" s="64"/>
      <c r="K6" s="64"/>
    </row>
    <row r="7" spans="2:11" ht="15.75" customHeight="1" x14ac:dyDescent="0.2">
      <c r="C7" s="22"/>
      <c r="D7" s="22"/>
      <c r="E7" s="22"/>
      <c r="F7" s="22"/>
      <c r="H7" s="64"/>
      <c r="I7" s="66"/>
      <c r="J7" s="64"/>
      <c r="K7" s="64"/>
    </row>
    <row r="8" spans="2:11" ht="15.75" customHeight="1" thickBot="1" x14ac:dyDescent="0.3">
      <c r="C8" s="23" t="s">
        <v>5</v>
      </c>
      <c r="D8" s="36">
        <f>From</f>
        <v>0</v>
      </c>
      <c r="E8" s="22" t="s">
        <v>6</v>
      </c>
      <c r="F8" s="36">
        <f>To</f>
        <v>0</v>
      </c>
      <c r="H8" s="64"/>
      <c r="I8" s="66"/>
      <c r="J8" s="64"/>
      <c r="K8" s="64"/>
    </row>
    <row r="9" spans="2:11" ht="15.75" customHeight="1" thickBot="1" x14ac:dyDescent="0.3">
      <c r="C9" s="23"/>
      <c r="D9" s="24"/>
      <c r="E9" s="22"/>
      <c r="F9" s="24"/>
      <c r="H9" s="64"/>
      <c r="I9" s="66"/>
      <c r="J9" s="64"/>
      <c r="K9" s="64"/>
    </row>
    <row r="10" spans="2:11" ht="12.75" customHeight="1" x14ac:dyDescent="0.2">
      <c r="B10" s="293"/>
      <c r="C10" s="294"/>
      <c r="D10" s="294"/>
      <c r="E10" s="294"/>
      <c r="F10" s="295"/>
      <c r="H10" s="64"/>
      <c r="I10" s="66"/>
      <c r="J10" s="64"/>
      <c r="K10" s="64"/>
    </row>
    <row r="11" spans="2:11" ht="12.75" customHeight="1" x14ac:dyDescent="0.2">
      <c r="B11" s="296"/>
      <c r="C11" s="297"/>
      <c r="D11" s="297"/>
      <c r="E11" s="297"/>
      <c r="F11" s="298"/>
    </row>
    <row r="12" spans="2:11" x14ac:dyDescent="0.2">
      <c r="B12" s="296"/>
      <c r="C12" s="297"/>
      <c r="D12" s="297"/>
      <c r="E12" s="297"/>
      <c r="F12" s="298"/>
    </row>
    <row r="13" spans="2:11" x14ac:dyDescent="0.2">
      <c r="B13" s="296"/>
      <c r="C13" s="297"/>
      <c r="D13" s="297"/>
      <c r="E13" s="297"/>
      <c r="F13" s="298"/>
    </row>
    <row r="14" spans="2:11" x14ac:dyDescent="0.2">
      <c r="B14" s="296"/>
      <c r="C14" s="297"/>
      <c r="D14" s="297"/>
      <c r="E14" s="297"/>
      <c r="F14" s="298"/>
    </row>
    <row r="15" spans="2:11" x14ac:dyDescent="0.2">
      <c r="B15" s="296"/>
      <c r="C15" s="297"/>
      <c r="D15" s="297"/>
      <c r="E15" s="297"/>
      <c r="F15" s="298"/>
    </row>
    <row r="16" spans="2:11" x14ac:dyDescent="0.2">
      <c r="B16" s="296"/>
      <c r="C16" s="297"/>
      <c r="D16" s="297"/>
      <c r="E16" s="297"/>
      <c r="F16" s="298"/>
    </row>
    <row r="17" spans="2:6" x14ac:dyDescent="0.2">
      <c r="B17" s="296"/>
      <c r="C17" s="297"/>
      <c r="D17" s="297"/>
      <c r="E17" s="297"/>
      <c r="F17" s="298"/>
    </row>
    <row r="18" spans="2:6" x14ac:dyDescent="0.2">
      <c r="B18" s="296"/>
      <c r="C18" s="297"/>
      <c r="D18" s="297"/>
      <c r="E18" s="297"/>
      <c r="F18" s="298"/>
    </row>
    <row r="19" spans="2:6" x14ac:dyDescent="0.2">
      <c r="B19" s="296"/>
      <c r="C19" s="297"/>
      <c r="D19" s="297"/>
      <c r="E19" s="297"/>
      <c r="F19" s="298"/>
    </row>
    <row r="20" spans="2:6" x14ac:dyDescent="0.2">
      <c r="B20" s="296"/>
      <c r="C20" s="297"/>
      <c r="D20" s="297"/>
      <c r="E20" s="297"/>
      <c r="F20" s="298"/>
    </row>
    <row r="21" spans="2:6" x14ac:dyDescent="0.2">
      <c r="B21" s="296"/>
      <c r="C21" s="297"/>
      <c r="D21" s="297"/>
      <c r="E21" s="297"/>
      <c r="F21" s="298"/>
    </row>
    <row r="22" spans="2:6" x14ac:dyDescent="0.2">
      <c r="B22" s="296"/>
      <c r="C22" s="297"/>
      <c r="D22" s="297"/>
      <c r="E22" s="297"/>
      <c r="F22" s="298"/>
    </row>
    <row r="23" spans="2:6" x14ac:dyDescent="0.2">
      <c r="B23" s="296"/>
      <c r="C23" s="297"/>
      <c r="D23" s="297"/>
      <c r="E23" s="297"/>
      <c r="F23" s="298"/>
    </row>
    <row r="24" spans="2:6" x14ac:dyDescent="0.2">
      <c r="B24" s="296"/>
      <c r="C24" s="297"/>
      <c r="D24" s="297"/>
      <c r="E24" s="297"/>
      <c r="F24" s="298"/>
    </row>
    <row r="25" spans="2:6" x14ac:dyDescent="0.2">
      <c r="B25" s="296"/>
      <c r="C25" s="297"/>
      <c r="D25" s="297"/>
      <c r="E25" s="297"/>
      <c r="F25" s="298"/>
    </row>
    <row r="26" spans="2:6" x14ac:dyDescent="0.2">
      <c r="B26" s="296"/>
      <c r="C26" s="297"/>
      <c r="D26" s="297"/>
      <c r="E26" s="297"/>
      <c r="F26" s="298"/>
    </row>
    <row r="27" spans="2:6" x14ac:dyDescent="0.2">
      <c r="B27" s="296"/>
      <c r="C27" s="297"/>
      <c r="D27" s="297"/>
      <c r="E27" s="297"/>
      <c r="F27" s="298"/>
    </row>
    <row r="28" spans="2:6" x14ac:dyDescent="0.2">
      <c r="B28" s="296"/>
      <c r="C28" s="297"/>
      <c r="D28" s="297"/>
      <c r="E28" s="297"/>
      <c r="F28" s="298"/>
    </row>
    <row r="29" spans="2:6" x14ac:dyDescent="0.2">
      <c r="B29" s="296"/>
      <c r="C29" s="297"/>
      <c r="D29" s="297"/>
      <c r="E29" s="297"/>
      <c r="F29" s="298"/>
    </row>
    <row r="30" spans="2:6" x14ac:dyDescent="0.2">
      <c r="B30" s="296"/>
      <c r="C30" s="297"/>
      <c r="D30" s="297"/>
      <c r="E30" s="297"/>
      <c r="F30" s="298"/>
    </row>
    <row r="31" spans="2:6" x14ac:dyDescent="0.2">
      <c r="B31" s="296"/>
      <c r="C31" s="297"/>
      <c r="D31" s="297"/>
      <c r="E31" s="297"/>
      <c r="F31" s="298"/>
    </row>
    <row r="32" spans="2:6" x14ac:dyDescent="0.2">
      <c r="B32" s="296"/>
      <c r="C32" s="297"/>
      <c r="D32" s="297"/>
      <c r="E32" s="297"/>
      <c r="F32" s="298"/>
    </row>
    <row r="33" spans="2:6" x14ac:dyDescent="0.2">
      <c r="B33" s="296"/>
      <c r="C33" s="297"/>
      <c r="D33" s="297"/>
      <c r="E33" s="297"/>
      <c r="F33" s="298"/>
    </row>
    <row r="34" spans="2:6" x14ac:dyDescent="0.2">
      <c r="B34" s="296"/>
      <c r="C34" s="297"/>
      <c r="D34" s="297"/>
      <c r="E34" s="297"/>
      <c r="F34" s="298"/>
    </row>
    <row r="35" spans="2:6" x14ac:dyDescent="0.2">
      <c r="B35" s="296"/>
      <c r="C35" s="297"/>
      <c r="D35" s="297"/>
      <c r="E35" s="297"/>
      <c r="F35" s="298"/>
    </row>
    <row r="36" spans="2:6" x14ac:dyDescent="0.2">
      <c r="B36" s="296"/>
      <c r="C36" s="297"/>
      <c r="D36" s="297"/>
      <c r="E36" s="297"/>
      <c r="F36" s="298"/>
    </row>
    <row r="37" spans="2:6" x14ac:dyDescent="0.2">
      <c r="B37" s="296"/>
      <c r="C37" s="297"/>
      <c r="D37" s="297"/>
      <c r="E37" s="297"/>
      <c r="F37" s="298"/>
    </row>
    <row r="38" spans="2:6" x14ac:dyDescent="0.2">
      <c r="B38" s="296"/>
      <c r="C38" s="297"/>
      <c r="D38" s="297"/>
      <c r="E38" s="297"/>
      <c r="F38" s="298"/>
    </row>
    <row r="39" spans="2:6" x14ac:dyDescent="0.2">
      <c r="B39" s="296"/>
      <c r="C39" s="297"/>
      <c r="D39" s="297"/>
      <c r="E39" s="297"/>
      <c r="F39" s="298"/>
    </row>
    <row r="40" spans="2:6" x14ac:dyDescent="0.2">
      <c r="B40" s="296"/>
      <c r="C40" s="297"/>
      <c r="D40" s="297"/>
      <c r="E40" s="297"/>
      <c r="F40" s="298"/>
    </row>
    <row r="41" spans="2:6" x14ac:dyDescent="0.2">
      <c r="B41" s="296"/>
      <c r="C41" s="297"/>
      <c r="D41" s="297"/>
      <c r="E41" s="297"/>
      <c r="F41" s="298"/>
    </row>
    <row r="42" spans="2:6" x14ac:dyDescent="0.2">
      <c r="B42" s="296"/>
      <c r="C42" s="297"/>
      <c r="D42" s="297"/>
      <c r="E42" s="297"/>
      <c r="F42" s="298"/>
    </row>
    <row r="43" spans="2:6" x14ac:dyDescent="0.2">
      <c r="B43" s="296"/>
      <c r="C43" s="297"/>
      <c r="D43" s="297"/>
      <c r="E43" s="297"/>
      <c r="F43" s="298"/>
    </row>
    <row r="44" spans="2:6" x14ac:dyDescent="0.2">
      <c r="B44" s="296"/>
      <c r="C44" s="297"/>
      <c r="D44" s="297"/>
      <c r="E44" s="297"/>
      <c r="F44" s="298"/>
    </row>
    <row r="45" spans="2:6" x14ac:dyDescent="0.2">
      <c r="B45" s="296"/>
      <c r="C45" s="297"/>
      <c r="D45" s="297"/>
      <c r="E45" s="297"/>
      <c r="F45" s="298"/>
    </row>
    <row r="46" spans="2:6" x14ac:dyDescent="0.2">
      <c r="B46" s="296"/>
      <c r="C46" s="297"/>
      <c r="D46" s="297"/>
      <c r="E46" s="297"/>
      <c r="F46" s="298"/>
    </row>
    <row r="47" spans="2:6" x14ac:dyDescent="0.2">
      <c r="B47" s="296"/>
      <c r="C47" s="297"/>
      <c r="D47" s="297"/>
      <c r="E47" s="297"/>
      <c r="F47" s="298"/>
    </row>
    <row r="48" spans="2:6" x14ac:dyDescent="0.2">
      <c r="B48" s="296"/>
      <c r="C48" s="297"/>
      <c r="D48" s="297"/>
      <c r="E48" s="297"/>
      <c r="F48" s="298"/>
    </row>
    <row r="49" spans="2:6" x14ac:dyDescent="0.2">
      <c r="B49" s="296"/>
      <c r="C49" s="297"/>
      <c r="D49" s="297"/>
      <c r="E49" s="297"/>
      <c r="F49" s="298"/>
    </row>
    <row r="50" spans="2:6" x14ac:dyDescent="0.2">
      <c r="B50" s="296"/>
      <c r="C50" s="297"/>
      <c r="D50" s="297"/>
      <c r="E50" s="297"/>
      <c r="F50" s="298"/>
    </row>
    <row r="51" spans="2:6" ht="13.5" thickBot="1" x14ac:dyDescent="0.25">
      <c r="B51" s="299"/>
      <c r="C51" s="300"/>
      <c r="D51" s="300"/>
      <c r="E51" s="300"/>
      <c r="F51" s="301"/>
    </row>
  </sheetData>
  <sheetProtection password="E7F0" sheet="1" objects="1" scenarios="1"/>
  <mergeCells count="5">
    <mergeCell ref="B2:F2"/>
    <mergeCell ref="E5:F5"/>
    <mergeCell ref="E6:F6"/>
    <mergeCell ref="B10:F51"/>
    <mergeCell ref="B3:F3"/>
  </mergeCells>
  <phoneticPr fontId="0" type="noConversion"/>
  <dataValidations xWindow="531" yWindow="143" count="1">
    <dataValidation allowBlank="1" showInputMessage="1" showErrorMessage="1" promptTitle="Notes" prompt="This space is provided for any notes to the budget." sqref="B10:F10"/>
  </dataValidations>
  <printOptions horizontalCentered="1"/>
  <pageMargins left="0.2" right="0.2" top="0.75" bottom="0.25" header="0" footer="0.25"/>
  <pageSetup orientation="portrait" horizontalDpi="300" verticalDpi="300" r:id="rId1"/>
  <headerFooter alignWithMargins="0">
    <oddHeader>&amp;L&amp;8Texas Department of 
Aging and Disability Services&amp;R&amp;8Primary Home Care CDS Budget
September 2009</oddHeader>
    <oddFooter>&amp;R&amp;8Date and Time Created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1"/>
  <sheetViews>
    <sheetView topLeftCell="A7" zoomScale="75" zoomScaleNormal="75" workbookViewId="0">
      <selection activeCell="I7" sqref="I1:J1048576"/>
    </sheetView>
  </sheetViews>
  <sheetFormatPr defaultRowHeight="12.75" x14ac:dyDescent="0.2"/>
  <cols>
    <col min="1" max="2" width="4.140625" style="1" customWidth="1"/>
    <col min="3" max="3" width="48.42578125" style="1" bestFit="1" customWidth="1"/>
    <col min="4" max="4" width="16.42578125" style="1" customWidth="1"/>
    <col min="5" max="5" width="4.28515625" style="1" customWidth="1"/>
    <col min="6" max="6" width="16.42578125" style="11" customWidth="1"/>
    <col min="7" max="8" width="4.140625" style="1" customWidth="1"/>
    <col min="9" max="10" width="9.140625" style="1" hidden="1" customWidth="1"/>
    <col min="11" max="16384" width="9.140625" style="1"/>
  </cols>
  <sheetData>
    <row r="1" spans="2:10" ht="12.75" customHeight="1" x14ac:dyDescent="0.2"/>
    <row r="2" spans="2:10" ht="43.5" customHeight="1" x14ac:dyDescent="0.2">
      <c r="B2" s="284" t="s">
        <v>130</v>
      </c>
      <c r="C2" s="284"/>
      <c r="D2" s="284"/>
      <c r="E2" s="284"/>
      <c r="F2" s="284"/>
      <c r="G2" s="284"/>
    </row>
    <row r="3" spans="2:10" ht="15.75" customHeight="1" x14ac:dyDescent="0.25">
      <c r="B3" s="285" t="s">
        <v>118</v>
      </c>
      <c r="C3" s="285"/>
      <c r="D3" s="285"/>
      <c r="E3" s="285"/>
      <c r="F3" s="285"/>
    </row>
    <row r="4" spans="2:10" ht="15.75" customHeight="1" x14ac:dyDescent="0.25">
      <c r="C4" s="20"/>
      <c r="D4" s="20"/>
      <c r="E4" s="20"/>
      <c r="F4" s="20"/>
    </row>
    <row r="5" spans="2:10" ht="15.75" customHeight="1" thickBot="1" x14ac:dyDescent="0.3">
      <c r="C5" s="21">
        <f>Consumer_Name</f>
        <v>0</v>
      </c>
      <c r="D5" s="20"/>
      <c r="E5" s="291">
        <f>Medicaid_Number</f>
        <v>0</v>
      </c>
      <c r="F5" s="291"/>
    </row>
    <row r="6" spans="2:10" ht="15.75" customHeight="1" x14ac:dyDescent="0.2">
      <c r="C6" s="22" t="s">
        <v>36</v>
      </c>
      <c r="D6" s="22"/>
      <c r="E6" s="292" t="s">
        <v>37</v>
      </c>
      <c r="F6" s="292"/>
    </row>
    <row r="7" spans="2:10" ht="15.75" customHeight="1" x14ac:dyDescent="0.2">
      <c r="C7" s="22"/>
      <c r="D7" s="22"/>
      <c r="E7" s="22"/>
      <c r="F7" s="22"/>
    </row>
    <row r="8" spans="2:10" ht="15.75" customHeight="1" thickBot="1" x14ac:dyDescent="0.3">
      <c r="C8" s="23" t="s">
        <v>5</v>
      </c>
      <c r="D8" s="36">
        <f>From</f>
        <v>0</v>
      </c>
      <c r="E8" s="22" t="s">
        <v>6</v>
      </c>
      <c r="F8" s="36">
        <f>To</f>
        <v>0</v>
      </c>
    </row>
    <row r="9" spans="2:10" ht="15.75" customHeight="1" thickBot="1" x14ac:dyDescent="0.3">
      <c r="C9" s="23"/>
      <c r="D9" s="24"/>
      <c r="E9" s="22"/>
      <c r="F9" s="24"/>
    </row>
    <row r="10" spans="2:10" ht="30.75" customHeight="1" thickBot="1" x14ac:dyDescent="0.3">
      <c r="C10" s="114" t="s">
        <v>102</v>
      </c>
      <c r="D10" s="120">
        <f>D17</f>
        <v>0</v>
      </c>
      <c r="E10" s="22"/>
      <c r="F10" s="24"/>
    </row>
    <row r="11" spans="2:10" ht="15.75" customHeight="1" x14ac:dyDescent="0.25">
      <c r="C11" s="23"/>
      <c r="D11" s="24"/>
      <c r="E11" s="22"/>
      <c r="F11" s="24"/>
    </row>
    <row r="12" spans="2:10" ht="15.75" customHeight="1" x14ac:dyDescent="0.25">
      <c r="E12" s="166"/>
      <c r="F12" s="24"/>
    </row>
    <row r="13" spans="2:10" ht="15.75" customHeight="1" thickBot="1" x14ac:dyDescent="0.3">
      <c r="C13" s="23"/>
      <c r="D13" s="24"/>
      <c r="E13" s="22"/>
      <c r="F13" s="24"/>
    </row>
    <row r="14" spans="2:10" ht="15.75" customHeight="1" thickBot="1" x14ac:dyDescent="0.25">
      <c r="C14" s="147" t="s">
        <v>100</v>
      </c>
      <c r="D14" s="302" t="s">
        <v>144</v>
      </c>
      <c r="E14" s="303"/>
      <c r="F14" s="304"/>
    </row>
    <row r="15" spans="2:10" ht="15.75" customHeight="1" thickBot="1" x14ac:dyDescent="0.25">
      <c r="C15" s="167" t="s">
        <v>151</v>
      </c>
      <c r="D15" s="311"/>
      <c r="E15" s="312"/>
      <c r="F15" s="313"/>
      <c r="I15" s="1" t="s">
        <v>143</v>
      </c>
      <c r="J15" s="79">
        <v>10.67</v>
      </c>
    </row>
    <row r="16" spans="2:10" ht="15.75" customHeight="1" thickBot="1" x14ac:dyDescent="0.25">
      <c r="C16" s="148" t="s">
        <v>101</v>
      </c>
      <c r="D16" s="305">
        <f>VLOOKUP(D14,I15:J16,2,FALSE)</f>
        <v>10.28</v>
      </c>
      <c r="E16" s="306"/>
      <c r="F16" s="307"/>
      <c r="I16" s="1" t="s">
        <v>144</v>
      </c>
      <c r="J16" s="79">
        <v>10.28</v>
      </c>
    </row>
    <row r="17" spans="3:10" ht="15.75" customHeight="1" thickBot="1" x14ac:dyDescent="0.25">
      <c r="C17" s="149" t="s">
        <v>152</v>
      </c>
      <c r="D17" s="308">
        <f>D16*D15*Weeks</f>
        <v>0</v>
      </c>
      <c r="E17" s="309"/>
      <c r="F17" s="310"/>
      <c r="H17" s="79"/>
    </row>
    <row r="18" spans="3:10" ht="15.75" customHeight="1" x14ac:dyDescent="0.2">
      <c r="H18" s="79"/>
      <c r="J18" s="1">
        <f>Weekly_Authorized_Supported_Home_Living_Hours*Weeks</f>
        <v>0</v>
      </c>
    </row>
    <row r="19" spans="3:10" ht="15.75" customHeight="1" x14ac:dyDescent="0.2"/>
    <row r="20" spans="3:10" ht="15.75" customHeight="1" x14ac:dyDescent="0.2"/>
    <row r="21" spans="3:10" ht="15.75" customHeight="1" x14ac:dyDescent="0.2">
      <c r="J21" s="1">
        <f>IF(OR(J22=366,J22=365),52,(ROUNDUP(J22/7,0)))</f>
        <v>0</v>
      </c>
    </row>
    <row r="22" spans="3:10" ht="15.75" customHeight="1" x14ac:dyDescent="0.2">
      <c r="J22" s="77">
        <f>F8-D8</f>
        <v>0</v>
      </c>
    </row>
    <row r="23" spans="3:10" ht="15.75" customHeight="1" x14ac:dyDescent="0.2"/>
    <row r="24" spans="3:10" ht="15.75" customHeight="1" x14ac:dyDescent="0.2"/>
    <row r="25" spans="3:10" ht="15.75" customHeight="1" x14ac:dyDescent="0.2"/>
    <row r="26" spans="3:10" ht="15.75" customHeight="1" x14ac:dyDescent="0.2"/>
    <row r="27" spans="3:10" ht="15.75" customHeight="1" x14ac:dyDescent="0.2"/>
    <row r="28" spans="3:10" ht="15.75" customHeight="1" x14ac:dyDescent="0.2"/>
    <row r="29" spans="3:10" ht="15.75" customHeight="1" x14ac:dyDescent="0.2"/>
    <row r="30" spans="3:10" ht="15.75" customHeight="1" x14ac:dyDescent="0.2"/>
    <row r="31" spans="3:10" ht="15.75" customHeight="1" x14ac:dyDescent="0.2"/>
    <row r="32" spans="3: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sheetData>
  <sheetProtection password="E7F0" sheet="1" objects="1" scenarios="1"/>
  <customSheetViews>
    <customSheetView guid="{454ECA60-FBCC-11D6-AB9B-00C04F5868C8}" scale="75" showPageBreaks="1" fitToPage="1" printArea="1" showRuler="0">
      <selection activeCell="F14" sqref="F14"/>
      <pageMargins left="0.2" right="0.2" top="0.75" bottom="0.25" header="0" footer="0.25"/>
      <printOptions horizontalCentered="1"/>
      <pageSetup orientation="portrait" horizontalDpi="300" verticalDpi="300" r:id="rId1"/>
      <headerFooter alignWithMargins="0">
        <oddHeader>&amp;L&amp;8Texas Department
of Human Services&amp;R&amp;8Form 1546, page 3
January 2002</oddHeader>
      </headerFooter>
    </customSheetView>
    <customSheetView guid="{346F6C38-467E-4277-A934-45FBB069E11D}" scale="130" fitToPage="1" showRuler="0">
      <selection activeCell="B2" sqref="B2:F2"/>
      <pageMargins left="0.2" right="0.2" top="0.75" bottom="0.25" header="0" footer="0.25"/>
      <printOptions horizontalCentered="1"/>
      <pageSetup orientation="portrait" horizontalDpi="300" verticalDpi="300" r:id="rId2"/>
      <headerFooter alignWithMargins="0">
        <oddHeader>&amp;L&amp;8Texas Department
of Human Services&amp;R&amp;8Form 1546, page 3
January 2002</oddHeader>
      </headerFooter>
    </customSheetView>
  </customSheetViews>
  <mergeCells count="8">
    <mergeCell ref="D14:F14"/>
    <mergeCell ref="D16:F16"/>
    <mergeCell ref="D17:F17"/>
    <mergeCell ref="B2:G2"/>
    <mergeCell ref="E6:F6"/>
    <mergeCell ref="B3:F3"/>
    <mergeCell ref="E5:F5"/>
    <mergeCell ref="D15:F15"/>
  </mergeCells>
  <phoneticPr fontId="0" type="noConversion"/>
  <dataValidations xWindow="531" yWindow="143" count="3">
    <dataValidation allowBlank="1" showErrorMessage="1" promptTitle="Information Only Page" prompt="This page is for Information only.  It is not a part of the Client's budget." sqref="B2:G2"/>
    <dataValidation allowBlank="1" showInputMessage="1" showErrorMessage="1" promptTitle="Weekly Units" prompt="Enter the number of hours the Consumer is authorized each week. " sqref="D15"/>
    <dataValidation type="list" allowBlank="1" showInputMessage="1" showErrorMessage="1" promptTitle="Service" prompt="Select either Priority or Non-Priority." sqref="D14:F14">
      <formula1>$I$15:$I$16</formula1>
    </dataValidation>
  </dataValidations>
  <printOptions horizontalCentered="1"/>
  <pageMargins left="0.2" right="0.2" top="0.75" bottom="0.5" header="0" footer="0"/>
  <pageSetup orientation="portrait" horizontalDpi="300" verticalDpi="300" r:id="rId3"/>
  <headerFooter alignWithMargins="0">
    <oddHeader>&amp;L&amp;8Texas Department of 
Aging and Disability Services&amp;R&amp;8Primary Home Care CDS Budget
September 2009</oddHeader>
    <oddFooter>&amp;R&amp;8Date and Time Created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75" zoomScaleNormal="75" zoomScaleSheetLayoutView="75" workbookViewId="0">
      <selection activeCell="J8" sqref="J8"/>
    </sheetView>
  </sheetViews>
  <sheetFormatPr defaultRowHeight="12.75" x14ac:dyDescent="0.2"/>
  <cols>
    <col min="1" max="1" width="4.42578125" style="1" customWidth="1"/>
    <col min="2" max="2" width="4.140625" style="26" customWidth="1"/>
    <col min="3" max="3" width="46.5703125" style="1" customWidth="1"/>
    <col min="4" max="4" width="16.42578125" style="1" customWidth="1"/>
    <col min="5" max="6" width="4.28515625" style="1" customWidth="1"/>
    <col min="7" max="7" width="16.42578125" style="1" customWidth="1"/>
    <col min="8" max="8" width="4.28515625" style="1" customWidth="1"/>
    <col min="9" max="9" width="11" style="1" customWidth="1"/>
    <col min="10" max="16384" width="9.140625" style="1"/>
  </cols>
  <sheetData>
    <row r="1" spans="1:9" ht="12.75" customHeight="1" x14ac:dyDescent="0.2">
      <c r="I1" s="11"/>
    </row>
    <row r="2" spans="1:9" ht="39.75" customHeight="1" x14ac:dyDescent="0.3">
      <c r="B2" s="284" t="s">
        <v>130</v>
      </c>
      <c r="C2" s="284"/>
      <c r="D2" s="284"/>
      <c r="E2" s="284"/>
      <c r="F2" s="284"/>
      <c r="G2" s="284"/>
      <c r="H2" s="2"/>
      <c r="I2" s="2"/>
    </row>
    <row r="3" spans="1:9" ht="15.75" x14ac:dyDescent="0.25">
      <c r="B3" s="285" t="s">
        <v>153</v>
      </c>
      <c r="C3" s="285"/>
      <c r="D3" s="285"/>
      <c r="E3" s="285"/>
      <c r="F3" s="285"/>
      <c r="G3" s="285"/>
      <c r="H3" s="20"/>
      <c r="I3" s="20"/>
    </row>
    <row r="4" spans="1:9" ht="15" x14ac:dyDescent="0.25">
      <c r="C4" s="20"/>
      <c r="D4" s="20"/>
      <c r="E4" s="20"/>
      <c r="F4" s="20"/>
      <c r="G4" s="20"/>
      <c r="H4" s="20"/>
      <c r="I4" s="20"/>
    </row>
    <row r="5" spans="1:9" ht="15.75" thickBot="1" x14ac:dyDescent="0.3">
      <c r="B5" s="291">
        <f>Consumer_Name</f>
        <v>0</v>
      </c>
      <c r="C5" s="291"/>
      <c r="D5" s="20"/>
      <c r="E5" s="291">
        <f>Medicaid_Number</f>
        <v>0</v>
      </c>
      <c r="F5" s="291"/>
      <c r="G5" s="291"/>
      <c r="H5" s="27"/>
    </row>
    <row r="6" spans="1:9" ht="14.25" x14ac:dyDescent="0.2">
      <c r="C6" s="22" t="s">
        <v>36</v>
      </c>
      <c r="D6" s="22"/>
      <c r="E6" s="345" t="s">
        <v>37</v>
      </c>
      <c r="F6" s="345"/>
      <c r="G6" s="345"/>
      <c r="H6" s="29"/>
      <c r="I6" s="22"/>
    </row>
    <row r="7" spans="1:9" ht="14.25" x14ac:dyDescent="0.2">
      <c r="A7" s="22"/>
      <c r="B7" s="22"/>
      <c r="C7" s="22"/>
      <c r="D7" s="22"/>
      <c r="E7" s="29"/>
      <c r="F7" s="29"/>
      <c r="G7" s="29"/>
      <c r="H7" s="29"/>
      <c r="I7" s="22"/>
    </row>
    <row r="8" spans="1:9" ht="15.75" thickBot="1" x14ac:dyDescent="0.3">
      <c r="C8" s="23" t="s">
        <v>5</v>
      </c>
      <c r="D8" s="36">
        <f>From</f>
        <v>0</v>
      </c>
      <c r="E8" s="22" t="s">
        <v>6</v>
      </c>
      <c r="F8" s="352">
        <f>To</f>
        <v>0</v>
      </c>
      <c r="G8" s="352"/>
      <c r="H8" s="29"/>
      <c r="I8" s="22"/>
    </row>
    <row r="9" spans="1:9" ht="15.75" thickBot="1" x14ac:dyDescent="0.3">
      <c r="A9" s="23"/>
      <c r="B9" s="24"/>
      <c r="C9" s="22"/>
      <c r="D9" s="24"/>
      <c r="E9" s="20"/>
      <c r="F9" s="20"/>
      <c r="G9" s="20"/>
      <c r="H9" s="20"/>
      <c r="I9" s="20"/>
    </row>
    <row r="10" spans="1:9" ht="16.5" thickBot="1" x14ac:dyDescent="0.3">
      <c r="B10" s="271" t="s">
        <v>103</v>
      </c>
      <c r="C10" s="272"/>
      <c r="D10" s="272"/>
      <c r="E10" s="272"/>
      <c r="F10" s="314"/>
      <c r="G10" s="44">
        <f>Total_Budget</f>
        <v>0</v>
      </c>
      <c r="H10" s="30"/>
    </row>
    <row r="11" spans="1:9" ht="13.5" thickBot="1" x14ac:dyDescent="0.25">
      <c r="B11" s="5"/>
      <c r="C11" s="4"/>
      <c r="D11" s="4"/>
      <c r="E11" s="4"/>
      <c r="F11" s="4"/>
      <c r="G11" s="30"/>
      <c r="H11" s="30"/>
    </row>
    <row r="12" spans="1:9" ht="19.5" thickBot="1" x14ac:dyDescent="0.35">
      <c r="B12" s="327" t="s">
        <v>104</v>
      </c>
      <c r="C12" s="328"/>
      <c r="D12" s="328"/>
      <c r="E12" s="328"/>
      <c r="F12" s="328"/>
      <c r="G12" s="329"/>
      <c r="H12" s="31"/>
    </row>
    <row r="13" spans="1:9" ht="12.75" customHeight="1" x14ac:dyDescent="0.2">
      <c r="B13" s="323" t="s">
        <v>106</v>
      </c>
      <c r="C13" s="324"/>
      <c r="D13" s="324"/>
      <c r="E13" s="324"/>
      <c r="F13" s="324"/>
      <c r="G13" s="169">
        <f>IF(G10*0.1&lt;=600,G10*0.1,600)</f>
        <v>0</v>
      </c>
      <c r="H13" s="4"/>
    </row>
    <row r="14" spans="1:9" ht="13.5" thickBot="1" x14ac:dyDescent="0.25">
      <c r="B14" s="325"/>
      <c r="C14" s="326"/>
      <c r="D14" s="53" t="s">
        <v>18</v>
      </c>
      <c r="E14" s="330" t="s">
        <v>19</v>
      </c>
      <c r="F14" s="331"/>
      <c r="G14" s="332"/>
      <c r="H14" s="4"/>
    </row>
    <row r="15" spans="1:9" x14ac:dyDescent="0.2">
      <c r="B15" s="318" t="s">
        <v>1</v>
      </c>
      <c r="C15" s="319"/>
      <c r="D15" s="51"/>
      <c r="E15" s="320"/>
      <c r="F15" s="321"/>
      <c r="G15" s="322"/>
      <c r="H15" s="4"/>
    </row>
    <row r="16" spans="1:9" x14ac:dyDescent="0.2">
      <c r="B16" s="318" t="s">
        <v>16</v>
      </c>
      <c r="C16" s="319"/>
      <c r="D16" s="52"/>
      <c r="E16" s="315"/>
      <c r="F16" s="316"/>
      <c r="G16" s="317"/>
      <c r="H16" s="4"/>
    </row>
    <row r="17" spans="2:9" x14ac:dyDescent="0.2">
      <c r="B17" s="318" t="s">
        <v>17</v>
      </c>
      <c r="C17" s="319"/>
      <c r="D17" s="52"/>
      <c r="E17" s="315"/>
      <c r="F17" s="316"/>
      <c r="G17" s="317"/>
      <c r="H17" s="4"/>
      <c r="I17" s="170"/>
    </row>
    <row r="18" spans="2:9" ht="13.5" thickBot="1" x14ac:dyDescent="0.25">
      <c r="B18" s="318" t="s">
        <v>2</v>
      </c>
      <c r="C18" s="319"/>
      <c r="D18" s="52"/>
      <c r="E18" s="315"/>
      <c r="F18" s="316"/>
      <c r="G18" s="317"/>
      <c r="H18" s="4"/>
    </row>
    <row r="19" spans="2:9" x14ac:dyDescent="0.2">
      <c r="B19" s="360" t="s">
        <v>4</v>
      </c>
      <c r="C19" s="354"/>
      <c r="D19" s="143"/>
      <c r="E19" s="315"/>
      <c r="F19" s="316"/>
      <c r="G19" s="317"/>
      <c r="H19" s="4"/>
    </row>
    <row r="20" spans="2:9" ht="13.5" thickBot="1" x14ac:dyDescent="0.25">
      <c r="B20" s="333" t="s">
        <v>4</v>
      </c>
      <c r="C20" s="334"/>
      <c r="D20" s="144"/>
      <c r="E20" s="337"/>
      <c r="F20" s="338"/>
      <c r="G20" s="339"/>
      <c r="H20" s="4"/>
    </row>
    <row r="21" spans="2:9" ht="16.5" thickBot="1" x14ac:dyDescent="0.3">
      <c r="B21" s="340" t="s">
        <v>105</v>
      </c>
      <c r="C21" s="341"/>
      <c r="D21" s="341"/>
      <c r="E21" s="341"/>
      <c r="F21" s="342"/>
      <c r="G21" s="49">
        <f>SUM(D15:D20)</f>
        <v>0</v>
      </c>
      <c r="H21" s="30"/>
    </row>
    <row r="22" spans="2:9" ht="16.5" thickBot="1" x14ac:dyDescent="0.3">
      <c r="B22" s="114"/>
      <c r="C22" s="114"/>
      <c r="D22" s="114"/>
      <c r="E22" s="114"/>
      <c r="F22" s="114"/>
      <c r="G22" s="142"/>
      <c r="H22" s="30"/>
    </row>
    <row r="23" spans="2:9" ht="19.5" thickBot="1" x14ac:dyDescent="0.35">
      <c r="B23" s="327" t="s">
        <v>110</v>
      </c>
      <c r="C23" s="328"/>
      <c r="D23" s="328"/>
      <c r="E23" s="328"/>
      <c r="F23" s="328"/>
      <c r="G23" s="329"/>
      <c r="H23" s="32"/>
    </row>
    <row r="24" spans="2:9" ht="13.5" customHeight="1" x14ac:dyDescent="0.2">
      <c r="B24" s="335" t="s">
        <v>109</v>
      </c>
      <c r="C24" s="336"/>
      <c r="D24" s="336"/>
      <c r="E24" s="336"/>
      <c r="F24" s="336"/>
      <c r="G24" s="80">
        <f>G10-G21</f>
        <v>0</v>
      </c>
      <c r="H24" s="32"/>
    </row>
    <row r="25" spans="2:9" ht="13.5" customHeight="1" thickBot="1" x14ac:dyDescent="0.25">
      <c r="B25" s="343"/>
      <c r="C25" s="344"/>
      <c r="D25" s="171" t="s">
        <v>18</v>
      </c>
      <c r="E25" s="357" t="s">
        <v>19</v>
      </c>
      <c r="F25" s="358"/>
      <c r="G25" s="359"/>
      <c r="H25" s="4"/>
    </row>
    <row r="26" spans="2:9" x14ac:dyDescent="0.2">
      <c r="B26" s="318" t="s">
        <v>22</v>
      </c>
      <c r="C26" s="319"/>
      <c r="D26" s="54"/>
      <c r="E26" s="320"/>
      <c r="F26" s="321"/>
      <c r="G26" s="322"/>
      <c r="H26" s="4"/>
    </row>
    <row r="27" spans="2:9" ht="13.5" thickBot="1" x14ac:dyDescent="0.25">
      <c r="B27" s="355" t="s">
        <v>3</v>
      </c>
      <c r="C27" s="356"/>
      <c r="D27" s="54"/>
      <c r="E27" s="315"/>
      <c r="F27" s="316"/>
      <c r="G27" s="317"/>
      <c r="H27" s="4"/>
    </row>
    <row r="28" spans="2:9" x14ac:dyDescent="0.2">
      <c r="B28" s="353" t="s">
        <v>4</v>
      </c>
      <c r="C28" s="354"/>
      <c r="D28" s="55"/>
      <c r="E28" s="315"/>
      <c r="F28" s="316"/>
      <c r="G28" s="317"/>
      <c r="H28" s="4"/>
    </row>
    <row r="29" spans="2:9" ht="13.5" thickBot="1" x14ac:dyDescent="0.25">
      <c r="B29" s="351" t="s">
        <v>4</v>
      </c>
      <c r="C29" s="334"/>
      <c r="D29" s="56"/>
      <c r="E29" s="337"/>
      <c r="F29" s="338"/>
      <c r="G29" s="339"/>
      <c r="H29" s="4"/>
    </row>
    <row r="30" spans="2:9" ht="16.5" thickBot="1" x14ac:dyDescent="0.3">
      <c r="B30" s="348" t="s">
        <v>63</v>
      </c>
      <c r="C30" s="349"/>
      <c r="D30" s="349"/>
      <c r="E30" s="349"/>
      <c r="F30" s="350"/>
      <c r="G30" s="50">
        <f>SUM(D26:D29)</f>
        <v>0</v>
      </c>
      <c r="H30" s="30"/>
    </row>
    <row r="31" spans="2:9" ht="13.5" thickBot="1" x14ac:dyDescent="0.25">
      <c r="B31" s="5"/>
      <c r="C31" s="4"/>
      <c r="D31" s="4"/>
      <c r="E31" s="4"/>
      <c r="F31" s="4"/>
      <c r="G31" s="30"/>
      <c r="H31" s="30"/>
    </row>
    <row r="32" spans="2:9" ht="19.5" thickBot="1" x14ac:dyDescent="0.35">
      <c r="B32" s="346" t="s">
        <v>62</v>
      </c>
      <c r="C32" s="347"/>
      <c r="D32" s="347"/>
      <c r="E32" s="347"/>
      <c r="F32" s="347"/>
      <c r="G32" s="121">
        <f>G10-G21-G30</f>
        <v>0</v>
      </c>
      <c r="H32" s="30"/>
    </row>
    <row r="33" spans="4:8" x14ac:dyDescent="0.2">
      <c r="H33" s="33"/>
    </row>
    <row r="34" spans="4:8" x14ac:dyDescent="0.2">
      <c r="D34" s="79"/>
    </row>
    <row r="35" spans="4:8" x14ac:dyDescent="0.2">
      <c r="D35" s="79"/>
    </row>
    <row r="37" spans="4:8" x14ac:dyDescent="0.2">
      <c r="D37" s="79"/>
    </row>
  </sheetData>
  <sheetProtection password="E7F0" sheet="1" objects="1" scenarios="1"/>
  <customSheetViews>
    <customSheetView guid="{454ECA60-FBCC-11D6-AB9B-00C04F5868C8}" scale="75" showPageBreaks="1" printArea="1" showRuler="0">
      <selection activeCell="F13" sqref="F13"/>
      <pageMargins left="0.2" right="0.2" top="0.75" bottom="0.25" header="0" footer="0.25"/>
      <printOptions horizontalCentered="1"/>
      <pageSetup orientation="portrait" r:id="rId1"/>
      <headerFooter alignWithMargins="0">
        <oddHeader>&amp;L&amp;8Texas Department
of Human Services&amp;R&amp;8Form 1546, page 4
January 2002</oddHeader>
      </headerFooter>
    </customSheetView>
    <customSheetView guid="{346F6C38-467E-4277-A934-45FBB069E11D}" scale="130" printArea="1" showRuler="0" topLeftCell="A32">
      <selection activeCell="C46" sqref="C46:E46"/>
      <pageMargins left="0.2" right="0.2" top="0.75" bottom="0.25" header="0" footer="0.25"/>
      <printOptions horizontalCentered="1"/>
      <pageSetup orientation="portrait" r:id="rId2"/>
      <headerFooter alignWithMargins="0">
        <oddHeader>&amp;L&amp;8Texas Department
of Human Services&amp;R&amp;8Form 1546, page 4
January 2002</oddHeader>
      </headerFooter>
    </customSheetView>
  </customSheetViews>
  <mergeCells count="38">
    <mergeCell ref="B32:F32"/>
    <mergeCell ref="B30:F30"/>
    <mergeCell ref="B29:C29"/>
    <mergeCell ref="E29:G29"/>
    <mergeCell ref="F8:G8"/>
    <mergeCell ref="E28:G28"/>
    <mergeCell ref="B28:C28"/>
    <mergeCell ref="B27:C27"/>
    <mergeCell ref="E25:G25"/>
    <mergeCell ref="E18:G18"/>
    <mergeCell ref="E26:G26"/>
    <mergeCell ref="E27:G27"/>
    <mergeCell ref="E17:G17"/>
    <mergeCell ref="B19:C19"/>
    <mergeCell ref="B18:C18"/>
    <mergeCell ref="B23:G23"/>
    <mergeCell ref="B2:G2"/>
    <mergeCell ref="B3:G3"/>
    <mergeCell ref="E5:G5"/>
    <mergeCell ref="E6:G6"/>
    <mergeCell ref="B5:C5"/>
    <mergeCell ref="B20:C20"/>
    <mergeCell ref="B17:C17"/>
    <mergeCell ref="B24:F24"/>
    <mergeCell ref="B26:C26"/>
    <mergeCell ref="E19:G19"/>
    <mergeCell ref="E20:G20"/>
    <mergeCell ref="B21:F21"/>
    <mergeCell ref="B25:C25"/>
    <mergeCell ref="B10:F10"/>
    <mergeCell ref="E16:G16"/>
    <mergeCell ref="B15:C15"/>
    <mergeCell ref="E15:G15"/>
    <mergeCell ref="B13:F13"/>
    <mergeCell ref="B14:C14"/>
    <mergeCell ref="B12:G12"/>
    <mergeCell ref="E14:G14"/>
    <mergeCell ref="B16:C16"/>
  </mergeCells>
  <phoneticPr fontId="0" type="noConversion"/>
  <dataValidations xWindow="533" yWindow="144" count="13">
    <dataValidation allowBlank="1" showInputMessage="1" promptTitle="Other Compensation Costs" prompt="Enter the annual amount the Consumer estimates he would spend on any other Non-Taxable Compensation Costs.  Leave this cell blank if the Consumer does have expenses in this category." sqref="D28:D29"/>
    <dataValidation allowBlank="1" showInputMessage="1" promptTitle="Health Insurance" prompt="Enter the annual amount the Consumer estimates spending for Health Insurance premiums.  Leave this cell blank if the Consumer does not have expenses in this category." sqref="D26"/>
    <dataValidation allowBlank="1" showInputMessage="1" promptTitle="Workers' Comp &amp; Liability" prompt="Enter the annual amount the Consumer estimates spending for Workers' Compensation or Liability Insurance premiums.  Leave this cell blank if the Consumer does not have expenses in this category." sqref="D27"/>
    <dataValidation allowBlank="1" showInputMessage="1" showErrorMessage="1" promptTitle="Other Compensation Costs" prompt="If the employer has Compensation Costs other than those listed above, give a description of the type of Compensation Cost in this cell." sqref="B28:C29"/>
    <dataValidation allowBlank="1" showInputMessage="1" showErrorMessage="1" promptTitle="Comments" prompt="Enter any comments to help further identify any entries in this category." sqref="E26:E29 E18:G18 E19:E20 E15:E17"/>
    <dataValidation allowBlank="1" showInputMessage="1" showErrorMessage="1" promptTitle="Other Administrative Costs" prompt="If the Consumer has Administrative Costs other than those listed above, give a description of the type of Administrative Cost in this cell." sqref="B19:C20"/>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Copies &amp; Mailing" prompt="Enter the amount the employer is estimated to spend on Copies &amp; Mailing.  Leave this cell blank if the employer anticipates no expenses in this category." sqref="D17">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Equipment &amp; Supplies" prompt="Enter the amount the employer is estimated to spend on equipment &amp; Supplies.  Leave this cell blank if the employer anticipates no expenses in this category." sqref="D16">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Advertising" prompt="Enter the amount the employer is estimated to spend on Advertising.  Leave this cell blank if the employer anticipates no expenses in this category." sqref="D15">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20">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Criminal History Check" prompt="Enter the amount the employer is estimated to spend on Criminal History Checks.  Leave this cell blank if the employer anticipates no expenses in this category." sqref="D18">
      <formula1>IF(G21&lt;=G13,G21,IF(G21&gt;G13,FALSE))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19">
      <formula1>IF(G21&lt;=G13,G21,IF(G21&gt;G13,FALSE))</formula1>
    </dataValidation>
    <dataValidation allowBlank="1" showErrorMessage="1" promptTitle="Information Only Page" prompt="This page is for Information only.  It is not a part of the Client's budget." sqref="B2:G2"/>
  </dataValidations>
  <printOptions horizontalCentered="1"/>
  <pageMargins left="0.2" right="0.2" top="0.75" bottom="0.25" header="0" footer="0.25"/>
  <pageSetup orientation="portrait" r:id="rId3"/>
  <headerFooter alignWithMargins="0">
    <oddHeader>&amp;L&amp;8Texas Department of 
Aging and Disability Services&amp;R&amp;8Primary Home Care CDS Budget
September 2009</oddHeader>
    <oddFooter>&amp;R&amp;8Date and Time Created
&amp;D &amp;T</oddFooter>
  </headerFooter>
  <ignoredErrors>
    <ignoredError sqref="G21 G30"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C392"/>
  <sheetViews>
    <sheetView tabSelected="1" topLeftCell="A4" zoomScale="72" zoomScaleNormal="72" zoomScaleSheetLayoutView="50" workbookViewId="0">
      <selection activeCell="H25" sqref="H25"/>
    </sheetView>
  </sheetViews>
  <sheetFormatPr defaultRowHeight="12.75" x14ac:dyDescent="0.2"/>
  <cols>
    <col min="1" max="1" width="4" style="1" customWidth="1"/>
    <col min="2" max="2" width="4.5703125" style="1" customWidth="1"/>
    <col min="3" max="3" width="17.42578125" style="1" customWidth="1"/>
    <col min="4" max="4" width="10.5703125" style="1" customWidth="1"/>
    <col min="5" max="5" width="9.5703125" style="1" customWidth="1"/>
    <col min="6" max="6" width="10.28515625" style="1" customWidth="1"/>
    <col min="7" max="7" width="11.85546875" style="1" customWidth="1"/>
    <col min="8" max="8" width="10" style="1" customWidth="1"/>
    <col min="9" max="9" width="11.7109375" style="1" customWidth="1"/>
    <col min="10" max="10" width="12.140625" style="1" customWidth="1"/>
    <col min="11" max="11" width="13" style="1" customWidth="1"/>
    <col min="12" max="12" width="16" style="1" customWidth="1"/>
    <col min="13" max="13" width="3.85546875" style="1" customWidth="1"/>
    <col min="14" max="14" width="10.85546875" style="1" hidden="1" customWidth="1"/>
    <col min="15" max="15" width="14.42578125" style="1" hidden="1" customWidth="1"/>
    <col min="16" max="16" width="9.28515625" style="1" hidden="1" customWidth="1"/>
    <col min="17" max="17" width="11.7109375" style="1" hidden="1" customWidth="1"/>
    <col min="18" max="16384" width="9.140625" style="1"/>
  </cols>
  <sheetData>
    <row r="1" spans="2:17" ht="45" customHeight="1" x14ac:dyDescent="0.2">
      <c r="B1" s="284" t="s">
        <v>130</v>
      </c>
      <c r="C1" s="284"/>
      <c r="D1" s="284"/>
      <c r="E1" s="284"/>
      <c r="F1" s="284"/>
      <c r="G1" s="284"/>
      <c r="H1" s="284"/>
      <c r="I1" s="284"/>
      <c r="J1" s="284"/>
      <c r="K1" s="284"/>
      <c r="L1" s="284"/>
      <c r="M1" s="168"/>
      <c r="N1" s="64"/>
      <c r="O1" s="64"/>
      <c r="P1" s="1" t="s">
        <v>201</v>
      </c>
    </row>
    <row r="2" spans="2:17" ht="20.25" customHeight="1" x14ac:dyDescent="0.25">
      <c r="B2" s="285" t="s">
        <v>119</v>
      </c>
      <c r="C2" s="285"/>
      <c r="D2" s="285"/>
      <c r="E2" s="285"/>
      <c r="F2" s="285"/>
      <c r="G2" s="285"/>
      <c r="H2" s="285"/>
      <c r="I2" s="285"/>
      <c r="J2" s="285"/>
      <c r="K2" s="285"/>
      <c r="L2" s="285"/>
      <c r="M2" s="20"/>
      <c r="P2" s="1" t="s">
        <v>98</v>
      </c>
    </row>
    <row r="3" spans="2:17" ht="6.75" customHeight="1" x14ac:dyDescent="0.25">
      <c r="C3" s="20"/>
      <c r="D3" s="20"/>
      <c r="E3" s="20"/>
      <c r="F3" s="20"/>
      <c r="G3" s="20"/>
      <c r="H3" s="20"/>
      <c r="I3" s="20"/>
      <c r="J3" s="20"/>
      <c r="K3" s="20"/>
      <c r="L3" s="20"/>
      <c r="M3" s="20"/>
      <c r="P3" s="1" t="s">
        <v>202</v>
      </c>
    </row>
    <row r="4" spans="2:17" ht="15.75" thickBot="1" x14ac:dyDescent="0.3">
      <c r="C4" s="291">
        <f>Consumer_Name</f>
        <v>0</v>
      </c>
      <c r="D4" s="291"/>
      <c r="E4" s="291"/>
      <c r="F4" s="291"/>
      <c r="G4" s="20"/>
      <c r="H4" s="20"/>
      <c r="K4" s="21">
        <f>Medicaid_Number</f>
        <v>0</v>
      </c>
      <c r="L4" s="27"/>
      <c r="M4" s="27"/>
      <c r="P4" s="1" t="s">
        <v>203</v>
      </c>
    </row>
    <row r="5" spans="2:17" ht="14.25" x14ac:dyDescent="0.2">
      <c r="C5" s="292" t="s">
        <v>36</v>
      </c>
      <c r="D5" s="292"/>
      <c r="E5" s="292"/>
      <c r="F5" s="292"/>
      <c r="G5" s="22"/>
      <c r="H5" s="22"/>
      <c r="K5" s="28" t="s">
        <v>37</v>
      </c>
      <c r="L5" s="29"/>
      <c r="M5" s="29"/>
    </row>
    <row r="6" spans="2:17" ht="8.25" customHeight="1" x14ac:dyDescent="0.2">
      <c r="C6" s="22"/>
      <c r="D6" s="22"/>
      <c r="E6" s="22"/>
      <c r="F6" s="22"/>
      <c r="G6" s="22"/>
      <c r="H6" s="22"/>
      <c r="I6" s="22"/>
      <c r="J6" s="22"/>
      <c r="K6" s="29"/>
      <c r="L6" s="29"/>
      <c r="M6" s="29"/>
    </row>
    <row r="7" spans="2:17" ht="15.75" thickBot="1" x14ac:dyDescent="0.3">
      <c r="F7" s="23" t="s">
        <v>5</v>
      </c>
      <c r="G7" s="352">
        <f>From</f>
        <v>0</v>
      </c>
      <c r="H7" s="352"/>
      <c r="I7" s="173" t="s">
        <v>6</v>
      </c>
      <c r="J7" s="352">
        <f>To</f>
        <v>0</v>
      </c>
      <c r="K7" s="352"/>
    </row>
    <row r="8" spans="2:17" ht="12" customHeight="1" thickBot="1" x14ac:dyDescent="0.3">
      <c r="C8" s="23"/>
      <c r="D8" s="23"/>
      <c r="E8" s="23"/>
      <c r="F8" s="22"/>
      <c r="G8" s="22"/>
      <c r="H8" s="22"/>
      <c r="I8" s="24"/>
      <c r="J8" s="24"/>
      <c r="K8" s="20"/>
      <c r="L8" s="20"/>
      <c r="M8" s="20"/>
      <c r="P8" s="12"/>
      <c r="Q8" s="12"/>
    </row>
    <row r="9" spans="2:17" ht="19.5" customHeight="1" thickBot="1" x14ac:dyDescent="0.35">
      <c r="B9" s="346" t="s">
        <v>39</v>
      </c>
      <c r="C9" s="347"/>
      <c r="D9" s="347"/>
      <c r="E9" s="347"/>
      <c r="F9" s="347"/>
      <c r="G9" s="347"/>
      <c r="H9" s="347"/>
      <c r="I9" s="347"/>
      <c r="J9" s="347"/>
      <c r="K9" s="347"/>
      <c r="L9" s="392"/>
      <c r="M9" s="127"/>
      <c r="O9" s="397" t="s">
        <v>88</v>
      </c>
      <c r="P9" s="397"/>
      <c r="Q9" s="68">
        <v>7000</v>
      </c>
    </row>
    <row r="10" spans="2:17" ht="16.5" customHeight="1" x14ac:dyDescent="0.2">
      <c r="B10" s="415" t="s">
        <v>64</v>
      </c>
      <c r="C10" s="416"/>
      <c r="D10" s="416"/>
      <c r="E10" s="416"/>
      <c r="F10" s="416"/>
      <c r="G10" s="126">
        <f>Taxable</f>
        <v>0</v>
      </c>
      <c r="H10" s="413" t="s">
        <v>38</v>
      </c>
      <c r="I10" s="414"/>
      <c r="J10" s="414"/>
      <c r="K10" s="414"/>
      <c r="L10" s="75">
        <f>(Total_PAS_Dollars*Min_Employee_Compensation)-Non_Taxable</f>
        <v>0</v>
      </c>
      <c r="M10" s="30"/>
      <c r="O10" s="397" t="s">
        <v>91</v>
      </c>
      <c r="P10" s="397"/>
      <c r="Q10" s="68">
        <v>9000</v>
      </c>
    </row>
    <row r="11" spans="2:17" ht="19.5" customHeight="1" thickBot="1" x14ac:dyDescent="0.3">
      <c r="B11" s="395" t="s">
        <v>65</v>
      </c>
      <c r="C11" s="396"/>
      <c r="D11" s="396"/>
      <c r="E11" s="396"/>
      <c r="F11" s="396"/>
      <c r="G11" s="82">
        <f>SUM(N21,N38,N55,N72,N89,N106,N123,N140,N157,N174,N191,N208,N225,N242,N259,N276,N293,N310,N327,N344)</f>
        <v>0</v>
      </c>
      <c r="H11" s="393" t="s">
        <v>57</v>
      </c>
      <c r="I11" s="393"/>
      <c r="J11" s="393"/>
      <c r="K11" s="394"/>
      <c r="L11" s="67">
        <f>G10-G11</f>
        <v>0</v>
      </c>
      <c r="M11" s="128"/>
      <c r="O11" s="12"/>
    </row>
    <row r="12" spans="2:17" ht="12.75" customHeight="1" thickBot="1" x14ac:dyDescent="0.25">
      <c r="O12" s="12"/>
      <c r="P12" s="13" t="s">
        <v>89</v>
      </c>
      <c r="Q12" s="69">
        <v>8.0000000000000002E-3</v>
      </c>
    </row>
    <row r="13" spans="2:17" ht="19.5" customHeight="1" thickBot="1" x14ac:dyDescent="0.35">
      <c r="B13" s="346" t="s">
        <v>90</v>
      </c>
      <c r="C13" s="347"/>
      <c r="D13" s="347"/>
      <c r="E13" s="347"/>
      <c r="F13" s="347"/>
      <c r="G13" s="347"/>
      <c r="H13" s="347"/>
      <c r="I13" s="347"/>
      <c r="J13" s="347"/>
      <c r="K13" s="347"/>
      <c r="L13" s="392"/>
      <c r="M13" s="127"/>
      <c r="O13" s="12"/>
      <c r="P13" s="13" t="s">
        <v>14</v>
      </c>
      <c r="Q13" s="70">
        <v>6.2E-2</v>
      </c>
    </row>
    <row r="14" spans="2:17" ht="12.75" customHeight="1" x14ac:dyDescent="0.2">
      <c r="B14" s="407" t="s">
        <v>108</v>
      </c>
      <c r="C14" s="408"/>
      <c r="D14" s="408"/>
      <c r="E14" s="408"/>
      <c r="F14" s="408"/>
      <c r="G14" s="408"/>
      <c r="H14" s="408"/>
      <c r="I14" s="417" t="s">
        <v>150</v>
      </c>
      <c r="J14" s="418"/>
      <c r="K14" s="418"/>
      <c r="L14" s="398" t="str">
        <f>IF(G11&gt;=L10,"Yes","No")</f>
        <v>Yes</v>
      </c>
      <c r="M14" s="130"/>
      <c r="N14" s="130"/>
      <c r="O14" s="130"/>
      <c r="P14" s="13" t="s">
        <v>15</v>
      </c>
      <c r="Q14" s="70">
        <v>1.4500000000000001E-2</v>
      </c>
    </row>
    <row r="15" spans="2:17" ht="12.75" customHeight="1" thickBot="1" x14ac:dyDescent="0.25">
      <c r="B15" s="409"/>
      <c r="C15" s="410"/>
      <c r="D15" s="410"/>
      <c r="E15" s="410"/>
      <c r="F15" s="410"/>
      <c r="G15" s="410"/>
      <c r="H15" s="410"/>
      <c r="I15" s="419"/>
      <c r="J15" s="420"/>
      <c r="K15" s="420"/>
      <c r="L15" s="399"/>
      <c r="M15" s="130"/>
      <c r="O15" s="12"/>
      <c r="P15" s="37" t="s">
        <v>113</v>
      </c>
      <c r="Q15" s="146">
        <f>SUM(Q12:Q14)+I21</f>
        <v>8.4500000000000006E-2</v>
      </c>
    </row>
    <row r="16" spans="2:17" ht="12.75" customHeight="1" x14ac:dyDescent="0.2">
      <c r="B16" s="409"/>
      <c r="C16" s="410"/>
      <c r="D16" s="410"/>
      <c r="E16" s="410"/>
      <c r="F16" s="410"/>
      <c r="G16" s="410"/>
      <c r="H16" s="410"/>
      <c r="I16" s="401" t="s">
        <v>58</v>
      </c>
      <c r="J16" s="402"/>
      <c r="K16" s="403"/>
      <c r="L16" s="398" t="str">
        <f>IF(Budget_Balance&gt;=0,"Yes","No")</f>
        <v>Yes</v>
      </c>
      <c r="M16" s="129"/>
    </row>
    <row r="17" spans="2:81" ht="12.75" customHeight="1" thickBot="1" x14ac:dyDescent="0.25">
      <c r="B17" s="411"/>
      <c r="C17" s="412"/>
      <c r="D17" s="412"/>
      <c r="E17" s="412"/>
      <c r="F17" s="412"/>
      <c r="G17" s="412"/>
      <c r="H17" s="412"/>
      <c r="I17" s="404"/>
      <c r="J17" s="405"/>
      <c r="K17" s="406"/>
      <c r="L17" s="399"/>
      <c r="M17" s="130"/>
      <c r="O17" s="12"/>
      <c r="P17" s="12"/>
      <c r="Q17" s="12"/>
    </row>
    <row r="18" spans="2:81" ht="12.75" customHeight="1" thickBot="1" x14ac:dyDescent="0.3">
      <c r="C18" s="23"/>
      <c r="D18" s="23"/>
      <c r="E18" s="23"/>
      <c r="F18" s="22"/>
      <c r="G18" s="22"/>
      <c r="H18" s="22"/>
      <c r="I18" s="24"/>
      <c r="J18" s="24"/>
      <c r="K18" s="20"/>
      <c r="L18" s="20"/>
      <c r="M18" s="20"/>
      <c r="N18" s="400" t="s">
        <v>122</v>
      </c>
      <c r="O18" s="400"/>
      <c r="P18" s="400"/>
      <c r="Q18" s="145">
        <v>0.66359999999999997</v>
      </c>
      <c r="X18" s="26"/>
    </row>
    <row r="19" spans="2:81" ht="31.5" customHeight="1" thickBot="1" x14ac:dyDescent="0.35">
      <c r="B19" s="346" t="s">
        <v>120</v>
      </c>
      <c r="C19" s="347"/>
      <c r="D19" s="347"/>
      <c r="E19" s="347"/>
      <c r="F19" s="347"/>
      <c r="G19" s="347"/>
      <c r="H19" s="347"/>
      <c r="I19" s="347"/>
      <c r="J19" s="347"/>
      <c r="K19" s="347"/>
      <c r="L19" s="392"/>
      <c r="M19" s="124"/>
      <c r="N19" s="71"/>
      <c r="O19" s="71"/>
      <c r="P19" s="71"/>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row>
    <row r="20" spans="2:81" ht="31.5" customHeight="1" thickBot="1" x14ac:dyDescent="0.25">
      <c r="B20" s="361">
        <v>1</v>
      </c>
      <c r="C20" s="174" t="s">
        <v>121</v>
      </c>
      <c r="D20" s="154"/>
      <c r="E20" s="175"/>
      <c r="F20" s="175" t="s">
        <v>46</v>
      </c>
      <c r="G20" s="175" t="s">
        <v>47</v>
      </c>
      <c r="H20" s="153" t="s">
        <v>107</v>
      </c>
      <c r="I20" s="175" t="s">
        <v>52</v>
      </c>
      <c r="J20" s="176" t="s">
        <v>42</v>
      </c>
      <c r="K20" s="177" t="s">
        <v>43</v>
      </c>
      <c r="L20" s="178" t="s">
        <v>44</v>
      </c>
      <c r="M20" s="131"/>
      <c r="N20" s="8"/>
      <c r="O20" s="70"/>
      <c r="P20" s="64"/>
      <c r="Q20" s="64"/>
      <c r="R20" s="64"/>
      <c r="S20" s="64"/>
      <c r="T20" s="64"/>
      <c r="U20" s="64"/>
      <c r="V20" s="64"/>
      <c r="W20" s="122"/>
      <c r="X20" s="119"/>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row>
    <row r="21" spans="2:81" ht="12.75" customHeight="1" thickBot="1" x14ac:dyDescent="0.25">
      <c r="B21" s="362"/>
      <c r="C21" s="364"/>
      <c r="D21" s="365"/>
      <c r="E21" s="366"/>
      <c r="F21" s="133"/>
      <c r="G21" s="134"/>
      <c r="H21" s="179">
        <f>P27</f>
        <v>1</v>
      </c>
      <c r="I21" s="135"/>
      <c r="J21" s="180">
        <f>(SUM(K25:K26))+(SUM(I31:I35))</f>
        <v>0</v>
      </c>
      <c r="K21" s="181">
        <f>IF(F22="No",Q22,Q21)</f>
        <v>0</v>
      </c>
      <c r="L21" s="182">
        <f>SUM(J21:K21)</f>
        <v>0</v>
      </c>
      <c r="M21" s="8"/>
      <c r="N21" s="172">
        <f>IF(ISNUMBER(L21),L21,0)</f>
        <v>0</v>
      </c>
      <c r="O21" s="64"/>
      <c r="P21" s="64" t="s">
        <v>204</v>
      </c>
      <c r="Q21" s="64">
        <f>IF(F21="Exempt all taxes",0,(J21*FICA)+(J21*Medicare))</f>
        <v>0</v>
      </c>
      <c r="R21" s="64"/>
      <c r="S21" s="64"/>
      <c r="T21" s="64"/>
      <c r="U21" s="64"/>
      <c r="V21" s="64"/>
      <c r="W21" s="122"/>
      <c r="X21" s="119"/>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row>
    <row r="22" spans="2:81" ht="13.5" customHeight="1" thickBot="1" x14ac:dyDescent="0.25">
      <c r="B22" s="362"/>
      <c r="C22" s="367" t="s">
        <v>206</v>
      </c>
      <c r="D22" s="368"/>
      <c r="E22" s="369"/>
      <c r="F22" s="370"/>
      <c r="G22" s="371"/>
      <c r="H22" s="183"/>
      <c r="I22" s="172"/>
      <c r="J22" s="30"/>
      <c r="K22" s="184"/>
      <c r="L22" s="185"/>
      <c r="M22" s="87"/>
      <c r="N22" s="64"/>
      <c r="O22" s="64"/>
      <c r="P22" s="64" t="s">
        <v>205</v>
      </c>
      <c r="Q22" s="64">
        <f>IF(J21&gt;=SUTA_Max,((FUTA_Max*FUTA)+(SUTA_Max*I21)+(J21*FICA)+(J21*Medicare)),IF(J21&gt;=FUTA_Max,((FUTA_Max*FUTA)+(J21*I21)+(J21*FICA)+(J21*Medicare)),IF(J21&lt;FUTA_Max,(J21*Total_Tax+I21))))</f>
        <v>0</v>
      </c>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row>
    <row r="23" spans="2:81" ht="13.5" customHeight="1" thickBot="1" x14ac:dyDescent="0.25">
      <c r="B23" s="362"/>
      <c r="C23" s="372"/>
      <c r="D23" s="373"/>
      <c r="E23" s="373"/>
      <c r="F23" s="373"/>
      <c r="G23" s="373"/>
      <c r="H23" s="373"/>
      <c r="I23" s="373"/>
      <c r="J23" s="373"/>
      <c r="K23" s="373"/>
      <c r="L23" s="374"/>
      <c r="M23" s="87"/>
      <c r="N23" s="64"/>
      <c r="O23" s="64"/>
      <c r="P23" s="64"/>
      <c r="Q23" s="64"/>
      <c r="R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row>
    <row r="24" spans="2:81" ht="29.25" customHeight="1" thickBot="1" x14ac:dyDescent="0.3">
      <c r="B24" s="362"/>
      <c r="C24" s="186" t="s">
        <v>53</v>
      </c>
      <c r="D24" s="63"/>
      <c r="E24" s="375"/>
      <c r="F24" s="376"/>
      <c r="G24" s="187" t="s">
        <v>48</v>
      </c>
      <c r="H24" s="188" t="s">
        <v>40</v>
      </c>
      <c r="I24" s="189" t="s">
        <v>45</v>
      </c>
      <c r="J24" s="189" t="s">
        <v>50</v>
      </c>
      <c r="K24" s="190" t="s">
        <v>41</v>
      </c>
      <c r="L24" s="185"/>
      <c r="M24" s="73"/>
      <c r="N24" s="64"/>
      <c r="O24" s="64"/>
      <c r="P24" s="64"/>
      <c r="Q24" s="64"/>
      <c r="R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row>
    <row r="25" spans="2:81" ht="15.75" customHeight="1" thickBot="1" x14ac:dyDescent="0.25">
      <c r="B25" s="362"/>
      <c r="C25" s="25"/>
      <c r="D25" s="4"/>
      <c r="E25" s="377" t="str">
        <f>Service_Type</f>
        <v>Non-Priority</v>
      </c>
      <c r="F25" s="378"/>
      <c r="G25" s="74"/>
      <c r="H25" s="206"/>
      <c r="I25" s="191">
        <f>H21</f>
        <v>1</v>
      </c>
      <c r="J25" s="192"/>
      <c r="K25" s="193">
        <f>G25*H25*I25</f>
        <v>0</v>
      </c>
      <c r="L25" s="185"/>
      <c r="M25" s="131"/>
      <c r="N25" s="64" t="str">
        <f>IF(G25='Authorized Units &amp; Budget'!$D$15,"True","False")</f>
        <v>True</v>
      </c>
      <c r="O25" s="64"/>
      <c r="P25" s="64"/>
      <c r="Q25" s="64"/>
      <c r="R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row>
    <row r="26" spans="2:81" ht="13.5" customHeight="1" thickBot="1" x14ac:dyDescent="0.25">
      <c r="B26" s="362"/>
      <c r="C26" s="25"/>
      <c r="D26" s="4"/>
      <c r="E26" s="379" t="s">
        <v>23</v>
      </c>
      <c r="F26" s="380"/>
      <c r="G26" s="74"/>
      <c r="H26" s="211"/>
      <c r="I26" s="194">
        <f>H21</f>
        <v>1</v>
      </c>
      <c r="J26" s="195">
        <f>H25*1.5</f>
        <v>0</v>
      </c>
      <c r="K26" s="196">
        <f>G26*I26*J26</f>
        <v>0</v>
      </c>
      <c r="L26" s="185"/>
      <c r="M26" s="131"/>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row>
    <row r="27" spans="2:81" ht="13.5" customHeight="1" x14ac:dyDescent="0.2">
      <c r="B27" s="362"/>
      <c r="C27" s="25"/>
      <c r="D27" s="381" t="s">
        <v>123</v>
      </c>
      <c r="E27" s="381"/>
      <c r="F27" s="381"/>
      <c r="G27" s="381"/>
      <c r="H27" s="381"/>
      <c r="I27" s="381"/>
      <c r="J27" s="381"/>
      <c r="K27" s="381"/>
      <c r="L27" s="197"/>
      <c r="M27" s="131"/>
      <c r="N27" s="64"/>
      <c r="O27" s="64">
        <f>(G21-F21)+1</f>
        <v>1</v>
      </c>
      <c r="P27" s="64">
        <f>IF(OR(O27=366,O27=365),52,(ROUNDUP(O27/7,0)))</f>
        <v>1</v>
      </c>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row>
    <row r="28" spans="2:81" ht="13.5" customHeight="1" x14ac:dyDescent="0.2">
      <c r="B28" s="362"/>
      <c r="C28" s="198"/>
      <c r="D28" s="381"/>
      <c r="E28" s="381"/>
      <c r="F28" s="381"/>
      <c r="G28" s="381"/>
      <c r="H28" s="381"/>
      <c r="I28" s="381"/>
      <c r="J28" s="381"/>
      <c r="K28" s="381"/>
      <c r="L28" s="197"/>
      <c r="M28" s="131"/>
      <c r="N28" s="8"/>
      <c r="O28" s="64"/>
      <c r="P28" s="64"/>
      <c r="Q28" s="64"/>
      <c r="R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row>
    <row r="29" spans="2:81" ht="13.5" customHeight="1" thickBot="1" x14ac:dyDescent="0.25">
      <c r="B29" s="362"/>
      <c r="C29" s="152"/>
      <c r="D29" s="5"/>
      <c r="E29" s="5"/>
      <c r="F29" s="5"/>
      <c r="G29" s="5"/>
      <c r="H29" s="5"/>
      <c r="I29" s="5"/>
      <c r="J29" s="5"/>
      <c r="K29" s="5"/>
      <c r="L29" s="199"/>
      <c r="M29" s="131"/>
      <c r="N29" s="8"/>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row>
    <row r="30" spans="2:81" ht="31.5" customHeight="1" thickBot="1" x14ac:dyDescent="0.3">
      <c r="B30" s="362"/>
      <c r="C30" s="186" t="s">
        <v>54</v>
      </c>
      <c r="D30" s="63"/>
      <c r="E30" s="382"/>
      <c r="F30" s="383"/>
      <c r="G30" s="200" t="s">
        <v>49</v>
      </c>
      <c r="H30" s="201" t="s">
        <v>55</v>
      </c>
      <c r="I30" s="202" t="s">
        <v>41</v>
      </c>
      <c r="J30" s="4"/>
      <c r="K30" s="4"/>
      <c r="L30" s="185"/>
      <c r="M30" s="124"/>
      <c r="N30" s="71"/>
      <c r="O30" s="71"/>
      <c r="P30" s="71"/>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row>
    <row r="31" spans="2:81" ht="13.5" thickBot="1" x14ac:dyDescent="0.25">
      <c r="B31" s="362"/>
      <c r="C31" s="152"/>
      <c r="D31" s="4"/>
      <c r="E31" s="384" t="s">
        <v>27</v>
      </c>
      <c r="F31" s="385"/>
      <c r="G31" s="136"/>
      <c r="H31" s="137"/>
      <c r="I31" s="75">
        <f>G31*H31</f>
        <v>0</v>
      </c>
      <c r="J31" s="4"/>
      <c r="K31" s="4"/>
      <c r="L31" s="185"/>
      <c r="M31" s="131"/>
      <c r="N31" s="8"/>
      <c r="O31" s="70"/>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row>
    <row r="32" spans="2:81" ht="12.75" customHeight="1" thickBot="1" x14ac:dyDescent="0.25">
      <c r="B32" s="362"/>
      <c r="C32" s="152"/>
      <c r="D32" s="4"/>
      <c r="E32" s="386" t="s">
        <v>24</v>
      </c>
      <c r="F32" s="387"/>
      <c r="G32" s="138"/>
      <c r="H32" s="139"/>
      <c r="I32" s="75">
        <f>G32*H32</f>
        <v>0</v>
      </c>
      <c r="J32" s="4"/>
      <c r="K32" s="4"/>
      <c r="L32" s="185"/>
      <c r="M32" s="8"/>
      <c r="N32" s="8"/>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row>
    <row r="33" spans="2:81" ht="13.5" thickBot="1" x14ac:dyDescent="0.25">
      <c r="B33" s="362"/>
      <c r="C33" s="152"/>
      <c r="D33" s="4"/>
      <c r="E33" s="386" t="s">
        <v>25</v>
      </c>
      <c r="F33" s="387"/>
      <c r="G33" s="138"/>
      <c r="H33" s="139"/>
      <c r="I33" s="75">
        <f>G33*H33</f>
        <v>0</v>
      </c>
      <c r="J33" s="4"/>
      <c r="K33" s="4"/>
      <c r="L33" s="185"/>
      <c r="M33" s="131"/>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row>
    <row r="34" spans="2:81" ht="13.5" customHeight="1" thickBot="1" x14ac:dyDescent="0.25">
      <c r="B34" s="362"/>
      <c r="C34" s="152"/>
      <c r="D34" s="4"/>
      <c r="E34" s="388" t="s">
        <v>26</v>
      </c>
      <c r="F34" s="389"/>
      <c r="G34" s="138"/>
      <c r="H34" s="139"/>
      <c r="I34" s="75">
        <f>G34*H34</f>
        <v>0</v>
      </c>
      <c r="J34" s="4"/>
      <c r="K34" s="4"/>
      <c r="L34" s="185"/>
      <c r="M34" s="131"/>
      <c r="N34" s="8"/>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row>
    <row r="35" spans="2:81" ht="13.5" customHeight="1" thickBot="1" x14ac:dyDescent="0.25">
      <c r="B35" s="363"/>
      <c r="C35" s="203"/>
      <c r="D35" s="10"/>
      <c r="E35" s="390" t="s">
        <v>51</v>
      </c>
      <c r="F35" s="391"/>
      <c r="G35" s="140"/>
      <c r="H35" s="141"/>
      <c r="I35" s="204">
        <f>G35*H35</f>
        <v>0</v>
      </c>
      <c r="J35" s="10"/>
      <c r="K35" s="205"/>
      <c r="L35" s="182"/>
      <c r="M35" s="131"/>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row>
    <row r="36" spans="2:81" s="8" customFormat="1" ht="13.5" customHeight="1" thickBot="1" x14ac:dyDescent="0.25">
      <c r="B36" s="132"/>
      <c r="C36" s="73"/>
      <c r="E36" s="234"/>
      <c r="F36" s="234"/>
      <c r="G36" s="235"/>
      <c r="H36" s="236"/>
      <c r="I36" s="172"/>
      <c r="J36" s="237"/>
      <c r="K36" s="238"/>
      <c r="L36" s="238"/>
      <c r="M36" s="131"/>
    </row>
    <row r="37" spans="2:81" s="8" customFormat="1" ht="13.5" customHeight="1" thickBot="1" x14ac:dyDescent="0.25">
      <c r="B37" s="361">
        <v>2</v>
      </c>
      <c r="C37" s="174" t="s">
        <v>121</v>
      </c>
      <c r="D37" s="244"/>
      <c r="E37" s="175"/>
      <c r="F37" s="175" t="s">
        <v>46</v>
      </c>
      <c r="G37" s="175" t="s">
        <v>47</v>
      </c>
      <c r="H37" s="243" t="s">
        <v>107</v>
      </c>
      <c r="I37" s="175" t="s">
        <v>52</v>
      </c>
      <c r="J37" s="176" t="s">
        <v>42</v>
      </c>
      <c r="K37" s="177" t="s">
        <v>43</v>
      </c>
      <c r="L37" s="178" t="s">
        <v>44</v>
      </c>
      <c r="M37" s="131"/>
      <c r="O37" s="70"/>
      <c r="P37" s="64"/>
      <c r="Q37" s="64"/>
    </row>
    <row r="38" spans="2:81" s="241" customFormat="1" ht="13.5" thickBot="1" x14ac:dyDescent="0.25">
      <c r="B38" s="362"/>
      <c r="C38" s="364"/>
      <c r="D38" s="365"/>
      <c r="E38" s="366"/>
      <c r="F38" s="133"/>
      <c r="G38" s="134"/>
      <c r="H38" s="179">
        <f>P44</f>
        <v>1</v>
      </c>
      <c r="I38" s="135"/>
      <c r="J38" s="180">
        <f>(SUM(K42:K43))+(SUM(I48:I52))</f>
        <v>0</v>
      </c>
      <c r="K38" s="181">
        <f>IF(F39="No",Q39,Q38)</f>
        <v>0</v>
      </c>
      <c r="L38" s="182">
        <f>SUM(J38:K38)</f>
        <v>0</v>
      </c>
      <c r="M38" s="8"/>
      <c r="N38" s="172">
        <f>IF(ISNUMBER(L38),L38,0)</f>
        <v>0</v>
      </c>
      <c r="O38" s="64"/>
      <c r="P38" s="64" t="s">
        <v>204</v>
      </c>
      <c r="Q38" s="64">
        <f>IF(F38="Exempt all taxes",0,(J38*FICA)+(J38*Medicare))</f>
        <v>0</v>
      </c>
    </row>
    <row r="39" spans="2:81" s="241" customFormat="1" ht="13.5" thickBot="1" x14ac:dyDescent="0.25">
      <c r="B39" s="362"/>
      <c r="C39" s="367" t="s">
        <v>206</v>
      </c>
      <c r="D39" s="368"/>
      <c r="E39" s="369"/>
      <c r="F39" s="370"/>
      <c r="G39" s="371"/>
      <c r="H39" s="183"/>
      <c r="I39" s="172"/>
      <c r="J39" s="30"/>
      <c r="K39" s="184"/>
      <c r="L39" s="185"/>
      <c r="M39" s="87"/>
      <c r="N39" s="64"/>
      <c r="O39" s="64"/>
      <c r="P39" s="64" t="s">
        <v>205</v>
      </c>
      <c r="Q39" s="64">
        <f>IF(J38&gt;=SUTA_Max,((FUTA_Max*FUTA)+(SUTA_Max*I38)+(J38*FICA)+(J38*Medicare)),IF(J38&gt;=FUTA_Max,((FUTA_Max*FUTA)+(J38*I38)+(J38*FICA)+(J38*Medicare)),IF(J38&lt;FUTA_Max,(J38*Total_Tax+I38))))</f>
        <v>0</v>
      </c>
    </row>
    <row r="40" spans="2:81" s="241" customFormat="1" ht="13.5" thickBot="1" x14ac:dyDescent="0.25">
      <c r="B40" s="362"/>
      <c r="C40" s="372"/>
      <c r="D40" s="373"/>
      <c r="E40" s="373"/>
      <c r="F40" s="373"/>
      <c r="G40" s="373"/>
      <c r="H40" s="373"/>
      <c r="I40" s="373"/>
      <c r="J40" s="373"/>
      <c r="K40" s="373"/>
      <c r="L40" s="374"/>
      <c r="M40" s="87"/>
      <c r="N40" s="64"/>
      <c r="O40" s="64"/>
      <c r="P40" s="64"/>
      <c r="Q40" s="64"/>
    </row>
    <row r="41" spans="2:81" s="241" customFormat="1" ht="27" thickBot="1" x14ac:dyDescent="0.3">
      <c r="B41" s="362"/>
      <c r="C41" s="186" t="s">
        <v>53</v>
      </c>
      <c r="D41" s="63"/>
      <c r="E41" s="375"/>
      <c r="F41" s="376"/>
      <c r="G41" s="187" t="s">
        <v>48</v>
      </c>
      <c r="H41" s="188" t="s">
        <v>40</v>
      </c>
      <c r="I41" s="189" t="s">
        <v>45</v>
      </c>
      <c r="J41" s="189" t="s">
        <v>50</v>
      </c>
      <c r="K41" s="190" t="s">
        <v>41</v>
      </c>
      <c r="L41" s="185"/>
      <c r="M41" s="73"/>
      <c r="N41" s="64"/>
      <c r="O41" s="64"/>
      <c r="P41" s="64"/>
      <c r="Q41" s="64"/>
    </row>
    <row r="42" spans="2:81" s="241" customFormat="1" ht="13.5" thickBot="1" x14ac:dyDescent="0.25">
      <c r="B42" s="362"/>
      <c r="C42" s="240"/>
      <c r="E42" s="377" t="str">
        <f>Service_Type</f>
        <v>Non-Priority</v>
      </c>
      <c r="F42" s="378"/>
      <c r="G42" s="74"/>
      <c r="H42" s="206"/>
      <c r="I42" s="191">
        <f>H38</f>
        <v>1</v>
      </c>
      <c r="J42" s="192"/>
      <c r="K42" s="193">
        <f>G42*H42*I42</f>
        <v>0</v>
      </c>
      <c r="L42" s="185"/>
      <c r="M42" s="131"/>
      <c r="N42" s="64" t="str">
        <f>IF(G42='Authorized Units &amp; Budget'!$D$15,"True","False")</f>
        <v>True</v>
      </c>
      <c r="O42" s="64"/>
      <c r="P42" s="64"/>
      <c r="Q42" s="64"/>
    </row>
    <row r="43" spans="2:81" s="241" customFormat="1" ht="13.5" thickBot="1" x14ac:dyDescent="0.25">
      <c r="B43" s="362"/>
      <c r="C43" s="240"/>
      <c r="E43" s="379" t="s">
        <v>23</v>
      </c>
      <c r="F43" s="380"/>
      <c r="G43" s="74"/>
      <c r="H43" s="211"/>
      <c r="I43" s="194">
        <f>H38</f>
        <v>1</v>
      </c>
      <c r="J43" s="195">
        <f>H42*1.5</f>
        <v>0</v>
      </c>
      <c r="K43" s="196">
        <f>G43*I43*J43</f>
        <v>0</v>
      </c>
      <c r="L43" s="185"/>
      <c r="M43" s="131"/>
      <c r="N43" s="64"/>
      <c r="O43" s="64"/>
      <c r="P43" s="64"/>
      <c r="Q43" s="64"/>
    </row>
    <row r="44" spans="2:81" s="241" customFormat="1" x14ac:dyDescent="0.2">
      <c r="B44" s="362"/>
      <c r="C44" s="240"/>
      <c r="D44" s="381" t="s">
        <v>123</v>
      </c>
      <c r="E44" s="381"/>
      <c r="F44" s="381"/>
      <c r="G44" s="381"/>
      <c r="H44" s="381"/>
      <c r="I44" s="381"/>
      <c r="J44" s="381"/>
      <c r="K44" s="381"/>
      <c r="L44" s="197"/>
      <c r="M44" s="131"/>
      <c r="N44" s="64"/>
      <c r="O44" s="64">
        <f>(G38-F38)+1</f>
        <v>1</v>
      </c>
      <c r="P44" s="64">
        <f>IF(OR(O44=366,O44=365),52,(ROUNDUP(O44/7,0)))</f>
        <v>1</v>
      </c>
      <c r="Q44" s="64"/>
    </row>
    <row r="45" spans="2:81" s="241" customFormat="1" x14ac:dyDescent="0.2">
      <c r="B45" s="362"/>
      <c r="C45" s="198"/>
      <c r="D45" s="381"/>
      <c r="E45" s="381"/>
      <c r="F45" s="381"/>
      <c r="G45" s="381"/>
      <c r="H45" s="381"/>
      <c r="I45" s="381"/>
      <c r="J45" s="381"/>
      <c r="K45" s="381"/>
      <c r="L45" s="197"/>
      <c r="M45" s="131"/>
      <c r="N45" s="8"/>
      <c r="O45" s="64"/>
      <c r="P45" s="64"/>
      <c r="Q45" s="64"/>
    </row>
    <row r="46" spans="2:81" s="241" customFormat="1" ht="13.5" thickBot="1" x14ac:dyDescent="0.25">
      <c r="B46" s="362"/>
      <c r="C46" s="239"/>
      <c r="D46" s="5"/>
      <c r="E46" s="5"/>
      <c r="F46" s="5"/>
      <c r="G46" s="5"/>
      <c r="H46" s="5"/>
      <c r="I46" s="5"/>
      <c r="J46" s="5"/>
      <c r="K46" s="5"/>
      <c r="L46" s="199"/>
      <c r="M46" s="131"/>
      <c r="N46" s="8"/>
      <c r="O46" s="64"/>
      <c r="P46" s="64"/>
      <c r="Q46" s="64"/>
    </row>
    <row r="47" spans="2:81" s="241" customFormat="1" ht="27" thickBot="1" x14ac:dyDescent="0.3">
      <c r="B47" s="362"/>
      <c r="C47" s="186" t="s">
        <v>54</v>
      </c>
      <c r="D47" s="63"/>
      <c r="E47" s="382"/>
      <c r="F47" s="383"/>
      <c r="G47" s="200" t="s">
        <v>49</v>
      </c>
      <c r="H47" s="201" t="s">
        <v>55</v>
      </c>
      <c r="I47" s="202" t="s">
        <v>41</v>
      </c>
      <c r="L47" s="185"/>
      <c r="M47" s="245"/>
      <c r="N47" s="71"/>
      <c r="O47" s="71"/>
      <c r="P47" s="71"/>
      <c r="Q47" s="64"/>
    </row>
    <row r="48" spans="2:81" s="241" customFormat="1" ht="13.5" thickBot="1" x14ac:dyDescent="0.25">
      <c r="B48" s="362"/>
      <c r="C48" s="239"/>
      <c r="E48" s="384" t="s">
        <v>27</v>
      </c>
      <c r="F48" s="385"/>
      <c r="G48" s="136"/>
      <c r="H48" s="137"/>
      <c r="I48" s="75">
        <f>G48*H48</f>
        <v>0</v>
      </c>
      <c r="L48" s="185"/>
      <c r="M48" s="131"/>
      <c r="N48" s="8"/>
      <c r="O48" s="70"/>
      <c r="P48" s="64"/>
      <c r="Q48" s="64"/>
    </row>
    <row r="49" spans="2:17" s="241" customFormat="1" ht="13.5" thickBot="1" x14ac:dyDescent="0.25">
      <c r="B49" s="362"/>
      <c r="C49" s="239"/>
      <c r="E49" s="386" t="s">
        <v>24</v>
      </c>
      <c r="F49" s="387"/>
      <c r="G49" s="138"/>
      <c r="H49" s="139"/>
      <c r="I49" s="75">
        <f>G49*H49</f>
        <v>0</v>
      </c>
      <c r="L49" s="185"/>
      <c r="M49" s="8"/>
      <c r="N49" s="8"/>
      <c r="O49" s="64"/>
      <c r="P49" s="64"/>
      <c r="Q49" s="64"/>
    </row>
    <row r="50" spans="2:17" s="241" customFormat="1" ht="12.75" customHeight="1" thickBot="1" x14ac:dyDescent="0.25">
      <c r="B50" s="362"/>
      <c r="C50" s="239"/>
      <c r="E50" s="386" t="s">
        <v>25</v>
      </c>
      <c r="F50" s="387"/>
      <c r="G50" s="138"/>
      <c r="H50" s="139"/>
      <c r="I50" s="75">
        <f>G50*H50</f>
        <v>0</v>
      </c>
      <c r="L50" s="185"/>
      <c r="M50" s="131"/>
      <c r="N50" s="64"/>
      <c r="O50" s="64"/>
      <c r="P50" s="64"/>
      <c r="Q50" s="64"/>
    </row>
    <row r="51" spans="2:17" s="241" customFormat="1" ht="13.5" thickBot="1" x14ac:dyDescent="0.25">
      <c r="B51" s="362"/>
      <c r="C51" s="239"/>
      <c r="E51" s="388" t="s">
        <v>26</v>
      </c>
      <c r="F51" s="389"/>
      <c r="G51" s="138"/>
      <c r="H51" s="139"/>
      <c r="I51" s="75">
        <f>G51*H51</f>
        <v>0</v>
      </c>
      <c r="L51" s="185"/>
      <c r="M51" s="131"/>
      <c r="N51" s="8"/>
      <c r="O51" s="64"/>
      <c r="P51" s="64"/>
      <c r="Q51" s="64"/>
    </row>
    <row r="52" spans="2:17" s="241" customFormat="1" ht="13.5" thickBot="1" x14ac:dyDescent="0.25">
      <c r="B52" s="363"/>
      <c r="C52" s="203"/>
      <c r="D52" s="242"/>
      <c r="E52" s="390" t="s">
        <v>51</v>
      </c>
      <c r="F52" s="391"/>
      <c r="G52" s="140"/>
      <c r="H52" s="141"/>
      <c r="I52" s="204">
        <f>G52*H52</f>
        <v>0</v>
      </c>
      <c r="J52" s="242"/>
      <c r="K52" s="205"/>
      <c r="L52" s="182"/>
      <c r="M52" s="131"/>
      <c r="N52" s="64"/>
      <c r="O52" s="64"/>
      <c r="P52" s="64"/>
      <c r="Q52" s="64"/>
    </row>
    <row r="53" spans="2:17" s="241" customFormat="1" ht="13.5" thickBot="1" x14ac:dyDescent="0.25">
      <c r="B53" s="132"/>
      <c r="C53" s="73"/>
      <c r="D53" s="8"/>
      <c r="E53" s="234"/>
      <c r="F53" s="234"/>
      <c r="G53" s="235"/>
      <c r="H53" s="236"/>
      <c r="I53" s="172"/>
      <c r="J53" s="237"/>
      <c r="K53" s="238"/>
      <c r="L53" s="238"/>
      <c r="M53" s="131"/>
      <c r="N53" s="8"/>
      <c r="O53" s="8"/>
      <c r="P53" s="8"/>
      <c r="Q53" s="8"/>
    </row>
    <row r="54" spans="2:17" s="241" customFormat="1" ht="26.25" thickBot="1" x14ac:dyDescent="0.25">
      <c r="B54" s="361">
        <v>3</v>
      </c>
      <c r="C54" s="174" t="s">
        <v>121</v>
      </c>
      <c r="D54" s="244"/>
      <c r="E54" s="175"/>
      <c r="F54" s="175" t="s">
        <v>46</v>
      </c>
      <c r="G54" s="175" t="s">
        <v>47</v>
      </c>
      <c r="H54" s="243" t="s">
        <v>107</v>
      </c>
      <c r="I54" s="175" t="s">
        <v>52</v>
      </c>
      <c r="J54" s="176" t="s">
        <v>42</v>
      </c>
      <c r="K54" s="177" t="s">
        <v>43</v>
      </c>
      <c r="L54" s="178" t="s">
        <v>44</v>
      </c>
      <c r="M54" s="131"/>
      <c r="N54" s="8"/>
      <c r="O54" s="70"/>
      <c r="P54" s="64"/>
      <c r="Q54" s="64"/>
    </row>
    <row r="55" spans="2:17" s="241" customFormat="1" ht="13.5" thickBot="1" x14ac:dyDescent="0.25">
      <c r="B55" s="362"/>
      <c r="C55" s="364"/>
      <c r="D55" s="365"/>
      <c r="E55" s="366"/>
      <c r="F55" s="133"/>
      <c r="G55" s="134"/>
      <c r="H55" s="179">
        <f t="shared" ref="H55" si="0">P61</f>
        <v>1</v>
      </c>
      <c r="I55" s="135"/>
      <c r="J55" s="180">
        <f t="shared" ref="J55" si="1">(SUM(K59:K60))+(SUM(I65:I69))</f>
        <v>0</v>
      </c>
      <c r="K55" s="181">
        <f t="shared" ref="K55" si="2">IF(F56="No",Q56,Q55)</f>
        <v>0</v>
      </c>
      <c r="L55" s="182">
        <f t="shared" ref="L55" si="3">SUM(J55:K55)</f>
        <v>0</v>
      </c>
      <c r="M55" s="8"/>
      <c r="N55" s="172">
        <f t="shared" ref="N55" si="4">IF(ISNUMBER(L55),L55,0)</f>
        <v>0</v>
      </c>
      <c r="O55" s="64"/>
      <c r="P55" s="64" t="s">
        <v>204</v>
      </c>
      <c r="Q55" s="64">
        <f>IF(F55="Exempt all taxes",0,(J55*FICA)+(J55*Medicare))</f>
        <v>0</v>
      </c>
    </row>
    <row r="56" spans="2:17" s="241" customFormat="1" ht="13.5" thickBot="1" x14ac:dyDescent="0.25">
      <c r="B56" s="362"/>
      <c r="C56" s="367" t="s">
        <v>206</v>
      </c>
      <c r="D56" s="368"/>
      <c r="E56" s="369"/>
      <c r="F56" s="370"/>
      <c r="G56" s="371"/>
      <c r="H56" s="183"/>
      <c r="I56" s="172"/>
      <c r="J56" s="30"/>
      <c r="K56" s="184"/>
      <c r="L56" s="185"/>
      <c r="M56" s="87"/>
      <c r="N56" s="64"/>
      <c r="O56" s="64"/>
      <c r="P56" s="64" t="s">
        <v>205</v>
      </c>
      <c r="Q56" s="64">
        <f>IF(J55&gt;=SUTA_Max,((FUTA_Max*FUTA)+(SUTA_Max*I55)+(J55*FICA)+(J55*Medicare)),IF(J55&gt;=FUTA_Max,((FUTA_Max*FUTA)+(J55*I55)+(J55*FICA)+(J55*Medicare)),IF(J55&lt;FUTA_Max,(J55*Total_Tax+I55))))</f>
        <v>0</v>
      </c>
    </row>
    <row r="57" spans="2:17" s="241" customFormat="1" ht="13.5" thickBot="1" x14ac:dyDescent="0.25">
      <c r="B57" s="362"/>
      <c r="C57" s="372"/>
      <c r="D57" s="373"/>
      <c r="E57" s="373"/>
      <c r="F57" s="373"/>
      <c r="G57" s="373"/>
      <c r="H57" s="373"/>
      <c r="I57" s="373"/>
      <c r="J57" s="373"/>
      <c r="K57" s="373"/>
      <c r="L57" s="374"/>
      <c r="M57" s="87"/>
      <c r="N57" s="64"/>
      <c r="O57" s="64"/>
      <c r="P57" s="64"/>
      <c r="Q57" s="64"/>
    </row>
    <row r="58" spans="2:17" s="241" customFormat="1" ht="27" thickBot="1" x14ac:dyDescent="0.3">
      <c r="B58" s="362"/>
      <c r="C58" s="186" t="s">
        <v>53</v>
      </c>
      <c r="D58" s="63"/>
      <c r="E58" s="375"/>
      <c r="F58" s="376"/>
      <c r="G58" s="187" t="s">
        <v>48</v>
      </c>
      <c r="H58" s="188" t="s">
        <v>40</v>
      </c>
      <c r="I58" s="189" t="s">
        <v>45</v>
      </c>
      <c r="J58" s="189" t="s">
        <v>50</v>
      </c>
      <c r="K58" s="190" t="s">
        <v>41</v>
      </c>
      <c r="L58" s="185"/>
      <c r="M58" s="73"/>
      <c r="N58" s="64"/>
      <c r="O58" s="64"/>
      <c r="P58" s="64"/>
      <c r="Q58" s="64"/>
    </row>
    <row r="59" spans="2:17" s="241" customFormat="1" ht="13.5" thickBot="1" x14ac:dyDescent="0.25">
      <c r="B59" s="362"/>
      <c r="C59" s="240"/>
      <c r="E59" s="377" t="str">
        <f>Service_Type</f>
        <v>Non-Priority</v>
      </c>
      <c r="F59" s="378"/>
      <c r="G59" s="74"/>
      <c r="H59" s="206"/>
      <c r="I59" s="191">
        <f t="shared" ref="I59" si="5">H55</f>
        <v>1</v>
      </c>
      <c r="J59" s="192"/>
      <c r="K59" s="193">
        <f t="shared" ref="K59" si="6">G59*H59*I59</f>
        <v>0</v>
      </c>
      <c r="L59" s="185"/>
      <c r="M59" s="131"/>
      <c r="N59" s="64" t="str">
        <f>IF(G59='Authorized Units &amp; Budget'!$D$15,"True","False")</f>
        <v>True</v>
      </c>
      <c r="O59" s="64"/>
      <c r="P59" s="64"/>
      <c r="Q59" s="64"/>
    </row>
    <row r="60" spans="2:17" s="241" customFormat="1" ht="13.5" thickBot="1" x14ac:dyDescent="0.25">
      <c r="B60" s="362"/>
      <c r="C60" s="240"/>
      <c r="E60" s="379" t="s">
        <v>23</v>
      </c>
      <c r="F60" s="380"/>
      <c r="G60" s="74"/>
      <c r="H60" s="211"/>
      <c r="I60" s="194">
        <f t="shared" ref="I60" si="7">H55</f>
        <v>1</v>
      </c>
      <c r="J60" s="195">
        <f t="shared" ref="J60" si="8">H59*1.5</f>
        <v>0</v>
      </c>
      <c r="K60" s="196">
        <f t="shared" ref="K60" si="9">G60*I60*J60</f>
        <v>0</v>
      </c>
      <c r="L60" s="185"/>
      <c r="M60" s="131"/>
      <c r="N60" s="64"/>
      <c r="O60" s="64"/>
      <c r="P60" s="64"/>
      <c r="Q60" s="64"/>
    </row>
    <row r="61" spans="2:17" s="241" customFormat="1" x14ac:dyDescent="0.2">
      <c r="B61" s="362"/>
      <c r="C61" s="240"/>
      <c r="D61" s="381" t="s">
        <v>123</v>
      </c>
      <c r="E61" s="381"/>
      <c r="F61" s="381"/>
      <c r="G61" s="381"/>
      <c r="H61" s="381"/>
      <c r="I61" s="381"/>
      <c r="J61" s="381"/>
      <c r="K61" s="381"/>
      <c r="L61" s="197"/>
      <c r="M61" s="131"/>
      <c r="N61" s="64"/>
      <c r="O61" s="64">
        <f t="shared" ref="O61" si="10">(G55-F55)+1</f>
        <v>1</v>
      </c>
      <c r="P61" s="64">
        <f t="shared" ref="P61" si="11">IF(OR(O61=366,O61=365),52,(ROUNDUP(O61/7,0)))</f>
        <v>1</v>
      </c>
      <c r="Q61" s="64"/>
    </row>
    <row r="62" spans="2:17" s="241" customFormat="1" x14ac:dyDescent="0.2">
      <c r="B62" s="362"/>
      <c r="C62" s="198"/>
      <c r="D62" s="381"/>
      <c r="E62" s="381"/>
      <c r="F62" s="381"/>
      <c r="G62" s="381"/>
      <c r="H62" s="381"/>
      <c r="I62" s="381"/>
      <c r="J62" s="381"/>
      <c r="K62" s="381"/>
      <c r="L62" s="197"/>
      <c r="M62" s="131"/>
      <c r="N62" s="8"/>
      <c r="O62" s="64"/>
      <c r="P62" s="64"/>
      <c r="Q62" s="64"/>
    </row>
    <row r="63" spans="2:17" s="241" customFormat="1" ht="13.5" thickBot="1" x14ac:dyDescent="0.25">
      <c r="B63" s="362"/>
      <c r="C63" s="239"/>
      <c r="D63" s="5"/>
      <c r="E63" s="5"/>
      <c r="F63" s="5"/>
      <c r="G63" s="5"/>
      <c r="H63" s="5"/>
      <c r="I63" s="5"/>
      <c r="J63" s="5"/>
      <c r="K63" s="5"/>
      <c r="L63" s="199"/>
      <c r="M63" s="131"/>
      <c r="N63" s="8"/>
      <c r="O63" s="64"/>
      <c r="P63" s="64"/>
      <c r="Q63" s="64"/>
    </row>
    <row r="64" spans="2:17" s="241" customFormat="1" ht="27" thickBot="1" x14ac:dyDescent="0.3">
      <c r="B64" s="362"/>
      <c r="C64" s="186" t="s">
        <v>54</v>
      </c>
      <c r="D64" s="63"/>
      <c r="E64" s="382"/>
      <c r="F64" s="383"/>
      <c r="G64" s="200" t="s">
        <v>49</v>
      </c>
      <c r="H64" s="201" t="s">
        <v>55</v>
      </c>
      <c r="I64" s="202" t="s">
        <v>41</v>
      </c>
      <c r="L64" s="185"/>
      <c r="M64" s="245"/>
      <c r="N64" s="71"/>
      <c r="O64" s="71"/>
      <c r="P64" s="71"/>
      <c r="Q64" s="64"/>
    </row>
    <row r="65" spans="2:17" s="241" customFormat="1" ht="13.5" thickBot="1" x14ac:dyDescent="0.25">
      <c r="B65" s="362"/>
      <c r="C65" s="239"/>
      <c r="E65" s="384" t="s">
        <v>27</v>
      </c>
      <c r="F65" s="385"/>
      <c r="G65" s="136"/>
      <c r="H65" s="137"/>
      <c r="I65" s="75">
        <f t="shared" ref="I65:I69" si="12">G65*H65</f>
        <v>0</v>
      </c>
      <c r="L65" s="185"/>
      <c r="M65" s="131"/>
      <c r="N65" s="8"/>
      <c r="O65" s="70"/>
      <c r="P65" s="64"/>
      <c r="Q65" s="64"/>
    </row>
    <row r="66" spans="2:17" s="241" customFormat="1" ht="13.5" thickBot="1" x14ac:dyDescent="0.25">
      <c r="B66" s="362"/>
      <c r="C66" s="239"/>
      <c r="E66" s="386" t="s">
        <v>24</v>
      </c>
      <c r="F66" s="387"/>
      <c r="G66" s="138"/>
      <c r="H66" s="139"/>
      <c r="I66" s="75">
        <f t="shared" si="12"/>
        <v>0</v>
      </c>
      <c r="L66" s="185"/>
      <c r="M66" s="8"/>
      <c r="N66" s="8"/>
      <c r="O66" s="64"/>
      <c r="P66" s="64"/>
      <c r="Q66" s="64"/>
    </row>
    <row r="67" spans="2:17" s="241" customFormat="1" ht="12.75" customHeight="1" thickBot="1" x14ac:dyDescent="0.25">
      <c r="B67" s="362"/>
      <c r="C67" s="239"/>
      <c r="E67" s="386" t="s">
        <v>25</v>
      </c>
      <c r="F67" s="387"/>
      <c r="G67" s="138"/>
      <c r="H67" s="139"/>
      <c r="I67" s="75">
        <f t="shared" si="12"/>
        <v>0</v>
      </c>
      <c r="L67" s="185"/>
      <c r="M67" s="131"/>
      <c r="N67" s="64"/>
      <c r="O67" s="64"/>
      <c r="P67" s="64"/>
      <c r="Q67" s="64"/>
    </row>
    <row r="68" spans="2:17" s="241" customFormat="1" ht="13.5" thickBot="1" x14ac:dyDescent="0.25">
      <c r="B68" s="362"/>
      <c r="C68" s="239"/>
      <c r="E68" s="388" t="s">
        <v>26</v>
      </c>
      <c r="F68" s="389"/>
      <c r="G68" s="138"/>
      <c r="H68" s="139"/>
      <c r="I68" s="75">
        <f t="shared" si="12"/>
        <v>0</v>
      </c>
      <c r="L68" s="185"/>
      <c r="M68" s="131"/>
      <c r="N68" s="8"/>
      <c r="O68" s="64"/>
      <c r="P68" s="64"/>
      <c r="Q68" s="64"/>
    </row>
    <row r="69" spans="2:17" s="241" customFormat="1" ht="13.5" thickBot="1" x14ac:dyDescent="0.25">
      <c r="B69" s="363"/>
      <c r="C69" s="203"/>
      <c r="D69" s="242"/>
      <c r="E69" s="390" t="s">
        <v>51</v>
      </c>
      <c r="F69" s="391"/>
      <c r="G69" s="140"/>
      <c r="H69" s="141"/>
      <c r="I69" s="204">
        <f t="shared" si="12"/>
        <v>0</v>
      </c>
      <c r="J69" s="242"/>
      <c r="K69" s="205"/>
      <c r="L69" s="182"/>
      <c r="M69" s="131"/>
      <c r="N69" s="64"/>
      <c r="O69" s="64"/>
      <c r="P69" s="64"/>
      <c r="Q69" s="64"/>
    </row>
    <row r="70" spans="2:17" s="241" customFormat="1" ht="13.5" thickBot="1" x14ac:dyDescent="0.25">
      <c r="B70" s="132"/>
      <c r="C70" s="73"/>
      <c r="D70" s="8"/>
      <c r="E70" s="234"/>
      <c r="F70" s="234"/>
      <c r="G70" s="235"/>
      <c r="H70" s="236"/>
      <c r="I70" s="172"/>
      <c r="J70" s="237"/>
      <c r="K70" s="238"/>
      <c r="L70" s="238"/>
      <c r="M70" s="131"/>
      <c r="N70" s="8"/>
      <c r="O70" s="8"/>
      <c r="P70" s="8"/>
      <c r="Q70" s="8"/>
    </row>
    <row r="71" spans="2:17" s="241" customFormat="1" ht="26.25" thickBot="1" x14ac:dyDescent="0.25">
      <c r="B71" s="361">
        <v>4</v>
      </c>
      <c r="C71" s="174" t="s">
        <v>121</v>
      </c>
      <c r="D71" s="244"/>
      <c r="E71" s="175"/>
      <c r="F71" s="175" t="s">
        <v>46</v>
      </c>
      <c r="G71" s="175" t="s">
        <v>47</v>
      </c>
      <c r="H71" s="243" t="s">
        <v>107</v>
      </c>
      <c r="I71" s="175" t="s">
        <v>52</v>
      </c>
      <c r="J71" s="176" t="s">
        <v>42</v>
      </c>
      <c r="K71" s="177" t="s">
        <v>43</v>
      </c>
      <c r="L71" s="178" t="s">
        <v>44</v>
      </c>
      <c r="M71" s="131"/>
      <c r="N71" s="8"/>
      <c r="O71" s="70"/>
      <c r="P71" s="64"/>
      <c r="Q71" s="64"/>
    </row>
    <row r="72" spans="2:17" s="241" customFormat="1" ht="13.5" thickBot="1" x14ac:dyDescent="0.25">
      <c r="B72" s="362"/>
      <c r="C72" s="364"/>
      <c r="D72" s="365"/>
      <c r="E72" s="366"/>
      <c r="F72" s="133"/>
      <c r="G72" s="134"/>
      <c r="H72" s="179">
        <f t="shared" ref="H72" si="13">P78</f>
        <v>1</v>
      </c>
      <c r="I72" s="135"/>
      <c r="J72" s="180">
        <f t="shared" ref="J72" si="14">(SUM(K76:K77))+(SUM(I82:I86))</f>
        <v>0</v>
      </c>
      <c r="K72" s="181">
        <f t="shared" ref="K72" si="15">IF(F73="No",Q73,Q72)</f>
        <v>0</v>
      </c>
      <c r="L72" s="182">
        <f t="shared" ref="L72" si="16">SUM(J72:K72)</f>
        <v>0</v>
      </c>
      <c r="M72" s="8"/>
      <c r="N72" s="172">
        <f t="shared" ref="N72" si="17">IF(ISNUMBER(L72),L72,0)</f>
        <v>0</v>
      </c>
      <c r="O72" s="64"/>
      <c r="P72" s="64" t="s">
        <v>204</v>
      </c>
      <c r="Q72" s="64">
        <f>IF(F72="Exempt all taxes",0,(J72*FICA)+(J72*Medicare))</f>
        <v>0</v>
      </c>
    </row>
    <row r="73" spans="2:17" s="241" customFormat="1" ht="13.5" thickBot="1" x14ac:dyDescent="0.25">
      <c r="B73" s="362"/>
      <c r="C73" s="367" t="s">
        <v>206</v>
      </c>
      <c r="D73" s="368"/>
      <c r="E73" s="369"/>
      <c r="F73" s="370"/>
      <c r="G73" s="371"/>
      <c r="H73" s="183"/>
      <c r="I73" s="172"/>
      <c r="J73" s="30"/>
      <c r="K73" s="184"/>
      <c r="L73" s="185"/>
      <c r="M73" s="87"/>
      <c r="N73" s="64"/>
      <c r="O73" s="64"/>
      <c r="P73" s="64" t="s">
        <v>205</v>
      </c>
      <c r="Q73" s="64">
        <f>IF(J72&gt;=SUTA_Max,((FUTA_Max*FUTA)+(SUTA_Max*I72)+(J72*FICA)+(J72*Medicare)),IF(J72&gt;=FUTA_Max,((FUTA_Max*FUTA)+(J72*I72)+(J72*FICA)+(J72*Medicare)),IF(J72&lt;FUTA_Max,(J72*Total_Tax+I72))))</f>
        <v>0</v>
      </c>
    </row>
    <row r="74" spans="2:17" s="241" customFormat="1" ht="13.5" thickBot="1" x14ac:dyDescent="0.25">
      <c r="B74" s="362"/>
      <c r="C74" s="372"/>
      <c r="D74" s="373"/>
      <c r="E74" s="373"/>
      <c r="F74" s="373"/>
      <c r="G74" s="373"/>
      <c r="H74" s="373"/>
      <c r="I74" s="373"/>
      <c r="J74" s="373"/>
      <c r="K74" s="373"/>
      <c r="L74" s="374"/>
      <c r="M74" s="87"/>
      <c r="N74" s="64"/>
      <c r="O74" s="64"/>
      <c r="P74" s="64"/>
      <c r="Q74" s="64"/>
    </row>
    <row r="75" spans="2:17" s="241" customFormat="1" ht="27" thickBot="1" x14ac:dyDescent="0.3">
      <c r="B75" s="362"/>
      <c r="C75" s="186" t="s">
        <v>53</v>
      </c>
      <c r="D75" s="63"/>
      <c r="E75" s="375"/>
      <c r="F75" s="376"/>
      <c r="G75" s="187" t="s">
        <v>48</v>
      </c>
      <c r="H75" s="188" t="s">
        <v>40</v>
      </c>
      <c r="I75" s="189" t="s">
        <v>45</v>
      </c>
      <c r="J75" s="189" t="s">
        <v>50</v>
      </c>
      <c r="K75" s="190" t="s">
        <v>41</v>
      </c>
      <c r="L75" s="185"/>
      <c r="M75" s="73"/>
      <c r="N75" s="64"/>
      <c r="O75" s="64"/>
      <c r="P75" s="64"/>
      <c r="Q75" s="64"/>
    </row>
    <row r="76" spans="2:17" s="241" customFormat="1" ht="13.5" thickBot="1" x14ac:dyDescent="0.25">
      <c r="B76" s="362"/>
      <c r="C76" s="240"/>
      <c r="E76" s="377" t="str">
        <f>Service_Type</f>
        <v>Non-Priority</v>
      </c>
      <c r="F76" s="378"/>
      <c r="G76" s="74"/>
      <c r="H76" s="206"/>
      <c r="I76" s="191">
        <f t="shared" ref="I76" si="18">H72</f>
        <v>1</v>
      </c>
      <c r="J76" s="192"/>
      <c r="K76" s="193">
        <f t="shared" ref="K76" si="19">G76*H76*I76</f>
        <v>0</v>
      </c>
      <c r="L76" s="185"/>
      <c r="M76" s="131"/>
      <c r="N76" s="64" t="str">
        <f>IF(G76='Authorized Units &amp; Budget'!$D$15,"True","False")</f>
        <v>True</v>
      </c>
      <c r="O76" s="64"/>
      <c r="P76" s="64"/>
      <c r="Q76" s="64"/>
    </row>
    <row r="77" spans="2:17" s="241" customFormat="1" ht="13.5" thickBot="1" x14ac:dyDescent="0.25">
      <c r="B77" s="362"/>
      <c r="C77" s="240"/>
      <c r="E77" s="379" t="s">
        <v>23</v>
      </c>
      <c r="F77" s="380"/>
      <c r="G77" s="74"/>
      <c r="H77" s="211"/>
      <c r="I77" s="194">
        <f t="shared" ref="I77" si="20">H72</f>
        <v>1</v>
      </c>
      <c r="J77" s="195">
        <f t="shared" ref="J77" si="21">H76*1.5</f>
        <v>0</v>
      </c>
      <c r="K77" s="196">
        <f t="shared" ref="K77" si="22">G77*I77*J77</f>
        <v>0</v>
      </c>
      <c r="L77" s="185"/>
      <c r="M77" s="131"/>
      <c r="N77" s="64"/>
      <c r="O77" s="64"/>
      <c r="P77" s="64"/>
      <c r="Q77" s="64"/>
    </row>
    <row r="78" spans="2:17" s="241" customFormat="1" x14ac:dyDescent="0.2">
      <c r="B78" s="362"/>
      <c r="C78" s="240"/>
      <c r="D78" s="381" t="s">
        <v>123</v>
      </c>
      <c r="E78" s="381"/>
      <c r="F78" s="381"/>
      <c r="G78" s="381"/>
      <c r="H78" s="381"/>
      <c r="I78" s="381"/>
      <c r="J78" s="381"/>
      <c r="K78" s="381"/>
      <c r="L78" s="197"/>
      <c r="M78" s="131"/>
      <c r="N78" s="64"/>
      <c r="O78" s="64">
        <f t="shared" ref="O78" si="23">(G72-F72)+1</f>
        <v>1</v>
      </c>
      <c r="P78" s="64">
        <f t="shared" ref="P78" si="24">IF(OR(O78=366,O78=365),52,(ROUNDUP(O78/7,0)))</f>
        <v>1</v>
      </c>
      <c r="Q78" s="64"/>
    </row>
    <row r="79" spans="2:17" s="241" customFormat="1" x14ac:dyDescent="0.2">
      <c r="B79" s="362"/>
      <c r="C79" s="198"/>
      <c r="D79" s="381"/>
      <c r="E79" s="381"/>
      <c r="F79" s="381"/>
      <c r="G79" s="381"/>
      <c r="H79" s="381"/>
      <c r="I79" s="381"/>
      <c r="J79" s="381"/>
      <c r="K79" s="381"/>
      <c r="L79" s="197"/>
      <c r="M79" s="131"/>
      <c r="N79" s="8"/>
      <c r="O79" s="64"/>
      <c r="P79" s="64"/>
      <c r="Q79" s="64"/>
    </row>
    <row r="80" spans="2:17" s="241" customFormat="1" ht="13.5" thickBot="1" x14ac:dyDescent="0.25">
      <c r="B80" s="362"/>
      <c r="C80" s="239"/>
      <c r="D80" s="5"/>
      <c r="E80" s="5"/>
      <c r="F80" s="5"/>
      <c r="G80" s="5"/>
      <c r="H80" s="5"/>
      <c r="I80" s="5"/>
      <c r="J80" s="5"/>
      <c r="K80" s="5"/>
      <c r="L80" s="199"/>
      <c r="M80" s="131"/>
      <c r="N80" s="8"/>
      <c r="O80" s="64"/>
      <c r="P80" s="64"/>
      <c r="Q80" s="64"/>
    </row>
    <row r="81" spans="2:17" s="241" customFormat="1" ht="27" thickBot="1" x14ac:dyDescent="0.3">
      <c r="B81" s="362"/>
      <c r="C81" s="186" t="s">
        <v>54</v>
      </c>
      <c r="D81" s="63"/>
      <c r="E81" s="382"/>
      <c r="F81" s="383"/>
      <c r="G81" s="200" t="s">
        <v>49</v>
      </c>
      <c r="H81" s="201" t="s">
        <v>55</v>
      </c>
      <c r="I81" s="202" t="s">
        <v>41</v>
      </c>
      <c r="L81" s="185"/>
      <c r="M81" s="245"/>
      <c r="N81" s="71"/>
      <c r="O81" s="71"/>
      <c r="P81" s="71"/>
      <c r="Q81" s="64"/>
    </row>
    <row r="82" spans="2:17" s="241" customFormat="1" ht="13.5" thickBot="1" x14ac:dyDescent="0.25">
      <c r="B82" s="362"/>
      <c r="C82" s="239"/>
      <c r="E82" s="384" t="s">
        <v>27</v>
      </c>
      <c r="F82" s="385"/>
      <c r="G82" s="136"/>
      <c r="H82" s="137"/>
      <c r="I82" s="75">
        <f t="shared" ref="I82:I86" si="25">G82*H82</f>
        <v>0</v>
      </c>
      <c r="L82" s="185"/>
      <c r="M82" s="131"/>
      <c r="N82" s="8"/>
      <c r="O82" s="70"/>
      <c r="P82" s="64"/>
      <c r="Q82" s="64"/>
    </row>
    <row r="83" spans="2:17" s="241" customFormat="1" ht="13.5" thickBot="1" x14ac:dyDescent="0.25">
      <c r="B83" s="362"/>
      <c r="C83" s="239"/>
      <c r="E83" s="386" t="s">
        <v>24</v>
      </c>
      <c r="F83" s="387"/>
      <c r="G83" s="138"/>
      <c r="H83" s="139"/>
      <c r="I83" s="75">
        <f t="shared" si="25"/>
        <v>0</v>
      </c>
      <c r="L83" s="185"/>
      <c r="M83" s="8"/>
      <c r="N83" s="8"/>
      <c r="O83" s="64"/>
      <c r="P83" s="64"/>
      <c r="Q83" s="64"/>
    </row>
    <row r="84" spans="2:17" s="241" customFormat="1" ht="12.75" customHeight="1" thickBot="1" x14ac:dyDescent="0.25">
      <c r="B84" s="362"/>
      <c r="C84" s="239"/>
      <c r="E84" s="386" t="s">
        <v>25</v>
      </c>
      <c r="F84" s="387"/>
      <c r="G84" s="138"/>
      <c r="H84" s="139"/>
      <c r="I84" s="75">
        <f t="shared" si="25"/>
        <v>0</v>
      </c>
      <c r="L84" s="185"/>
      <c r="M84" s="131"/>
      <c r="N84" s="64"/>
      <c r="O84" s="64"/>
      <c r="P84" s="64"/>
      <c r="Q84" s="64"/>
    </row>
    <row r="85" spans="2:17" s="241" customFormat="1" ht="13.5" thickBot="1" x14ac:dyDescent="0.25">
      <c r="B85" s="362"/>
      <c r="C85" s="239"/>
      <c r="E85" s="388" t="s">
        <v>26</v>
      </c>
      <c r="F85" s="389"/>
      <c r="G85" s="138"/>
      <c r="H85" s="139"/>
      <c r="I85" s="75">
        <f t="shared" si="25"/>
        <v>0</v>
      </c>
      <c r="L85" s="185"/>
      <c r="M85" s="131"/>
      <c r="N85" s="8"/>
      <c r="O85" s="64"/>
      <c r="P85" s="64"/>
      <c r="Q85" s="64"/>
    </row>
    <row r="86" spans="2:17" s="241" customFormat="1" ht="13.5" thickBot="1" x14ac:dyDescent="0.25">
      <c r="B86" s="363"/>
      <c r="C86" s="203"/>
      <c r="D86" s="242"/>
      <c r="E86" s="390" t="s">
        <v>51</v>
      </c>
      <c r="F86" s="391"/>
      <c r="G86" s="140"/>
      <c r="H86" s="141"/>
      <c r="I86" s="204">
        <f t="shared" si="25"/>
        <v>0</v>
      </c>
      <c r="J86" s="242"/>
      <c r="K86" s="205"/>
      <c r="L86" s="182"/>
      <c r="M86" s="131"/>
      <c r="N86" s="64"/>
      <c r="O86" s="64"/>
      <c r="P86" s="64"/>
      <c r="Q86" s="64"/>
    </row>
    <row r="87" spans="2:17" s="241" customFormat="1" ht="13.5" thickBot="1" x14ac:dyDescent="0.25">
      <c r="B87" s="132"/>
      <c r="C87" s="73"/>
      <c r="D87" s="8"/>
      <c r="E87" s="234"/>
      <c r="F87" s="234"/>
      <c r="G87" s="235"/>
      <c r="H87" s="236"/>
      <c r="I87" s="172"/>
      <c r="J87" s="237"/>
      <c r="K87" s="238"/>
      <c r="L87" s="238"/>
      <c r="M87" s="131"/>
      <c r="N87" s="8"/>
      <c r="O87" s="8"/>
      <c r="P87" s="8"/>
      <c r="Q87" s="8"/>
    </row>
    <row r="88" spans="2:17" s="241" customFormat="1" ht="26.25" thickBot="1" x14ac:dyDescent="0.25">
      <c r="B88" s="361">
        <v>5</v>
      </c>
      <c r="C88" s="174" t="s">
        <v>121</v>
      </c>
      <c r="D88" s="244"/>
      <c r="E88" s="175"/>
      <c r="F88" s="175" t="s">
        <v>46</v>
      </c>
      <c r="G88" s="175" t="s">
        <v>47</v>
      </c>
      <c r="H88" s="243" t="s">
        <v>107</v>
      </c>
      <c r="I88" s="175" t="s">
        <v>52</v>
      </c>
      <c r="J88" s="176" t="s">
        <v>42</v>
      </c>
      <c r="K88" s="177" t="s">
        <v>43</v>
      </c>
      <c r="L88" s="178" t="s">
        <v>44</v>
      </c>
      <c r="M88" s="131"/>
      <c r="N88" s="8"/>
      <c r="O88" s="70"/>
      <c r="P88" s="64"/>
      <c r="Q88" s="64"/>
    </row>
    <row r="89" spans="2:17" s="241" customFormat="1" ht="13.5" thickBot="1" x14ac:dyDescent="0.25">
      <c r="B89" s="362"/>
      <c r="C89" s="364"/>
      <c r="D89" s="365"/>
      <c r="E89" s="366"/>
      <c r="F89" s="133"/>
      <c r="G89" s="134"/>
      <c r="H89" s="179">
        <f t="shared" ref="H89" si="26">P95</f>
        <v>1</v>
      </c>
      <c r="I89" s="135"/>
      <c r="J89" s="180">
        <f t="shared" ref="J89" si="27">(SUM(K93:K94))+(SUM(I99:I103))</f>
        <v>0</v>
      </c>
      <c r="K89" s="181">
        <f t="shared" ref="K89" si="28">IF(F90="No",Q90,Q89)</f>
        <v>0</v>
      </c>
      <c r="L89" s="182">
        <f t="shared" ref="L89" si="29">SUM(J89:K89)</f>
        <v>0</v>
      </c>
      <c r="M89" s="8"/>
      <c r="N89" s="172">
        <f t="shared" ref="N89" si="30">IF(ISNUMBER(L89),L89,0)</f>
        <v>0</v>
      </c>
      <c r="O89" s="64"/>
      <c r="P89" s="64" t="s">
        <v>204</v>
      </c>
      <c r="Q89" s="64">
        <f>IF(F89="Exempt all taxes",0,(J89*FICA)+(J89*Medicare))</f>
        <v>0</v>
      </c>
    </row>
    <row r="90" spans="2:17" s="241" customFormat="1" ht="13.5" thickBot="1" x14ac:dyDescent="0.25">
      <c r="B90" s="362"/>
      <c r="C90" s="367" t="s">
        <v>206</v>
      </c>
      <c r="D90" s="368"/>
      <c r="E90" s="369"/>
      <c r="F90" s="370"/>
      <c r="G90" s="371"/>
      <c r="H90" s="183"/>
      <c r="I90" s="172"/>
      <c r="J90" s="30"/>
      <c r="K90" s="184"/>
      <c r="L90" s="185"/>
      <c r="M90" s="87"/>
      <c r="N90" s="64"/>
      <c r="O90" s="64"/>
      <c r="P90" s="64" t="s">
        <v>205</v>
      </c>
      <c r="Q90" s="64">
        <f>IF(J89&gt;=SUTA_Max,((FUTA_Max*FUTA)+(SUTA_Max*I89)+(J89*FICA)+(J89*Medicare)),IF(J89&gt;=FUTA_Max,((FUTA_Max*FUTA)+(J89*I89)+(J89*FICA)+(J89*Medicare)),IF(J89&lt;FUTA_Max,(J89*Total_Tax+I89))))</f>
        <v>0</v>
      </c>
    </row>
    <row r="91" spans="2:17" s="241" customFormat="1" ht="13.5" thickBot="1" x14ac:dyDescent="0.25">
      <c r="B91" s="362"/>
      <c r="C91" s="372"/>
      <c r="D91" s="373"/>
      <c r="E91" s="373"/>
      <c r="F91" s="373"/>
      <c r="G91" s="373"/>
      <c r="H91" s="373"/>
      <c r="I91" s="373"/>
      <c r="J91" s="373"/>
      <c r="K91" s="373"/>
      <c r="L91" s="374"/>
      <c r="M91" s="87"/>
      <c r="N91" s="64"/>
      <c r="O91" s="64"/>
      <c r="P91" s="64"/>
      <c r="Q91" s="64"/>
    </row>
    <row r="92" spans="2:17" s="241" customFormat="1" ht="27" thickBot="1" x14ac:dyDescent="0.3">
      <c r="B92" s="362"/>
      <c r="C92" s="186" t="s">
        <v>53</v>
      </c>
      <c r="D92" s="63"/>
      <c r="E92" s="375"/>
      <c r="F92" s="376"/>
      <c r="G92" s="187" t="s">
        <v>48</v>
      </c>
      <c r="H92" s="188" t="s">
        <v>40</v>
      </c>
      <c r="I92" s="189" t="s">
        <v>45</v>
      </c>
      <c r="J92" s="189" t="s">
        <v>50</v>
      </c>
      <c r="K92" s="190" t="s">
        <v>41</v>
      </c>
      <c r="L92" s="185"/>
      <c r="M92" s="73"/>
      <c r="N92" s="64"/>
      <c r="O92" s="64"/>
      <c r="P92" s="64"/>
      <c r="Q92" s="64"/>
    </row>
    <row r="93" spans="2:17" s="241" customFormat="1" ht="13.5" thickBot="1" x14ac:dyDescent="0.25">
      <c r="B93" s="362"/>
      <c r="C93" s="240"/>
      <c r="E93" s="377" t="str">
        <f>Service_Type</f>
        <v>Non-Priority</v>
      </c>
      <c r="F93" s="378"/>
      <c r="G93" s="74"/>
      <c r="H93" s="206"/>
      <c r="I93" s="191">
        <f t="shared" ref="I93" si="31">H89</f>
        <v>1</v>
      </c>
      <c r="J93" s="192"/>
      <c r="K93" s="193">
        <f t="shared" ref="K93" si="32">G93*H93*I93</f>
        <v>0</v>
      </c>
      <c r="L93" s="185"/>
      <c r="M93" s="131"/>
      <c r="N93" s="64" t="str">
        <f>IF(G93='Authorized Units &amp; Budget'!$D$15,"True","False")</f>
        <v>True</v>
      </c>
      <c r="O93" s="64"/>
      <c r="P93" s="64"/>
      <c r="Q93" s="64"/>
    </row>
    <row r="94" spans="2:17" s="241" customFormat="1" ht="13.5" thickBot="1" x14ac:dyDescent="0.25">
      <c r="B94" s="362"/>
      <c r="C94" s="240"/>
      <c r="E94" s="379" t="s">
        <v>23</v>
      </c>
      <c r="F94" s="380"/>
      <c r="G94" s="74"/>
      <c r="H94" s="211"/>
      <c r="I94" s="194">
        <f t="shared" ref="I94" si="33">H89</f>
        <v>1</v>
      </c>
      <c r="J94" s="195">
        <f t="shared" ref="J94" si="34">H93*1.5</f>
        <v>0</v>
      </c>
      <c r="K94" s="196">
        <f t="shared" ref="K94" si="35">G94*I94*J94</f>
        <v>0</v>
      </c>
      <c r="L94" s="185"/>
      <c r="M94" s="131"/>
      <c r="N94" s="64"/>
      <c r="O94" s="64"/>
      <c r="P94" s="64"/>
      <c r="Q94" s="64"/>
    </row>
    <row r="95" spans="2:17" s="241" customFormat="1" x14ac:dyDescent="0.2">
      <c r="B95" s="362"/>
      <c r="C95" s="240"/>
      <c r="D95" s="381" t="s">
        <v>123</v>
      </c>
      <c r="E95" s="381"/>
      <c r="F95" s="381"/>
      <c r="G95" s="381"/>
      <c r="H95" s="381"/>
      <c r="I95" s="381"/>
      <c r="J95" s="381"/>
      <c r="K95" s="381"/>
      <c r="L95" s="197"/>
      <c r="M95" s="131"/>
      <c r="N95" s="64"/>
      <c r="O95" s="64">
        <f t="shared" ref="O95" si="36">(G89-F89)+1</f>
        <v>1</v>
      </c>
      <c r="P95" s="64">
        <f t="shared" ref="P95" si="37">IF(OR(O95=366,O95=365),52,(ROUNDUP(O95/7,0)))</f>
        <v>1</v>
      </c>
      <c r="Q95" s="64"/>
    </row>
    <row r="96" spans="2:17" s="241" customFormat="1" x14ac:dyDescent="0.2">
      <c r="B96" s="362"/>
      <c r="C96" s="198"/>
      <c r="D96" s="381"/>
      <c r="E96" s="381"/>
      <c r="F96" s="381"/>
      <c r="G96" s="381"/>
      <c r="H96" s="381"/>
      <c r="I96" s="381"/>
      <c r="J96" s="381"/>
      <c r="K96" s="381"/>
      <c r="L96" s="197"/>
      <c r="M96" s="131"/>
      <c r="N96" s="8"/>
      <c r="O96" s="64"/>
      <c r="P96" s="64"/>
      <c r="Q96" s="64"/>
    </row>
    <row r="97" spans="2:17" s="241" customFormat="1" ht="13.5" thickBot="1" x14ac:dyDescent="0.25">
      <c r="B97" s="362"/>
      <c r="C97" s="239"/>
      <c r="D97" s="5"/>
      <c r="E97" s="5"/>
      <c r="F97" s="5"/>
      <c r="G97" s="5"/>
      <c r="H97" s="5"/>
      <c r="I97" s="5"/>
      <c r="J97" s="5"/>
      <c r="K97" s="5"/>
      <c r="L97" s="199"/>
      <c r="M97" s="131"/>
      <c r="N97" s="8"/>
      <c r="O97" s="64"/>
      <c r="P97" s="64"/>
      <c r="Q97" s="64"/>
    </row>
    <row r="98" spans="2:17" s="241" customFormat="1" ht="27" thickBot="1" x14ac:dyDescent="0.3">
      <c r="B98" s="362"/>
      <c r="C98" s="186" t="s">
        <v>54</v>
      </c>
      <c r="D98" s="63"/>
      <c r="E98" s="382"/>
      <c r="F98" s="383"/>
      <c r="G98" s="200" t="s">
        <v>49</v>
      </c>
      <c r="H98" s="201" t="s">
        <v>55</v>
      </c>
      <c r="I98" s="202" t="s">
        <v>41</v>
      </c>
      <c r="L98" s="185"/>
      <c r="M98" s="245"/>
      <c r="N98" s="71"/>
      <c r="O98" s="71"/>
      <c r="P98" s="71"/>
      <c r="Q98" s="64"/>
    </row>
    <row r="99" spans="2:17" s="241" customFormat="1" ht="13.5" thickBot="1" x14ac:dyDescent="0.25">
      <c r="B99" s="362"/>
      <c r="C99" s="239"/>
      <c r="E99" s="384" t="s">
        <v>27</v>
      </c>
      <c r="F99" s="385"/>
      <c r="G99" s="136"/>
      <c r="H99" s="137"/>
      <c r="I99" s="75">
        <f t="shared" ref="I99:I103" si="38">G99*H99</f>
        <v>0</v>
      </c>
      <c r="L99" s="185"/>
      <c r="M99" s="131"/>
      <c r="N99" s="8"/>
      <c r="O99" s="70"/>
      <c r="P99" s="64"/>
      <c r="Q99" s="64"/>
    </row>
    <row r="100" spans="2:17" s="241" customFormat="1" ht="13.5" thickBot="1" x14ac:dyDescent="0.25">
      <c r="B100" s="362"/>
      <c r="C100" s="239"/>
      <c r="E100" s="386" t="s">
        <v>24</v>
      </c>
      <c r="F100" s="387"/>
      <c r="G100" s="138"/>
      <c r="H100" s="139"/>
      <c r="I100" s="75">
        <f t="shared" si="38"/>
        <v>0</v>
      </c>
      <c r="L100" s="185"/>
      <c r="M100" s="8"/>
      <c r="N100" s="8"/>
      <c r="O100" s="64"/>
      <c r="P100" s="64"/>
      <c r="Q100" s="64"/>
    </row>
    <row r="101" spans="2:17" s="241" customFormat="1" ht="13.5" thickBot="1" x14ac:dyDescent="0.25">
      <c r="B101" s="362"/>
      <c r="C101" s="239"/>
      <c r="E101" s="386" t="s">
        <v>25</v>
      </c>
      <c r="F101" s="387"/>
      <c r="G101" s="138"/>
      <c r="H101" s="139"/>
      <c r="I101" s="75">
        <f t="shared" si="38"/>
        <v>0</v>
      </c>
      <c r="L101" s="185"/>
      <c r="M101" s="131"/>
      <c r="N101" s="64"/>
      <c r="O101" s="64"/>
      <c r="P101" s="64"/>
      <c r="Q101" s="64"/>
    </row>
    <row r="102" spans="2:17" s="241" customFormat="1" ht="13.5" thickBot="1" x14ac:dyDescent="0.25">
      <c r="B102" s="362"/>
      <c r="C102" s="239"/>
      <c r="E102" s="388" t="s">
        <v>26</v>
      </c>
      <c r="F102" s="389"/>
      <c r="G102" s="138"/>
      <c r="H102" s="139"/>
      <c r="I102" s="75">
        <f t="shared" si="38"/>
        <v>0</v>
      </c>
      <c r="L102" s="185"/>
      <c r="M102" s="131"/>
      <c r="N102" s="8"/>
      <c r="O102" s="64"/>
      <c r="P102" s="64"/>
      <c r="Q102" s="64"/>
    </row>
    <row r="103" spans="2:17" s="241" customFormat="1" ht="13.5" thickBot="1" x14ac:dyDescent="0.25">
      <c r="B103" s="363"/>
      <c r="C103" s="203"/>
      <c r="D103" s="242"/>
      <c r="E103" s="390" t="s">
        <v>51</v>
      </c>
      <c r="F103" s="391"/>
      <c r="G103" s="140"/>
      <c r="H103" s="141"/>
      <c r="I103" s="204">
        <f t="shared" si="38"/>
        <v>0</v>
      </c>
      <c r="J103" s="242"/>
      <c r="K103" s="205"/>
      <c r="L103" s="182"/>
      <c r="M103" s="131"/>
      <c r="N103" s="64"/>
      <c r="O103" s="64"/>
      <c r="P103" s="64"/>
      <c r="Q103" s="64"/>
    </row>
    <row r="104" spans="2:17" s="241" customFormat="1" ht="13.5" thickBot="1" x14ac:dyDescent="0.25">
      <c r="B104" s="132"/>
      <c r="C104" s="73"/>
      <c r="D104" s="8"/>
      <c r="E104" s="234"/>
      <c r="F104" s="234"/>
      <c r="G104" s="235"/>
      <c r="H104" s="236"/>
      <c r="I104" s="172"/>
      <c r="J104" s="237"/>
      <c r="K104" s="238"/>
      <c r="L104" s="238"/>
      <c r="M104" s="131"/>
      <c r="N104" s="8"/>
      <c r="O104" s="8"/>
      <c r="P104" s="8"/>
      <c r="Q104" s="8"/>
    </row>
    <row r="105" spans="2:17" s="241" customFormat="1" ht="26.25" thickBot="1" x14ac:dyDescent="0.25">
      <c r="B105" s="361">
        <v>6</v>
      </c>
      <c r="C105" s="174" t="s">
        <v>121</v>
      </c>
      <c r="D105" s="244"/>
      <c r="E105" s="175"/>
      <c r="F105" s="175" t="s">
        <v>46</v>
      </c>
      <c r="G105" s="175" t="s">
        <v>47</v>
      </c>
      <c r="H105" s="243" t="s">
        <v>107</v>
      </c>
      <c r="I105" s="175" t="s">
        <v>52</v>
      </c>
      <c r="J105" s="176" t="s">
        <v>42</v>
      </c>
      <c r="K105" s="177" t="s">
        <v>43</v>
      </c>
      <c r="L105" s="178" t="s">
        <v>44</v>
      </c>
      <c r="M105" s="131"/>
      <c r="N105" s="8"/>
      <c r="O105" s="70"/>
      <c r="P105" s="64"/>
      <c r="Q105" s="64"/>
    </row>
    <row r="106" spans="2:17" s="241" customFormat="1" ht="13.5" thickBot="1" x14ac:dyDescent="0.25">
      <c r="B106" s="362"/>
      <c r="C106" s="364"/>
      <c r="D106" s="365"/>
      <c r="E106" s="366"/>
      <c r="F106" s="133"/>
      <c r="G106" s="134"/>
      <c r="H106" s="179">
        <f t="shared" ref="H106" si="39">P112</f>
        <v>1</v>
      </c>
      <c r="I106" s="135"/>
      <c r="J106" s="180">
        <f t="shared" ref="J106" si="40">(SUM(K110:K111))+(SUM(I116:I120))</f>
        <v>0</v>
      </c>
      <c r="K106" s="181">
        <f t="shared" ref="K106" si="41">IF(F107="No",Q107,Q106)</f>
        <v>0</v>
      </c>
      <c r="L106" s="182">
        <f t="shared" ref="L106" si="42">SUM(J106:K106)</f>
        <v>0</v>
      </c>
      <c r="M106" s="8"/>
      <c r="N106" s="172">
        <f t="shared" ref="N106" si="43">IF(ISNUMBER(L106),L106,0)</f>
        <v>0</v>
      </c>
      <c r="O106" s="64"/>
      <c r="P106" s="64" t="s">
        <v>204</v>
      </c>
      <c r="Q106" s="64">
        <f>IF(F106="Exempt all taxes",0,(J106*FICA)+(J106*Medicare))</f>
        <v>0</v>
      </c>
    </row>
    <row r="107" spans="2:17" s="241" customFormat="1" ht="13.5" thickBot="1" x14ac:dyDescent="0.25">
      <c r="B107" s="362"/>
      <c r="C107" s="367" t="s">
        <v>206</v>
      </c>
      <c r="D107" s="368"/>
      <c r="E107" s="369"/>
      <c r="F107" s="370"/>
      <c r="G107" s="371"/>
      <c r="H107" s="183"/>
      <c r="I107" s="172"/>
      <c r="J107" s="30"/>
      <c r="K107" s="184"/>
      <c r="L107" s="185"/>
      <c r="M107" s="87"/>
      <c r="N107" s="64"/>
      <c r="O107" s="64"/>
      <c r="P107" s="64" t="s">
        <v>205</v>
      </c>
      <c r="Q107" s="64">
        <f>IF(J106&gt;=SUTA_Max,((FUTA_Max*FUTA)+(SUTA_Max*I106)+(J106*FICA)+(J106*Medicare)),IF(J106&gt;=FUTA_Max,((FUTA_Max*FUTA)+(J106*I106)+(J106*FICA)+(J106*Medicare)),IF(J106&lt;FUTA_Max,(J106*Total_Tax+I106))))</f>
        <v>0</v>
      </c>
    </row>
    <row r="108" spans="2:17" s="241" customFormat="1" ht="13.5" thickBot="1" x14ac:dyDescent="0.25">
      <c r="B108" s="362"/>
      <c r="C108" s="372"/>
      <c r="D108" s="373"/>
      <c r="E108" s="373"/>
      <c r="F108" s="373"/>
      <c r="G108" s="373"/>
      <c r="H108" s="373"/>
      <c r="I108" s="373"/>
      <c r="J108" s="373"/>
      <c r="K108" s="373"/>
      <c r="L108" s="374"/>
      <c r="M108" s="87"/>
      <c r="N108" s="64"/>
      <c r="O108" s="64"/>
      <c r="P108" s="64"/>
      <c r="Q108" s="64"/>
    </row>
    <row r="109" spans="2:17" s="241" customFormat="1" ht="27" thickBot="1" x14ac:dyDescent="0.3">
      <c r="B109" s="362"/>
      <c r="C109" s="186" t="s">
        <v>53</v>
      </c>
      <c r="D109" s="63"/>
      <c r="E109" s="375"/>
      <c r="F109" s="376"/>
      <c r="G109" s="187" t="s">
        <v>48</v>
      </c>
      <c r="H109" s="188" t="s">
        <v>40</v>
      </c>
      <c r="I109" s="189" t="s">
        <v>45</v>
      </c>
      <c r="J109" s="189" t="s">
        <v>50</v>
      </c>
      <c r="K109" s="190" t="s">
        <v>41</v>
      </c>
      <c r="L109" s="185"/>
      <c r="M109" s="73"/>
      <c r="N109" s="64"/>
      <c r="O109" s="64"/>
      <c r="P109" s="64"/>
      <c r="Q109" s="64"/>
    </row>
    <row r="110" spans="2:17" s="241" customFormat="1" ht="13.5" thickBot="1" x14ac:dyDescent="0.25">
      <c r="B110" s="362"/>
      <c r="C110" s="240"/>
      <c r="E110" s="377" t="str">
        <f>Service_Type</f>
        <v>Non-Priority</v>
      </c>
      <c r="F110" s="378"/>
      <c r="G110" s="74"/>
      <c r="H110" s="206"/>
      <c r="I110" s="191">
        <f t="shared" ref="I110" si="44">H106</f>
        <v>1</v>
      </c>
      <c r="J110" s="192"/>
      <c r="K110" s="193">
        <f t="shared" ref="K110" si="45">G110*H110*I110</f>
        <v>0</v>
      </c>
      <c r="L110" s="185"/>
      <c r="M110" s="131"/>
      <c r="N110" s="64" t="str">
        <f>IF(G110='Authorized Units &amp; Budget'!$D$15,"True","False")</f>
        <v>True</v>
      </c>
      <c r="O110" s="64"/>
      <c r="P110" s="64"/>
      <c r="Q110" s="64"/>
    </row>
    <row r="111" spans="2:17" s="241" customFormat="1" ht="13.5" thickBot="1" x14ac:dyDescent="0.25">
      <c r="B111" s="362"/>
      <c r="C111" s="240"/>
      <c r="E111" s="379" t="s">
        <v>23</v>
      </c>
      <c r="F111" s="380"/>
      <c r="G111" s="74"/>
      <c r="H111" s="211"/>
      <c r="I111" s="194">
        <f t="shared" ref="I111" si="46">H106</f>
        <v>1</v>
      </c>
      <c r="J111" s="195">
        <f t="shared" ref="J111" si="47">H110*1.5</f>
        <v>0</v>
      </c>
      <c r="K111" s="196">
        <f t="shared" ref="K111" si="48">G111*I111*J111</f>
        <v>0</v>
      </c>
      <c r="L111" s="185"/>
      <c r="M111" s="131"/>
      <c r="N111" s="64"/>
      <c r="O111" s="64"/>
      <c r="P111" s="64"/>
      <c r="Q111" s="64"/>
    </row>
    <row r="112" spans="2:17" s="241" customFormat="1" x14ac:dyDescent="0.2">
      <c r="B112" s="362"/>
      <c r="C112" s="240"/>
      <c r="D112" s="381" t="s">
        <v>123</v>
      </c>
      <c r="E112" s="381"/>
      <c r="F112" s="381"/>
      <c r="G112" s="381"/>
      <c r="H112" s="381"/>
      <c r="I112" s="381"/>
      <c r="J112" s="381"/>
      <c r="K112" s="381"/>
      <c r="L112" s="197"/>
      <c r="M112" s="131"/>
      <c r="N112" s="64"/>
      <c r="O112" s="64">
        <f t="shared" ref="O112" si="49">(G106-F106)+1</f>
        <v>1</v>
      </c>
      <c r="P112" s="64">
        <f t="shared" ref="P112" si="50">IF(OR(O112=366,O112=365),52,(ROUNDUP(O112/7,0)))</f>
        <v>1</v>
      </c>
      <c r="Q112" s="64"/>
    </row>
    <row r="113" spans="2:17" s="241" customFormat="1" x14ac:dyDescent="0.2">
      <c r="B113" s="362"/>
      <c r="C113" s="198"/>
      <c r="D113" s="381"/>
      <c r="E113" s="381"/>
      <c r="F113" s="381"/>
      <c r="G113" s="381"/>
      <c r="H113" s="381"/>
      <c r="I113" s="381"/>
      <c r="J113" s="381"/>
      <c r="K113" s="381"/>
      <c r="L113" s="197"/>
      <c r="M113" s="131"/>
      <c r="N113" s="8"/>
      <c r="O113" s="64"/>
      <c r="P113" s="64"/>
      <c r="Q113" s="64"/>
    </row>
    <row r="114" spans="2:17" s="241" customFormat="1" ht="13.5" thickBot="1" x14ac:dyDescent="0.25">
      <c r="B114" s="362"/>
      <c r="C114" s="239"/>
      <c r="D114" s="5"/>
      <c r="E114" s="5"/>
      <c r="F114" s="5"/>
      <c r="G114" s="5"/>
      <c r="H114" s="5"/>
      <c r="I114" s="5"/>
      <c r="J114" s="5"/>
      <c r="K114" s="5"/>
      <c r="L114" s="199"/>
      <c r="M114" s="131"/>
      <c r="N114" s="8"/>
      <c r="O114" s="64"/>
      <c r="P114" s="64"/>
      <c r="Q114" s="64"/>
    </row>
    <row r="115" spans="2:17" s="241" customFormat="1" ht="27" thickBot="1" x14ac:dyDescent="0.3">
      <c r="B115" s="362"/>
      <c r="C115" s="186" t="s">
        <v>54</v>
      </c>
      <c r="D115" s="63"/>
      <c r="E115" s="382"/>
      <c r="F115" s="383"/>
      <c r="G115" s="200" t="s">
        <v>49</v>
      </c>
      <c r="H115" s="201" t="s">
        <v>55</v>
      </c>
      <c r="I115" s="202" t="s">
        <v>41</v>
      </c>
      <c r="L115" s="185"/>
      <c r="M115" s="245"/>
      <c r="N115" s="71"/>
      <c r="O115" s="71"/>
      <c r="P115" s="71"/>
      <c r="Q115" s="64"/>
    </row>
    <row r="116" spans="2:17" s="241" customFormat="1" ht="13.5" thickBot="1" x14ac:dyDescent="0.25">
      <c r="B116" s="362"/>
      <c r="C116" s="239"/>
      <c r="E116" s="384" t="s">
        <v>27</v>
      </c>
      <c r="F116" s="385"/>
      <c r="G116" s="136"/>
      <c r="H116" s="137"/>
      <c r="I116" s="75">
        <f t="shared" ref="I116:I120" si="51">G116*H116</f>
        <v>0</v>
      </c>
      <c r="L116" s="185"/>
      <c r="M116" s="131"/>
      <c r="N116" s="8"/>
      <c r="O116" s="70"/>
      <c r="P116" s="64"/>
      <c r="Q116" s="64"/>
    </row>
    <row r="117" spans="2:17" s="241" customFormat="1" ht="13.5" thickBot="1" x14ac:dyDescent="0.25">
      <c r="B117" s="362"/>
      <c r="C117" s="239"/>
      <c r="E117" s="386" t="s">
        <v>24</v>
      </c>
      <c r="F117" s="387"/>
      <c r="G117" s="138"/>
      <c r="H117" s="139"/>
      <c r="I117" s="75">
        <f t="shared" si="51"/>
        <v>0</v>
      </c>
      <c r="L117" s="185"/>
      <c r="M117" s="8"/>
      <c r="N117" s="8"/>
      <c r="O117" s="64"/>
      <c r="P117" s="64"/>
      <c r="Q117" s="64"/>
    </row>
    <row r="118" spans="2:17" s="241" customFormat="1" ht="13.5" thickBot="1" x14ac:dyDescent="0.25">
      <c r="B118" s="362"/>
      <c r="C118" s="239"/>
      <c r="E118" s="386" t="s">
        <v>25</v>
      </c>
      <c r="F118" s="387"/>
      <c r="G118" s="138"/>
      <c r="H118" s="139"/>
      <c r="I118" s="75">
        <f t="shared" si="51"/>
        <v>0</v>
      </c>
      <c r="L118" s="185"/>
      <c r="M118" s="131"/>
      <c r="N118" s="64"/>
      <c r="O118" s="64"/>
      <c r="P118" s="64"/>
      <c r="Q118" s="64"/>
    </row>
    <row r="119" spans="2:17" s="241" customFormat="1" ht="13.5" thickBot="1" x14ac:dyDescent="0.25">
      <c r="B119" s="362"/>
      <c r="C119" s="239"/>
      <c r="E119" s="388" t="s">
        <v>26</v>
      </c>
      <c r="F119" s="389"/>
      <c r="G119" s="138"/>
      <c r="H119" s="139"/>
      <c r="I119" s="75">
        <f t="shared" si="51"/>
        <v>0</v>
      </c>
      <c r="L119" s="185"/>
      <c r="M119" s="131"/>
      <c r="N119" s="8"/>
      <c r="O119" s="64"/>
      <c r="P119" s="64"/>
      <c r="Q119" s="64"/>
    </row>
    <row r="120" spans="2:17" s="241" customFormat="1" ht="13.5" thickBot="1" x14ac:dyDescent="0.25">
      <c r="B120" s="363"/>
      <c r="C120" s="203"/>
      <c r="D120" s="242"/>
      <c r="E120" s="390" t="s">
        <v>51</v>
      </c>
      <c r="F120" s="391"/>
      <c r="G120" s="140"/>
      <c r="H120" s="141"/>
      <c r="I120" s="204">
        <f t="shared" si="51"/>
        <v>0</v>
      </c>
      <c r="J120" s="242"/>
      <c r="K120" s="205"/>
      <c r="L120" s="182"/>
      <c r="M120" s="131"/>
      <c r="N120" s="64"/>
      <c r="O120" s="64"/>
      <c r="P120" s="64"/>
      <c r="Q120" s="64"/>
    </row>
    <row r="121" spans="2:17" s="241" customFormat="1" ht="13.5" thickBot="1" x14ac:dyDescent="0.25">
      <c r="B121" s="132"/>
      <c r="C121" s="73"/>
      <c r="D121" s="8"/>
      <c r="E121" s="234"/>
      <c r="F121" s="234"/>
      <c r="G121" s="235"/>
      <c r="H121" s="236"/>
      <c r="I121" s="172"/>
      <c r="J121" s="237"/>
      <c r="K121" s="238"/>
      <c r="L121" s="238"/>
      <c r="M121" s="131"/>
      <c r="N121" s="8"/>
      <c r="O121" s="8"/>
      <c r="P121" s="8"/>
      <c r="Q121" s="8"/>
    </row>
    <row r="122" spans="2:17" s="241" customFormat="1" ht="26.25" thickBot="1" x14ac:dyDescent="0.25">
      <c r="B122" s="361">
        <v>7</v>
      </c>
      <c r="C122" s="174" t="s">
        <v>121</v>
      </c>
      <c r="D122" s="244"/>
      <c r="E122" s="175"/>
      <c r="F122" s="175" t="s">
        <v>46</v>
      </c>
      <c r="G122" s="175" t="s">
        <v>47</v>
      </c>
      <c r="H122" s="243" t="s">
        <v>107</v>
      </c>
      <c r="I122" s="175" t="s">
        <v>52</v>
      </c>
      <c r="J122" s="176" t="s">
        <v>42</v>
      </c>
      <c r="K122" s="177" t="s">
        <v>43</v>
      </c>
      <c r="L122" s="178" t="s">
        <v>44</v>
      </c>
      <c r="M122" s="131"/>
      <c r="N122" s="8"/>
      <c r="O122" s="70"/>
      <c r="P122" s="64"/>
      <c r="Q122" s="64"/>
    </row>
    <row r="123" spans="2:17" s="241" customFormat="1" ht="13.5" thickBot="1" x14ac:dyDescent="0.25">
      <c r="B123" s="362"/>
      <c r="C123" s="364"/>
      <c r="D123" s="365"/>
      <c r="E123" s="366"/>
      <c r="F123" s="133"/>
      <c r="G123" s="134"/>
      <c r="H123" s="179">
        <f t="shared" ref="H123" si="52">P129</f>
        <v>1</v>
      </c>
      <c r="I123" s="135"/>
      <c r="J123" s="180">
        <f t="shared" ref="J123" si="53">(SUM(K127:K128))+(SUM(I133:I137))</f>
        <v>0</v>
      </c>
      <c r="K123" s="181">
        <f t="shared" ref="K123" si="54">IF(F124="No",Q124,Q123)</f>
        <v>0</v>
      </c>
      <c r="L123" s="182">
        <f t="shared" ref="L123" si="55">SUM(J123:K123)</f>
        <v>0</v>
      </c>
      <c r="M123" s="8"/>
      <c r="N123" s="172">
        <f t="shared" ref="N123" si="56">IF(ISNUMBER(L123),L123,0)</f>
        <v>0</v>
      </c>
      <c r="O123" s="64"/>
      <c r="P123" s="64" t="s">
        <v>204</v>
      </c>
      <c r="Q123" s="64">
        <f>IF(F123="Exempt all taxes",0,(J123*FICA)+(J123*Medicare))</f>
        <v>0</v>
      </c>
    </row>
    <row r="124" spans="2:17" s="241" customFormat="1" ht="13.5" thickBot="1" x14ac:dyDescent="0.25">
      <c r="B124" s="362"/>
      <c r="C124" s="367" t="s">
        <v>206</v>
      </c>
      <c r="D124" s="368"/>
      <c r="E124" s="369"/>
      <c r="F124" s="370"/>
      <c r="G124" s="371"/>
      <c r="H124" s="183"/>
      <c r="I124" s="172"/>
      <c r="J124" s="30"/>
      <c r="K124" s="184"/>
      <c r="L124" s="185"/>
      <c r="M124" s="87"/>
      <c r="N124" s="64"/>
      <c r="O124" s="64"/>
      <c r="P124" s="64" t="s">
        <v>205</v>
      </c>
      <c r="Q124" s="64">
        <f>IF(J123&gt;=SUTA_Max,((FUTA_Max*FUTA)+(SUTA_Max*I123)+(J123*FICA)+(J123*Medicare)),IF(J123&gt;=FUTA_Max,((FUTA_Max*FUTA)+(J123*I123)+(J123*FICA)+(J123*Medicare)),IF(J123&lt;FUTA_Max,(J123*Total_Tax+I123))))</f>
        <v>0</v>
      </c>
    </row>
    <row r="125" spans="2:17" s="241" customFormat="1" ht="13.5" thickBot="1" x14ac:dyDescent="0.25">
      <c r="B125" s="362"/>
      <c r="C125" s="372"/>
      <c r="D125" s="373"/>
      <c r="E125" s="373"/>
      <c r="F125" s="373"/>
      <c r="G125" s="373"/>
      <c r="H125" s="373"/>
      <c r="I125" s="373"/>
      <c r="J125" s="373"/>
      <c r="K125" s="373"/>
      <c r="L125" s="374"/>
      <c r="M125" s="87"/>
      <c r="N125" s="64"/>
      <c r="O125" s="64"/>
      <c r="P125" s="64"/>
      <c r="Q125" s="64"/>
    </row>
    <row r="126" spans="2:17" s="241" customFormat="1" ht="27" thickBot="1" x14ac:dyDescent="0.3">
      <c r="B126" s="362"/>
      <c r="C126" s="186" t="s">
        <v>53</v>
      </c>
      <c r="D126" s="63"/>
      <c r="E126" s="375"/>
      <c r="F126" s="376"/>
      <c r="G126" s="187" t="s">
        <v>48</v>
      </c>
      <c r="H126" s="188" t="s">
        <v>40</v>
      </c>
      <c r="I126" s="189" t="s">
        <v>45</v>
      </c>
      <c r="J126" s="189" t="s">
        <v>50</v>
      </c>
      <c r="K126" s="190" t="s">
        <v>41</v>
      </c>
      <c r="L126" s="185"/>
      <c r="M126" s="73"/>
      <c r="N126" s="64"/>
      <c r="O126" s="64"/>
      <c r="P126" s="64"/>
      <c r="Q126" s="64"/>
    </row>
    <row r="127" spans="2:17" s="241" customFormat="1" ht="13.5" thickBot="1" x14ac:dyDescent="0.25">
      <c r="B127" s="362"/>
      <c r="C127" s="240"/>
      <c r="E127" s="377" t="str">
        <f>Service_Type</f>
        <v>Non-Priority</v>
      </c>
      <c r="F127" s="378"/>
      <c r="G127" s="74"/>
      <c r="H127" s="206"/>
      <c r="I127" s="191">
        <f t="shared" ref="I127" si="57">H123</f>
        <v>1</v>
      </c>
      <c r="J127" s="192"/>
      <c r="K127" s="193">
        <f t="shared" ref="K127" si="58">G127*H127*I127</f>
        <v>0</v>
      </c>
      <c r="L127" s="185"/>
      <c r="M127" s="131"/>
      <c r="N127" s="64" t="str">
        <f>IF(G127='Authorized Units &amp; Budget'!$D$15,"True","False")</f>
        <v>True</v>
      </c>
      <c r="O127" s="64"/>
      <c r="P127" s="64"/>
      <c r="Q127" s="64"/>
    </row>
    <row r="128" spans="2:17" s="241" customFormat="1" ht="13.5" thickBot="1" x14ac:dyDescent="0.25">
      <c r="B128" s="362"/>
      <c r="C128" s="240"/>
      <c r="E128" s="379" t="s">
        <v>23</v>
      </c>
      <c r="F128" s="380"/>
      <c r="G128" s="74"/>
      <c r="H128" s="211"/>
      <c r="I128" s="194">
        <f t="shared" ref="I128" si="59">H123</f>
        <v>1</v>
      </c>
      <c r="J128" s="195">
        <f t="shared" ref="J128" si="60">H127*1.5</f>
        <v>0</v>
      </c>
      <c r="K128" s="196">
        <f t="shared" ref="K128" si="61">G128*I128*J128</f>
        <v>0</v>
      </c>
      <c r="L128" s="185"/>
      <c r="M128" s="131"/>
      <c r="N128" s="64"/>
      <c r="O128" s="64"/>
      <c r="P128" s="64"/>
      <c r="Q128" s="64"/>
    </row>
    <row r="129" spans="2:17" s="241" customFormat="1" x14ac:dyDescent="0.2">
      <c r="B129" s="362"/>
      <c r="C129" s="240"/>
      <c r="D129" s="381" t="s">
        <v>123</v>
      </c>
      <c r="E129" s="381"/>
      <c r="F129" s="381"/>
      <c r="G129" s="381"/>
      <c r="H129" s="381"/>
      <c r="I129" s="381"/>
      <c r="J129" s="381"/>
      <c r="K129" s="381"/>
      <c r="L129" s="197"/>
      <c r="M129" s="131"/>
      <c r="N129" s="64"/>
      <c r="O129" s="64">
        <f t="shared" ref="O129" si="62">(G123-F123)+1</f>
        <v>1</v>
      </c>
      <c r="P129" s="64">
        <f t="shared" ref="P129" si="63">IF(OR(O129=366,O129=365),52,(ROUNDUP(O129/7,0)))</f>
        <v>1</v>
      </c>
      <c r="Q129" s="64"/>
    </row>
    <row r="130" spans="2:17" s="241" customFormat="1" x14ac:dyDescent="0.2">
      <c r="B130" s="362"/>
      <c r="C130" s="198"/>
      <c r="D130" s="381"/>
      <c r="E130" s="381"/>
      <c r="F130" s="381"/>
      <c r="G130" s="381"/>
      <c r="H130" s="381"/>
      <c r="I130" s="381"/>
      <c r="J130" s="381"/>
      <c r="K130" s="381"/>
      <c r="L130" s="197"/>
      <c r="M130" s="131"/>
      <c r="N130" s="8"/>
      <c r="O130" s="64"/>
      <c r="P130" s="64"/>
      <c r="Q130" s="64"/>
    </row>
    <row r="131" spans="2:17" s="241" customFormat="1" ht="13.5" thickBot="1" x14ac:dyDescent="0.25">
      <c r="B131" s="362"/>
      <c r="C131" s="239"/>
      <c r="D131" s="5"/>
      <c r="E131" s="5"/>
      <c r="F131" s="5"/>
      <c r="G131" s="5"/>
      <c r="H131" s="5"/>
      <c r="I131" s="5"/>
      <c r="J131" s="5"/>
      <c r="K131" s="5"/>
      <c r="L131" s="199"/>
      <c r="M131" s="131"/>
      <c r="N131" s="8"/>
      <c r="O131" s="64"/>
      <c r="P131" s="64"/>
      <c r="Q131" s="64"/>
    </row>
    <row r="132" spans="2:17" s="241" customFormat="1" ht="27" thickBot="1" x14ac:dyDescent="0.3">
      <c r="B132" s="362"/>
      <c r="C132" s="186" t="s">
        <v>54</v>
      </c>
      <c r="D132" s="63"/>
      <c r="E132" s="382"/>
      <c r="F132" s="383"/>
      <c r="G132" s="200" t="s">
        <v>49</v>
      </c>
      <c r="H132" s="201" t="s">
        <v>55</v>
      </c>
      <c r="I132" s="202" t="s">
        <v>41</v>
      </c>
      <c r="L132" s="185"/>
      <c r="M132" s="245"/>
      <c r="N132" s="71"/>
      <c r="O132" s="71"/>
      <c r="P132" s="71"/>
      <c r="Q132" s="64"/>
    </row>
    <row r="133" spans="2:17" s="241" customFormat="1" ht="13.5" thickBot="1" x14ac:dyDescent="0.25">
      <c r="B133" s="362"/>
      <c r="C133" s="239"/>
      <c r="E133" s="384" t="s">
        <v>27</v>
      </c>
      <c r="F133" s="385"/>
      <c r="G133" s="136"/>
      <c r="H133" s="137"/>
      <c r="I133" s="75">
        <f t="shared" ref="I133:I137" si="64">G133*H133</f>
        <v>0</v>
      </c>
      <c r="L133" s="185"/>
      <c r="M133" s="131"/>
      <c r="N133" s="8"/>
      <c r="O133" s="70"/>
      <c r="P133" s="64"/>
      <c r="Q133" s="64"/>
    </row>
    <row r="134" spans="2:17" s="241" customFormat="1" ht="13.5" thickBot="1" x14ac:dyDescent="0.25">
      <c r="B134" s="362"/>
      <c r="C134" s="239"/>
      <c r="E134" s="386" t="s">
        <v>24</v>
      </c>
      <c r="F134" s="387"/>
      <c r="G134" s="138"/>
      <c r="H134" s="139"/>
      <c r="I134" s="75">
        <f t="shared" si="64"/>
        <v>0</v>
      </c>
      <c r="L134" s="185"/>
      <c r="M134" s="8"/>
      <c r="N134" s="8"/>
      <c r="O134" s="64"/>
      <c r="P134" s="64"/>
      <c r="Q134" s="64"/>
    </row>
    <row r="135" spans="2:17" s="241" customFormat="1" ht="13.5" thickBot="1" x14ac:dyDescent="0.25">
      <c r="B135" s="362"/>
      <c r="C135" s="239"/>
      <c r="E135" s="386" t="s">
        <v>25</v>
      </c>
      <c r="F135" s="387"/>
      <c r="G135" s="138"/>
      <c r="H135" s="139"/>
      <c r="I135" s="75">
        <f t="shared" si="64"/>
        <v>0</v>
      </c>
      <c r="L135" s="185"/>
      <c r="M135" s="131"/>
      <c r="N135" s="64"/>
      <c r="O135" s="64"/>
      <c r="P135" s="64"/>
      <c r="Q135" s="64"/>
    </row>
    <row r="136" spans="2:17" s="241" customFormat="1" ht="13.5" thickBot="1" x14ac:dyDescent="0.25">
      <c r="B136" s="362"/>
      <c r="C136" s="239"/>
      <c r="E136" s="388" t="s">
        <v>26</v>
      </c>
      <c r="F136" s="389"/>
      <c r="G136" s="138"/>
      <c r="H136" s="139"/>
      <c r="I136" s="75">
        <f t="shared" si="64"/>
        <v>0</v>
      </c>
      <c r="L136" s="185"/>
      <c r="M136" s="131"/>
      <c r="N136" s="8"/>
      <c r="O136" s="64"/>
      <c r="P136" s="64"/>
      <c r="Q136" s="64"/>
    </row>
    <row r="137" spans="2:17" s="241" customFormat="1" ht="13.5" thickBot="1" x14ac:dyDescent="0.25">
      <c r="B137" s="363"/>
      <c r="C137" s="203"/>
      <c r="D137" s="242"/>
      <c r="E137" s="390" t="s">
        <v>51</v>
      </c>
      <c r="F137" s="391"/>
      <c r="G137" s="140"/>
      <c r="H137" s="141"/>
      <c r="I137" s="204">
        <f t="shared" si="64"/>
        <v>0</v>
      </c>
      <c r="J137" s="242"/>
      <c r="K137" s="205"/>
      <c r="L137" s="182"/>
      <c r="M137" s="131"/>
      <c r="N137" s="64"/>
      <c r="O137" s="64"/>
      <c r="P137" s="64"/>
      <c r="Q137" s="64"/>
    </row>
    <row r="138" spans="2:17" s="241" customFormat="1" ht="13.5" thickBot="1" x14ac:dyDescent="0.25">
      <c r="B138" s="132"/>
      <c r="C138" s="73"/>
      <c r="D138" s="8"/>
      <c r="E138" s="234"/>
      <c r="F138" s="234"/>
      <c r="G138" s="235"/>
      <c r="H138" s="236"/>
      <c r="I138" s="172"/>
      <c r="J138" s="237"/>
      <c r="K138" s="238"/>
      <c r="L138" s="238"/>
      <c r="M138" s="131"/>
      <c r="N138" s="8"/>
      <c r="O138" s="8"/>
      <c r="P138" s="8"/>
      <c r="Q138" s="8"/>
    </row>
    <row r="139" spans="2:17" s="241" customFormat="1" ht="26.25" thickBot="1" x14ac:dyDescent="0.25">
      <c r="B139" s="361">
        <v>8</v>
      </c>
      <c r="C139" s="174" t="s">
        <v>121</v>
      </c>
      <c r="D139" s="244"/>
      <c r="E139" s="175"/>
      <c r="F139" s="175" t="s">
        <v>46</v>
      </c>
      <c r="G139" s="175" t="s">
        <v>47</v>
      </c>
      <c r="H139" s="243" t="s">
        <v>107</v>
      </c>
      <c r="I139" s="175" t="s">
        <v>52</v>
      </c>
      <c r="J139" s="176" t="s">
        <v>42</v>
      </c>
      <c r="K139" s="177" t="s">
        <v>43</v>
      </c>
      <c r="L139" s="178" t="s">
        <v>44</v>
      </c>
      <c r="M139" s="131"/>
      <c r="N139" s="8"/>
      <c r="O139" s="70"/>
      <c r="P139" s="64"/>
      <c r="Q139" s="64"/>
    </row>
    <row r="140" spans="2:17" s="241" customFormat="1" ht="13.5" thickBot="1" x14ac:dyDescent="0.25">
      <c r="B140" s="362"/>
      <c r="C140" s="364"/>
      <c r="D140" s="365"/>
      <c r="E140" s="366"/>
      <c r="F140" s="133"/>
      <c r="G140" s="134"/>
      <c r="H140" s="179">
        <f t="shared" ref="H140" si="65">P146</f>
        <v>1</v>
      </c>
      <c r="I140" s="135"/>
      <c r="J140" s="180">
        <f t="shared" ref="J140" si="66">(SUM(K144:K145))+(SUM(I150:I154))</f>
        <v>0</v>
      </c>
      <c r="K140" s="181">
        <f t="shared" ref="K140" si="67">IF(F141="No",Q141,Q140)</f>
        <v>0</v>
      </c>
      <c r="L140" s="182">
        <f t="shared" ref="L140" si="68">SUM(J140:K140)</f>
        <v>0</v>
      </c>
      <c r="M140" s="8"/>
      <c r="N140" s="172">
        <f t="shared" ref="N140" si="69">IF(ISNUMBER(L140),L140,0)</f>
        <v>0</v>
      </c>
      <c r="O140" s="64"/>
      <c r="P140" s="64" t="s">
        <v>204</v>
      </c>
      <c r="Q140" s="64">
        <f>IF(F140="Exempt all taxes",0,(J140*FICA)+(J140*Medicare))</f>
        <v>0</v>
      </c>
    </row>
    <row r="141" spans="2:17" s="241" customFormat="1" ht="13.5" thickBot="1" x14ac:dyDescent="0.25">
      <c r="B141" s="362"/>
      <c r="C141" s="367" t="s">
        <v>206</v>
      </c>
      <c r="D141" s="368"/>
      <c r="E141" s="369"/>
      <c r="F141" s="370"/>
      <c r="G141" s="371"/>
      <c r="H141" s="183"/>
      <c r="I141" s="172"/>
      <c r="J141" s="30"/>
      <c r="K141" s="184"/>
      <c r="L141" s="185"/>
      <c r="M141" s="87"/>
      <c r="N141" s="64"/>
      <c r="O141" s="64"/>
      <c r="P141" s="64" t="s">
        <v>205</v>
      </c>
      <c r="Q141" s="64">
        <f>IF(J140&gt;=SUTA_Max,((FUTA_Max*FUTA)+(SUTA_Max*I140)+(J140*FICA)+(J140*Medicare)),IF(J140&gt;=FUTA_Max,((FUTA_Max*FUTA)+(J140*I140)+(J140*FICA)+(J140*Medicare)),IF(J140&lt;FUTA_Max,(J140*Total_Tax+I140))))</f>
        <v>0</v>
      </c>
    </row>
    <row r="142" spans="2:17" s="241" customFormat="1" ht="13.5" thickBot="1" x14ac:dyDescent="0.25">
      <c r="B142" s="362"/>
      <c r="C142" s="372"/>
      <c r="D142" s="373"/>
      <c r="E142" s="373"/>
      <c r="F142" s="373"/>
      <c r="G142" s="373"/>
      <c r="H142" s="373"/>
      <c r="I142" s="373"/>
      <c r="J142" s="373"/>
      <c r="K142" s="373"/>
      <c r="L142" s="374"/>
      <c r="M142" s="87"/>
      <c r="N142" s="64"/>
      <c r="O142" s="64"/>
      <c r="P142" s="64"/>
      <c r="Q142" s="64"/>
    </row>
    <row r="143" spans="2:17" s="241" customFormat="1" ht="27" thickBot="1" x14ac:dyDescent="0.3">
      <c r="B143" s="362"/>
      <c r="C143" s="186" t="s">
        <v>53</v>
      </c>
      <c r="D143" s="63"/>
      <c r="E143" s="375"/>
      <c r="F143" s="376"/>
      <c r="G143" s="187" t="s">
        <v>48</v>
      </c>
      <c r="H143" s="188" t="s">
        <v>40</v>
      </c>
      <c r="I143" s="189" t="s">
        <v>45</v>
      </c>
      <c r="J143" s="189" t="s">
        <v>50</v>
      </c>
      <c r="K143" s="190" t="s">
        <v>41</v>
      </c>
      <c r="L143" s="185"/>
      <c r="M143" s="73"/>
      <c r="N143" s="64"/>
      <c r="O143" s="64"/>
      <c r="P143" s="64"/>
      <c r="Q143" s="64"/>
    </row>
    <row r="144" spans="2:17" s="241" customFormat="1" ht="13.5" thickBot="1" x14ac:dyDescent="0.25">
      <c r="B144" s="362"/>
      <c r="C144" s="240"/>
      <c r="E144" s="377" t="str">
        <f>Service_Type</f>
        <v>Non-Priority</v>
      </c>
      <c r="F144" s="378"/>
      <c r="G144" s="74"/>
      <c r="H144" s="206"/>
      <c r="I144" s="191">
        <f t="shared" ref="I144" si="70">H140</f>
        <v>1</v>
      </c>
      <c r="J144" s="192"/>
      <c r="K144" s="193">
        <f t="shared" ref="K144" si="71">G144*H144*I144</f>
        <v>0</v>
      </c>
      <c r="L144" s="185"/>
      <c r="M144" s="131"/>
      <c r="N144" s="64" t="str">
        <f>IF(G144='Authorized Units &amp; Budget'!$D$15,"True","False")</f>
        <v>True</v>
      </c>
      <c r="O144" s="64"/>
      <c r="P144" s="64"/>
      <c r="Q144" s="64"/>
    </row>
    <row r="145" spans="2:17" s="241" customFormat="1" ht="13.5" thickBot="1" x14ac:dyDescent="0.25">
      <c r="B145" s="362"/>
      <c r="C145" s="240"/>
      <c r="E145" s="379" t="s">
        <v>23</v>
      </c>
      <c r="F145" s="380"/>
      <c r="G145" s="74"/>
      <c r="H145" s="211"/>
      <c r="I145" s="194">
        <f t="shared" ref="I145" si="72">H140</f>
        <v>1</v>
      </c>
      <c r="J145" s="195">
        <f t="shared" ref="J145" si="73">H144*1.5</f>
        <v>0</v>
      </c>
      <c r="K145" s="196">
        <f t="shared" ref="K145" si="74">G145*I145*J145</f>
        <v>0</v>
      </c>
      <c r="L145" s="185"/>
      <c r="M145" s="131"/>
      <c r="N145" s="64"/>
      <c r="O145" s="64"/>
      <c r="P145" s="64"/>
      <c r="Q145" s="64"/>
    </row>
    <row r="146" spans="2:17" s="241" customFormat="1" x14ac:dyDescent="0.2">
      <c r="B146" s="362"/>
      <c r="C146" s="240"/>
      <c r="D146" s="381" t="s">
        <v>123</v>
      </c>
      <c r="E146" s="381"/>
      <c r="F146" s="381"/>
      <c r="G146" s="381"/>
      <c r="H146" s="381"/>
      <c r="I146" s="381"/>
      <c r="J146" s="381"/>
      <c r="K146" s="381"/>
      <c r="L146" s="197"/>
      <c r="M146" s="131"/>
      <c r="N146" s="64"/>
      <c r="O146" s="64">
        <f t="shared" ref="O146" si="75">(G140-F140)+1</f>
        <v>1</v>
      </c>
      <c r="P146" s="64">
        <f t="shared" ref="P146" si="76">IF(OR(O146=366,O146=365),52,(ROUNDUP(O146/7,0)))</f>
        <v>1</v>
      </c>
      <c r="Q146" s="64"/>
    </row>
    <row r="147" spans="2:17" s="241" customFormat="1" x14ac:dyDescent="0.2">
      <c r="B147" s="362"/>
      <c r="C147" s="198"/>
      <c r="D147" s="381"/>
      <c r="E147" s="381"/>
      <c r="F147" s="381"/>
      <c r="G147" s="381"/>
      <c r="H147" s="381"/>
      <c r="I147" s="381"/>
      <c r="J147" s="381"/>
      <c r="K147" s="381"/>
      <c r="L147" s="197"/>
      <c r="M147" s="131"/>
      <c r="N147" s="8"/>
      <c r="O147" s="64"/>
      <c r="P147" s="64"/>
      <c r="Q147" s="64"/>
    </row>
    <row r="148" spans="2:17" s="241" customFormat="1" ht="13.5" thickBot="1" x14ac:dyDescent="0.25">
      <c r="B148" s="362"/>
      <c r="C148" s="239"/>
      <c r="D148" s="5"/>
      <c r="E148" s="5"/>
      <c r="F148" s="5"/>
      <c r="G148" s="5"/>
      <c r="H148" s="5"/>
      <c r="I148" s="5"/>
      <c r="J148" s="5"/>
      <c r="K148" s="5"/>
      <c r="L148" s="199"/>
      <c r="M148" s="131"/>
      <c r="N148" s="8"/>
      <c r="O148" s="64"/>
      <c r="P148" s="64"/>
      <c r="Q148" s="64"/>
    </row>
    <row r="149" spans="2:17" s="241" customFormat="1" ht="27" thickBot="1" x14ac:dyDescent="0.3">
      <c r="B149" s="362"/>
      <c r="C149" s="186" t="s">
        <v>54</v>
      </c>
      <c r="D149" s="63"/>
      <c r="E149" s="382"/>
      <c r="F149" s="383"/>
      <c r="G149" s="200" t="s">
        <v>49</v>
      </c>
      <c r="H149" s="201" t="s">
        <v>55</v>
      </c>
      <c r="I149" s="202" t="s">
        <v>41</v>
      </c>
      <c r="L149" s="185"/>
      <c r="M149" s="245"/>
      <c r="N149" s="71"/>
      <c r="O149" s="71"/>
      <c r="P149" s="71"/>
      <c r="Q149" s="64"/>
    </row>
    <row r="150" spans="2:17" s="241" customFormat="1" ht="13.5" thickBot="1" x14ac:dyDescent="0.25">
      <c r="B150" s="362"/>
      <c r="C150" s="239"/>
      <c r="E150" s="384" t="s">
        <v>27</v>
      </c>
      <c r="F150" s="385"/>
      <c r="G150" s="136"/>
      <c r="H150" s="137"/>
      <c r="I150" s="75">
        <f t="shared" ref="I150:I154" si="77">G150*H150</f>
        <v>0</v>
      </c>
      <c r="L150" s="185"/>
      <c r="M150" s="131"/>
      <c r="N150" s="8"/>
      <c r="O150" s="70"/>
      <c r="P150" s="64"/>
      <c r="Q150" s="64"/>
    </row>
    <row r="151" spans="2:17" s="241" customFormat="1" ht="13.5" thickBot="1" x14ac:dyDescent="0.25">
      <c r="B151" s="362"/>
      <c r="C151" s="239"/>
      <c r="E151" s="386" t="s">
        <v>24</v>
      </c>
      <c r="F151" s="387"/>
      <c r="G151" s="138"/>
      <c r="H151" s="139"/>
      <c r="I151" s="75">
        <f t="shared" si="77"/>
        <v>0</v>
      </c>
      <c r="L151" s="185"/>
      <c r="M151" s="8"/>
      <c r="N151" s="8"/>
      <c r="O151" s="64"/>
      <c r="P151" s="64"/>
      <c r="Q151" s="64"/>
    </row>
    <row r="152" spans="2:17" s="241" customFormat="1" ht="13.5" thickBot="1" x14ac:dyDescent="0.25">
      <c r="B152" s="362"/>
      <c r="C152" s="239"/>
      <c r="E152" s="386" t="s">
        <v>25</v>
      </c>
      <c r="F152" s="387"/>
      <c r="G152" s="138"/>
      <c r="H152" s="139"/>
      <c r="I152" s="75">
        <f t="shared" si="77"/>
        <v>0</v>
      </c>
      <c r="L152" s="185"/>
      <c r="M152" s="131"/>
      <c r="N152" s="64"/>
      <c r="O152" s="64"/>
      <c r="P152" s="64"/>
      <c r="Q152" s="64"/>
    </row>
    <row r="153" spans="2:17" s="241" customFormat="1" ht="13.5" thickBot="1" x14ac:dyDescent="0.25">
      <c r="B153" s="362"/>
      <c r="C153" s="239"/>
      <c r="E153" s="388" t="s">
        <v>26</v>
      </c>
      <c r="F153" s="389"/>
      <c r="G153" s="138"/>
      <c r="H153" s="139"/>
      <c r="I153" s="75">
        <f t="shared" si="77"/>
        <v>0</v>
      </c>
      <c r="L153" s="185"/>
      <c r="M153" s="131"/>
      <c r="N153" s="8"/>
      <c r="O153" s="64"/>
      <c r="P153" s="64"/>
      <c r="Q153" s="64"/>
    </row>
    <row r="154" spans="2:17" s="241" customFormat="1" ht="13.5" thickBot="1" x14ac:dyDescent="0.25">
      <c r="B154" s="363"/>
      <c r="C154" s="203"/>
      <c r="D154" s="242"/>
      <c r="E154" s="390" t="s">
        <v>51</v>
      </c>
      <c r="F154" s="391"/>
      <c r="G154" s="140"/>
      <c r="H154" s="141"/>
      <c r="I154" s="204">
        <f t="shared" si="77"/>
        <v>0</v>
      </c>
      <c r="J154" s="242"/>
      <c r="K154" s="205"/>
      <c r="L154" s="182"/>
      <c r="M154" s="131"/>
      <c r="N154" s="64"/>
      <c r="O154" s="64"/>
      <c r="P154" s="64"/>
      <c r="Q154" s="64"/>
    </row>
    <row r="155" spans="2:17" s="241" customFormat="1" ht="13.5" thickBot="1" x14ac:dyDescent="0.25">
      <c r="B155" s="132"/>
      <c r="C155" s="73"/>
      <c r="D155" s="8"/>
      <c r="E155" s="234"/>
      <c r="F155" s="234"/>
      <c r="G155" s="235"/>
      <c r="H155" s="236"/>
      <c r="I155" s="172"/>
      <c r="J155" s="237"/>
      <c r="K155" s="238"/>
      <c r="L155" s="238"/>
      <c r="M155" s="131"/>
      <c r="N155" s="8"/>
      <c r="O155" s="8"/>
      <c r="P155" s="8"/>
      <c r="Q155" s="8"/>
    </row>
    <row r="156" spans="2:17" s="241" customFormat="1" ht="26.25" thickBot="1" x14ac:dyDescent="0.25">
      <c r="B156" s="361">
        <v>9</v>
      </c>
      <c r="C156" s="174" t="s">
        <v>121</v>
      </c>
      <c r="D156" s="244"/>
      <c r="E156" s="175"/>
      <c r="F156" s="175" t="s">
        <v>46</v>
      </c>
      <c r="G156" s="175" t="s">
        <v>47</v>
      </c>
      <c r="H156" s="243" t="s">
        <v>107</v>
      </c>
      <c r="I156" s="175" t="s">
        <v>52</v>
      </c>
      <c r="J156" s="176" t="s">
        <v>42</v>
      </c>
      <c r="K156" s="177" t="s">
        <v>43</v>
      </c>
      <c r="L156" s="178" t="s">
        <v>44</v>
      </c>
      <c r="M156" s="131"/>
      <c r="N156" s="8"/>
      <c r="O156" s="70"/>
      <c r="P156" s="64"/>
      <c r="Q156" s="64"/>
    </row>
    <row r="157" spans="2:17" s="241" customFormat="1" ht="13.5" thickBot="1" x14ac:dyDescent="0.25">
      <c r="B157" s="362"/>
      <c r="C157" s="364"/>
      <c r="D157" s="365"/>
      <c r="E157" s="366"/>
      <c r="F157" s="133"/>
      <c r="G157" s="134"/>
      <c r="H157" s="179">
        <f t="shared" ref="H157" si="78">P163</f>
        <v>1</v>
      </c>
      <c r="I157" s="135"/>
      <c r="J157" s="180">
        <f t="shared" ref="J157" si="79">(SUM(K161:K162))+(SUM(I167:I171))</f>
        <v>0</v>
      </c>
      <c r="K157" s="181">
        <f t="shared" ref="K157" si="80">IF(F158="No",Q158,Q157)</f>
        <v>0</v>
      </c>
      <c r="L157" s="182">
        <f t="shared" ref="L157" si="81">SUM(J157:K157)</f>
        <v>0</v>
      </c>
      <c r="M157" s="8"/>
      <c r="N157" s="172">
        <f t="shared" ref="N157" si="82">IF(ISNUMBER(L157),L157,0)</f>
        <v>0</v>
      </c>
      <c r="O157" s="64"/>
      <c r="P157" s="64" t="s">
        <v>204</v>
      </c>
      <c r="Q157" s="64">
        <f>IF(F157="Exempt all taxes",0,(J157*FICA)+(J157*Medicare))</f>
        <v>0</v>
      </c>
    </row>
    <row r="158" spans="2:17" s="241" customFormat="1" ht="13.5" thickBot="1" x14ac:dyDescent="0.25">
      <c r="B158" s="362"/>
      <c r="C158" s="367" t="s">
        <v>206</v>
      </c>
      <c r="D158" s="368"/>
      <c r="E158" s="369"/>
      <c r="F158" s="370"/>
      <c r="G158" s="371"/>
      <c r="H158" s="183"/>
      <c r="I158" s="172"/>
      <c r="J158" s="30"/>
      <c r="K158" s="184"/>
      <c r="L158" s="185"/>
      <c r="M158" s="87"/>
      <c r="N158" s="64"/>
      <c r="O158" s="64"/>
      <c r="P158" s="64" t="s">
        <v>205</v>
      </c>
      <c r="Q158" s="64">
        <f>IF(J157&gt;=SUTA_Max,((FUTA_Max*FUTA)+(SUTA_Max*I157)+(J157*FICA)+(J157*Medicare)),IF(J157&gt;=FUTA_Max,((FUTA_Max*FUTA)+(J157*I157)+(J157*FICA)+(J157*Medicare)),IF(J157&lt;FUTA_Max,(J157*Total_Tax+I157))))</f>
        <v>0</v>
      </c>
    </row>
    <row r="159" spans="2:17" s="241" customFormat="1" ht="13.5" thickBot="1" x14ac:dyDescent="0.25">
      <c r="B159" s="362"/>
      <c r="C159" s="372"/>
      <c r="D159" s="373"/>
      <c r="E159" s="373"/>
      <c r="F159" s="373"/>
      <c r="G159" s="373"/>
      <c r="H159" s="373"/>
      <c r="I159" s="373"/>
      <c r="J159" s="373"/>
      <c r="K159" s="373"/>
      <c r="L159" s="374"/>
      <c r="M159" s="87"/>
      <c r="N159" s="64"/>
      <c r="O159" s="64"/>
      <c r="P159" s="64"/>
      <c r="Q159" s="64"/>
    </row>
    <row r="160" spans="2:17" s="241" customFormat="1" ht="27" thickBot="1" x14ac:dyDescent="0.3">
      <c r="B160" s="362"/>
      <c r="C160" s="186" t="s">
        <v>53</v>
      </c>
      <c r="D160" s="63"/>
      <c r="E160" s="375"/>
      <c r="F160" s="376"/>
      <c r="G160" s="187" t="s">
        <v>48</v>
      </c>
      <c r="H160" s="188" t="s">
        <v>40</v>
      </c>
      <c r="I160" s="189" t="s">
        <v>45</v>
      </c>
      <c r="J160" s="189" t="s">
        <v>50</v>
      </c>
      <c r="K160" s="190" t="s">
        <v>41</v>
      </c>
      <c r="L160" s="185"/>
      <c r="M160" s="73"/>
      <c r="N160" s="64"/>
      <c r="O160" s="64"/>
      <c r="P160" s="64"/>
      <c r="Q160" s="64"/>
    </row>
    <row r="161" spans="2:17" s="241" customFormat="1" ht="13.5" thickBot="1" x14ac:dyDescent="0.25">
      <c r="B161" s="362"/>
      <c r="C161" s="240"/>
      <c r="E161" s="377" t="str">
        <f>Service_Type</f>
        <v>Non-Priority</v>
      </c>
      <c r="F161" s="378"/>
      <c r="G161" s="74"/>
      <c r="H161" s="206"/>
      <c r="I161" s="191">
        <f t="shared" ref="I161" si="83">H157</f>
        <v>1</v>
      </c>
      <c r="J161" s="192"/>
      <c r="K161" s="193">
        <f t="shared" ref="K161" si="84">G161*H161*I161</f>
        <v>0</v>
      </c>
      <c r="L161" s="185"/>
      <c r="M161" s="131"/>
      <c r="N161" s="64" t="str">
        <f>IF(G161='Authorized Units &amp; Budget'!$D$15,"True","False")</f>
        <v>True</v>
      </c>
      <c r="O161" s="64"/>
      <c r="P161" s="64"/>
      <c r="Q161" s="64"/>
    </row>
    <row r="162" spans="2:17" s="241" customFormat="1" ht="13.5" thickBot="1" x14ac:dyDescent="0.25">
      <c r="B162" s="362"/>
      <c r="C162" s="240"/>
      <c r="E162" s="379" t="s">
        <v>23</v>
      </c>
      <c r="F162" s="380"/>
      <c r="G162" s="74"/>
      <c r="H162" s="211"/>
      <c r="I162" s="194">
        <f t="shared" ref="I162" si="85">H157</f>
        <v>1</v>
      </c>
      <c r="J162" s="195">
        <f t="shared" ref="J162" si="86">H161*1.5</f>
        <v>0</v>
      </c>
      <c r="K162" s="196">
        <f t="shared" ref="K162" si="87">G162*I162*J162</f>
        <v>0</v>
      </c>
      <c r="L162" s="185"/>
      <c r="M162" s="131"/>
      <c r="N162" s="64"/>
      <c r="O162" s="64"/>
      <c r="P162" s="64"/>
      <c r="Q162" s="64"/>
    </row>
    <row r="163" spans="2:17" s="241" customFormat="1" x14ac:dyDescent="0.2">
      <c r="B163" s="362"/>
      <c r="C163" s="240"/>
      <c r="D163" s="381" t="s">
        <v>123</v>
      </c>
      <c r="E163" s="381"/>
      <c r="F163" s="381"/>
      <c r="G163" s="381"/>
      <c r="H163" s="381"/>
      <c r="I163" s="381"/>
      <c r="J163" s="381"/>
      <c r="K163" s="381"/>
      <c r="L163" s="197"/>
      <c r="M163" s="131"/>
      <c r="N163" s="64"/>
      <c r="O163" s="64">
        <f t="shared" ref="O163" si="88">(G157-F157)+1</f>
        <v>1</v>
      </c>
      <c r="P163" s="64">
        <f t="shared" ref="P163" si="89">IF(OR(O163=366,O163=365),52,(ROUNDUP(O163/7,0)))</f>
        <v>1</v>
      </c>
      <c r="Q163" s="64"/>
    </row>
    <row r="164" spans="2:17" s="241" customFormat="1" x14ac:dyDescent="0.2">
      <c r="B164" s="362"/>
      <c r="C164" s="198"/>
      <c r="D164" s="381"/>
      <c r="E164" s="381"/>
      <c r="F164" s="381"/>
      <c r="G164" s="381"/>
      <c r="H164" s="381"/>
      <c r="I164" s="381"/>
      <c r="J164" s="381"/>
      <c r="K164" s="381"/>
      <c r="L164" s="197"/>
      <c r="M164" s="131"/>
      <c r="N164" s="8"/>
      <c r="O164" s="64"/>
      <c r="P164" s="64"/>
      <c r="Q164" s="64"/>
    </row>
    <row r="165" spans="2:17" s="241" customFormat="1" ht="13.5" thickBot="1" x14ac:dyDescent="0.25">
      <c r="B165" s="362"/>
      <c r="C165" s="239"/>
      <c r="D165" s="5"/>
      <c r="E165" s="5"/>
      <c r="F165" s="5"/>
      <c r="G165" s="5"/>
      <c r="H165" s="5"/>
      <c r="I165" s="5"/>
      <c r="J165" s="5"/>
      <c r="K165" s="5"/>
      <c r="L165" s="199"/>
      <c r="M165" s="131"/>
      <c r="N165" s="8"/>
      <c r="O165" s="64"/>
      <c r="P165" s="64"/>
      <c r="Q165" s="64"/>
    </row>
    <row r="166" spans="2:17" s="241" customFormat="1" ht="27" thickBot="1" x14ac:dyDescent="0.3">
      <c r="B166" s="362"/>
      <c r="C166" s="186" t="s">
        <v>54</v>
      </c>
      <c r="D166" s="63"/>
      <c r="E166" s="382"/>
      <c r="F166" s="383"/>
      <c r="G166" s="200" t="s">
        <v>49</v>
      </c>
      <c r="H166" s="201" t="s">
        <v>55</v>
      </c>
      <c r="I166" s="202" t="s">
        <v>41</v>
      </c>
      <c r="L166" s="185"/>
      <c r="M166" s="245"/>
      <c r="N166" s="71"/>
      <c r="O166" s="71"/>
      <c r="P166" s="71"/>
      <c r="Q166" s="64"/>
    </row>
    <row r="167" spans="2:17" s="241" customFormat="1" ht="13.5" thickBot="1" x14ac:dyDescent="0.25">
      <c r="B167" s="362"/>
      <c r="C167" s="239"/>
      <c r="E167" s="384" t="s">
        <v>27</v>
      </c>
      <c r="F167" s="385"/>
      <c r="G167" s="136"/>
      <c r="H167" s="137"/>
      <c r="I167" s="75">
        <f t="shared" ref="I167:I171" si="90">G167*H167</f>
        <v>0</v>
      </c>
      <c r="L167" s="185"/>
      <c r="M167" s="131"/>
      <c r="N167" s="8"/>
      <c r="O167" s="70"/>
      <c r="P167" s="64"/>
      <c r="Q167" s="64"/>
    </row>
    <row r="168" spans="2:17" s="241" customFormat="1" ht="13.5" thickBot="1" x14ac:dyDescent="0.25">
      <c r="B168" s="362"/>
      <c r="C168" s="239"/>
      <c r="E168" s="386" t="s">
        <v>24</v>
      </c>
      <c r="F168" s="387"/>
      <c r="G168" s="138"/>
      <c r="H168" s="139"/>
      <c r="I168" s="75">
        <f t="shared" si="90"/>
        <v>0</v>
      </c>
      <c r="L168" s="185"/>
      <c r="M168" s="8"/>
      <c r="N168" s="8"/>
      <c r="O168" s="64"/>
      <c r="P168" s="64"/>
      <c r="Q168" s="64"/>
    </row>
    <row r="169" spans="2:17" s="241" customFormat="1" ht="13.5" thickBot="1" x14ac:dyDescent="0.25">
      <c r="B169" s="362"/>
      <c r="C169" s="239"/>
      <c r="E169" s="386" t="s">
        <v>25</v>
      </c>
      <c r="F169" s="387"/>
      <c r="G169" s="138"/>
      <c r="H169" s="139"/>
      <c r="I169" s="75">
        <f t="shared" si="90"/>
        <v>0</v>
      </c>
      <c r="L169" s="185"/>
      <c r="M169" s="131"/>
      <c r="N169" s="64"/>
      <c r="O169" s="64"/>
      <c r="P169" s="64"/>
      <c r="Q169" s="64"/>
    </row>
    <row r="170" spans="2:17" s="241" customFormat="1" ht="13.5" thickBot="1" x14ac:dyDescent="0.25">
      <c r="B170" s="362"/>
      <c r="C170" s="239"/>
      <c r="E170" s="388" t="s">
        <v>26</v>
      </c>
      <c r="F170" s="389"/>
      <c r="G170" s="138"/>
      <c r="H170" s="139"/>
      <c r="I170" s="75">
        <f t="shared" si="90"/>
        <v>0</v>
      </c>
      <c r="L170" s="185"/>
      <c r="M170" s="131"/>
      <c r="N170" s="8"/>
      <c r="O170" s="64"/>
      <c r="P170" s="64"/>
      <c r="Q170" s="64"/>
    </row>
    <row r="171" spans="2:17" s="241" customFormat="1" ht="13.5" thickBot="1" x14ac:dyDescent="0.25">
      <c r="B171" s="363"/>
      <c r="C171" s="203"/>
      <c r="D171" s="242"/>
      <c r="E171" s="390" t="s">
        <v>51</v>
      </c>
      <c r="F171" s="391"/>
      <c r="G171" s="140"/>
      <c r="H171" s="141"/>
      <c r="I171" s="204">
        <f t="shared" si="90"/>
        <v>0</v>
      </c>
      <c r="J171" s="242"/>
      <c r="K171" s="205"/>
      <c r="L171" s="182"/>
      <c r="M171" s="131"/>
      <c r="N171" s="64"/>
      <c r="O171" s="64"/>
      <c r="P171" s="64"/>
      <c r="Q171" s="64"/>
    </row>
    <row r="172" spans="2:17" s="241" customFormat="1" ht="13.5" thickBot="1" x14ac:dyDescent="0.25">
      <c r="B172" s="132"/>
      <c r="C172" s="73"/>
      <c r="D172" s="8"/>
      <c r="E172" s="234"/>
      <c r="F172" s="234"/>
      <c r="G172" s="235"/>
      <c r="H172" s="236"/>
      <c r="I172" s="172"/>
      <c r="J172" s="237"/>
      <c r="K172" s="238"/>
      <c r="L172" s="238"/>
      <c r="M172" s="131"/>
      <c r="N172" s="8"/>
      <c r="O172" s="8"/>
      <c r="P172" s="8"/>
      <c r="Q172" s="8"/>
    </row>
    <row r="173" spans="2:17" s="241" customFormat="1" ht="26.25" thickBot="1" x14ac:dyDescent="0.25">
      <c r="B173" s="361">
        <v>10</v>
      </c>
      <c r="C173" s="174" t="s">
        <v>121</v>
      </c>
      <c r="D173" s="244"/>
      <c r="E173" s="175"/>
      <c r="F173" s="175" t="s">
        <v>46</v>
      </c>
      <c r="G173" s="175" t="s">
        <v>47</v>
      </c>
      <c r="H173" s="243" t="s">
        <v>107</v>
      </c>
      <c r="I173" s="175" t="s">
        <v>52</v>
      </c>
      <c r="J173" s="176" t="s">
        <v>42</v>
      </c>
      <c r="K173" s="177" t="s">
        <v>43</v>
      </c>
      <c r="L173" s="178" t="s">
        <v>44</v>
      </c>
      <c r="M173" s="131"/>
      <c r="N173" s="8"/>
      <c r="O173" s="70"/>
      <c r="P173" s="64"/>
      <c r="Q173" s="64"/>
    </row>
    <row r="174" spans="2:17" s="241" customFormat="1" ht="13.5" thickBot="1" x14ac:dyDescent="0.25">
      <c r="B174" s="362"/>
      <c r="C174" s="364"/>
      <c r="D174" s="365"/>
      <c r="E174" s="366"/>
      <c r="F174" s="133"/>
      <c r="G174" s="134"/>
      <c r="H174" s="179">
        <f t="shared" ref="H174" si="91">P180</f>
        <v>1</v>
      </c>
      <c r="I174" s="135"/>
      <c r="J174" s="180">
        <f t="shared" ref="J174" si="92">(SUM(K178:K179))+(SUM(I184:I188))</f>
        <v>0</v>
      </c>
      <c r="K174" s="181">
        <f t="shared" ref="K174" si="93">IF(F175="No",Q175,Q174)</f>
        <v>0</v>
      </c>
      <c r="L174" s="182">
        <f t="shared" ref="L174" si="94">SUM(J174:K174)</f>
        <v>0</v>
      </c>
      <c r="M174" s="8"/>
      <c r="N174" s="172">
        <f t="shared" ref="N174" si="95">IF(ISNUMBER(L174),L174,0)</f>
        <v>0</v>
      </c>
      <c r="O174" s="64"/>
      <c r="P174" s="64" t="s">
        <v>204</v>
      </c>
      <c r="Q174" s="64">
        <f>IF(F174="Exempt all taxes",0,(J174*FICA)+(J174*Medicare))</f>
        <v>0</v>
      </c>
    </row>
    <row r="175" spans="2:17" s="241" customFormat="1" ht="13.5" thickBot="1" x14ac:dyDescent="0.25">
      <c r="B175" s="362"/>
      <c r="C175" s="367" t="s">
        <v>206</v>
      </c>
      <c r="D175" s="368"/>
      <c r="E175" s="369"/>
      <c r="F175" s="370"/>
      <c r="G175" s="371"/>
      <c r="H175" s="183"/>
      <c r="I175" s="172"/>
      <c r="J175" s="30"/>
      <c r="K175" s="184"/>
      <c r="L175" s="185"/>
      <c r="M175" s="87"/>
      <c r="N175" s="64"/>
      <c r="O175" s="64"/>
      <c r="P175" s="64" t="s">
        <v>205</v>
      </c>
      <c r="Q175" s="64">
        <f>IF(J174&gt;=SUTA_Max,((FUTA_Max*FUTA)+(SUTA_Max*I174)+(J174*FICA)+(J174*Medicare)),IF(J174&gt;=FUTA_Max,((FUTA_Max*FUTA)+(J174*I174)+(J174*FICA)+(J174*Medicare)),IF(J174&lt;FUTA_Max,(J174*Total_Tax+I174))))</f>
        <v>0</v>
      </c>
    </row>
    <row r="176" spans="2:17" s="241" customFormat="1" ht="13.5" thickBot="1" x14ac:dyDescent="0.25">
      <c r="B176" s="362"/>
      <c r="C176" s="372"/>
      <c r="D176" s="373"/>
      <c r="E176" s="373"/>
      <c r="F176" s="373"/>
      <c r="G176" s="373"/>
      <c r="H176" s="373"/>
      <c r="I176" s="373"/>
      <c r="J176" s="373"/>
      <c r="K176" s="373"/>
      <c r="L176" s="374"/>
      <c r="M176" s="87"/>
      <c r="N176" s="64"/>
      <c r="O176" s="64"/>
      <c r="P176" s="64"/>
      <c r="Q176" s="64"/>
    </row>
    <row r="177" spans="2:17" s="241" customFormat="1" ht="27" thickBot="1" x14ac:dyDescent="0.3">
      <c r="B177" s="362"/>
      <c r="C177" s="186" t="s">
        <v>53</v>
      </c>
      <c r="D177" s="63"/>
      <c r="E177" s="375"/>
      <c r="F177" s="376"/>
      <c r="G177" s="187" t="s">
        <v>48</v>
      </c>
      <c r="H177" s="188" t="s">
        <v>40</v>
      </c>
      <c r="I177" s="189" t="s">
        <v>45</v>
      </c>
      <c r="J177" s="189" t="s">
        <v>50</v>
      </c>
      <c r="K177" s="190" t="s">
        <v>41</v>
      </c>
      <c r="L177" s="185"/>
      <c r="M177" s="73"/>
      <c r="N177" s="64"/>
      <c r="O177" s="64"/>
      <c r="P177" s="64"/>
      <c r="Q177" s="64"/>
    </row>
    <row r="178" spans="2:17" s="241" customFormat="1" ht="13.5" thickBot="1" x14ac:dyDescent="0.25">
      <c r="B178" s="362"/>
      <c r="C178" s="240"/>
      <c r="E178" s="377" t="str">
        <f>Service_Type</f>
        <v>Non-Priority</v>
      </c>
      <c r="F178" s="378"/>
      <c r="G178" s="74"/>
      <c r="H178" s="206"/>
      <c r="I178" s="191">
        <f t="shared" ref="I178" si="96">H174</f>
        <v>1</v>
      </c>
      <c r="J178" s="192"/>
      <c r="K178" s="193">
        <f t="shared" ref="K178" si="97">G178*H178*I178</f>
        <v>0</v>
      </c>
      <c r="L178" s="185"/>
      <c r="M178" s="131"/>
      <c r="N178" s="64" t="str">
        <f>IF(G178='Authorized Units &amp; Budget'!$D$15,"True","False")</f>
        <v>True</v>
      </c>
      <c r="O178" s="64"/>
      <c r="P178" s="64"/>
      <c r="Q178" s="64"/>
    </row>
    <row r="179" spans="2:17" s="241" customFormat="1" ht="13.5" thickBot="1" x14ac:dyDescent="0.25">
      <c r="B179" s="362"/>
      <c r="C179" s="240"/>
      <c r="E179" s="379" t="s">
        <v>23</v>
      </c>
      <c r="F179" s="380"/>
      <c r="G179" s="74"/>
      <c r="H179" s="211"/>
      <c r="I179" s="194">
        <f t="shared" ref="I179" si="98">H174</f>
        <v>1</v>
      </c>
      <c r="J179" s="195">
        <f t="shared" ref="J179" si="99">H178*1.5</f>
        <v>0</v>
      </c>
      <c r="K179" s="196">
        <f t="shared" ref="K179" si="100">G179*I179*J179</f>
        <v>0</v>
      </c>
      <c r="L179" s="185"/>
      <c r="M179" s="131"/>
      <c r="N179" s="64"/>
      <c r="O179" s="64"/>
      <c r="P179" s="64"/>
      <c r="Q179" s="64"/>
    </row>
    <row r="180" spans="2:17" s="241" customFormat="1" x14ac:dyDescent="0.2">
      <c r="B180" s="362"/>
      <c r="C180" s="240"/>
      <c r="D180" s="381" t="s">
        <v>123</v>
      </c>
      <c r="E180" s="381"/>
      <c r="F180" s="381"/>
      <c r="G180" s="381"/>
      <c r="H180" s="381"/>
      <c r="I180" s="381"/>
      <c r="J180" s="381"/>
      <c r="K180" s="381"/>
      <c r="L180" s="197"/>
      <c r="M180" s="131"/>
      <c r="N180" s="64"/>
      <c r="O180" s="64">
        <f t="shared" ref="O180" si="101">(G174-F174)+1</f>
        <v>1</v>
      </c>
      <c r="P180" s="64">
        <f t="shared" ref="P180" si="102">IF(OR(O180=366,O180=365),52,(ROUNDUP(O180/7,0)))</f>
        <v>1</v>
      </c>
      <c r="Q180" s="64"/>
    </row>
    <row r="181" spans="2:17" s="241" customFormat="1" x14ac:dyDescent="0.2">
      <c r="B181" s="362"/>
      <c r="C181" s="198"/>
      <c r="D181" s="381"/>
      <c r="E181" s="381"/>
      <c r="F181" s="381"/>
      <c r="G181" s="381"/>
      <c r="H181" s="381"/>
      <c r="I181" s="381"/>
      <c r="J181" s="381"/>
      <c r="K181" s="381"/>
      <c r="L181" s="197"/>
      <c r="M181" s="131"/>
      <c r="N181" s="8"/>
      <c r="O181" s="64"/>
      <c r="P181" s="64"/>
      <c r="Q181" s="64"/>
    </row>
    <row r="182" spans="2:17" s="241" customFormat="1" ht="13.5" thickBot="1" x14ac:dyDescent="0.25">
      <c r="B182" s="362"/>
      <c r="C182" s="239"/>
      <c r="D182" s="5"/>
      <c r="E182" s="5"/>
      <c r="F182" s="5"/>
      <c r="G182" s="5"/>
      <c r="H182" s="5"/>
      <c r="I182" s="5"/>
      <c r="J182" s="5"/>
      <c r="K182" s="5"/>
      <c r="L182" s="199"/>
      <c r="M182" s="131"/>
      <c r="N182" s="8"/>
      <c r="O182" s="64"/>
      <c r="P182" s="64"/>
      <c r="Q182" s="64"/>
    </row>
    <row r="183" spans="2:17" s="241" customFormat="1" ht="27" thickBot="1" x14ac:dyDescent="0.3">
      <c r="B183" s="362"/>
      <c r="C183" s="186" t="s">
        <v>54</v>
      </c>
      <c r="D183" s="63"/>
      <c r="E183" s="382"/>
      <c r="F183" s="383"/>
      <c r="G183" s="200" t="s">
        <v>49</v>
      </c>
      <c r="H183" s="201" t="s">
        <v>55</v>
      </c>
      <c r="I183" s="202" t="s">
        <v>41</v>
      </c>
      <c r="L183" s="185"/>
      <c r="M183" s="245"/>
      <c r="N183" s="71"/>
      <c r="O183" s="71"/>
      <c r="P183" s="71"/>
      <c r="Q183" s="64"/>
    </row>
    <row r="184" spans="2:17" s="241" customFormat="1" ht="13.5" thickBot="1" x14ac:dyDescent="0.25">
      <c r="B184" s="362"/>
      <c r="C184" s="239"/>
      <c r="E184" s="384" t="s">
        <v>27</v>
      </c>
      <c r="F184" s="385"/>
      <c r="G184" s="136"/>
      <c r="H184" s="137"/>
      <c r="I184" s="75">
        <f t="shared" ref="I184:I188" si="103">G184*H184</f>
        <v>0</v>
      </c>
      <c r="L184" s="185"/>
      <c r="M184" s="131"/>
      <c r="N184" s="8"/>
      <c r="O184" s="70"/>
      <c r="P184" s="64"/>
      <c r="Q184" s="64"/>
    </row>
    <row r="185" spans="2:17" s="241" customFormat="1" ht="13.5" thickBot="1" x14ac:dyDescent="0.25">
      <c r="B185" s="362"/>
      <c r="C185" s="239"/>
      <c r="E185" s="386" t="s">
        <v>24</v>
      </c>
      <c r="F185" s="387"/>
      <c r="G185" s="138"/>
      <c r="H185" s="139"/>
      <c r="I185" s="75">
        <f t="shared" si="103"/>
        <v>0</v>
      </c>
      <c r="L185" s="185"/>
      <c r="M185" s="8"/>
      <c r="N185" s="8"/>
      <c r="O185" s="64"/>
      <c r="P185" s="64"/>
      <c r="Q185" s="64"/>
    </row>
    <row r="186" spans="2:17" s="241" customFormat="1" ht="13.5" thickBot="1" x14ac:dyDescent="0.25">
      <c r="B186" s="362"/>
      <c r="C186" s="239"/>
      <c r="E186" s="386" t="s">
        <v>25</v>
      </c>
      <c r="F186" s="387"/>
      <c r="G186" s="138"/>
      <c r="H186" s="139"/>
      <c r="I186" s="75">
        <f t="shared" si="103"/>
        <v>0</v>
      </c>
      <c r="L186" s="185"/>
      <c r="M186" s="131"/>
      <c r="N186" s="64"/>
      <c r="O186" s="64"/>
      <c r="P186" s="64"/>
      <c r="Q186" s="64"/>
    </row>
    <row r="187" spans="2:17" s="241" customFormat="1" ht="13.5" thickBot="1" x14ac:dyDescent="0.25">
      <c r="B187" s="362"/>
      <c r="C187" s="239"/>
      <c r="E187" s="388" t="s">
        <v>26</v>
      </c>
      <c r="F187" s="389"/>
      <c r="G187" s="138"/>
      <c r="H187" s="139"/>
      <c r="I187" s="75">
        <f t="shared" si="103"/>
        <v>0</v>
      </c>
      <c r="L187" s="185"/>
      <c r="M187" s="131"/>
      <c r="N187" s="8"/>
      <c r="O187" s="64"/>
      <c r="P187" s="64"/>
      <c r="Q187" s="64"/>
    </row>
    <row r="188" spans="2:17" s="241" customFormat="1" ht="13.5" thickBot="1" x14ac:dyDescent="0.25">
      <c r="B188" s="363"/>
      <c r="C188" s="203"/>
      <c r="D188" s="242"/>
      <c r="E188" s="390" t="s">
        <v>51</v>
      </c>
      <c r="F188" s="391"/>
      <c r="G188" s="140"/>
      <c r="H188" s="141"/>
      <c r="I188" s="204">
        <f t="shared" si="103"/>
        <v>0</v>
      </c>
      <c r="J188" s="242"/>
      <c r="K188" s="205"/>
      <c r="L188" s="182"/>
      <c r="M188" s="131"/>
      <c r="N188" s="64"/>
      <c r="O188" s="64"/>
      <c r="P188" s="64"/>
      <c r="Q188" s="64"/>
    </row>
    <row r="189" spans="2:17" s="241" customFormat="1" ht="13.5" thickBot="1" x14ac:dyDescent="0.25">
      <c r="B189" s="132"/>
      <c r="C189" s="73"/>
      <c r="D189" s="8"/>
      <c r="E189" s="234"/>
      <c r="F189" s="234"/>
      <c r="G189" s="235"/>
      <c r="H189" s="236"/>
      <c r="I189" s="172"/>
      <c r="J189" s="237"/>
      <c r="K189" s="238"/>
      <c r="L189" s="238"/>
      <c r="M189" s="131"/>
      <c r="N189" s="8"/>
      <c r="O189" s="8"/>
      <c r="P189" s="8"/>
      <c r="Q189" s="8"/>
    </row>
    <row r="190" spans="2:17" s="241" customFormat="1" ht="26.25" thickBot="1" x14ac:dyDescent="0.25">
      <c r="B190" s="361">
        <v>11</v>
      </c>
      <c r="C190" s="174" t="s">
        <v>121</v>
      </c>
      <c r="D190" s="251"/>
      <c r="E190" s="175"/>
      <c r="F190" s="175" t="s">
        <v>46</v>
      </c>
      <c r="G190" s="175" t="s">
        <v>47</v>
      </c>
      <c r="H190" s="250" t="s">
        <v>107</v>
      </c>
      <c r="I190" s="175" t="s">
        <v>52</v>
      </c>
      <c r="J190" s="176" t="s">
        <v>42</v>
      </c>
      <c r="K190" s="177" t="s">
        <v>43</v>
      </c>
      <c r="L190" s="178" t="s">
        <v>44</v>
      </c>
      <c r="M190" s="131"/>
      <c r="N190" s="8"/>
      <c r="O190" s="70"/>
      <c r="P190" s="64"/>
      <c r="Q190" s="64"/>
    </row>
    <row r="191" spans="2:17" s="241" customFormat="1" ht="13.5" thickBot="1" x14ac:dyDescent="0.25">
      <c r="B191" s="362"/>
      <c r="C191" s="364"/>
      <c r="D191" s="365"/>
      <c r="E191" s="366"/>
      <c r="F191" s="133"/>
      <c r="G191" s="134"/>
      <c r="H191" s="179">
        <f t="shared" ref="H191" si="104">P197</f>
        <v>1</v>
      </c>
      <c r="I191" s="135"/>
      <c r="J191" s="180">
        <f t="shared" ref="J191" si="105">(SUM(K195:K196))+(SUM(I201:I205))</f>
        <v>0</v>
      </c>
      <c r="K191" s="181">
        <f t="shared" ref="K191" si="106">IF(F192="No",Q192,Q191)</f>
        <v>0</v>
      </c>
      <c r="L191" s="182">
        <f t="shared" ref="L191" si="107">SUM(J191:K191)</f>
        <v>0</v>
      </c>
      <c r="M191" s="8"/>
      <c r="N191" s="172">
        <f t="shared" ref="N191" si="108">IF(ISNUMBER(L191),L191,0)</f>
        <v>0</v>
      </c>
      <c r="O191" s="64"/>
      <c r="P191" s="64" t="s">
        <v>204</v>
      </c>
      <c r="Q191" s="64">
        <f>IF(F191="Exempt all taxes",0,(J191*FICA)+(J191*Medicare))</f>
        <v>0</v>
      </c>
    </row>
    <row r="192" spans="2:17" s="241" customFormat="1" ht="13.5" thickBot="1" x14ac:dyDescent="0.25">
      <c r="B192" s="362"/>
      <c r="C192" s="367" t="s">
        <v>206</v>
      </c>
      <c r="D192" s="368"/>
      <c r="E192" s="369"/>
      <c r="F192" s="370"/>
      <c r="G192" s="371"/>
      <c r="H192" s="183"/>
      <c r="I192" s="172"/>
      <c r="J192" s="30"/>
      <c r="K192" s="184"/>
      <c r="L192" s="185"/>
      <c r="M192" s="87"/>
      <c r="N192" s="64"/>
      <c r="O192" s="64"/>
      <c r="P192" s="64" t="s">
        <v>205</v>
      </c>
      <c r="Q192" s="64">
        <f>IF(J191&gt;=SUTA_Max,((FUTA_Max*FUTA)+(SUTA_Max*I191)+(J191*FICA)+(J191*Medicare)),IF(J191&gt;=FUTA_Max,((FUTA_Max*FUTA)+(J191*I191)+(J191*FICA)+(J191*Medicare)),IF(J191&lt;FUTA_Max,(J191*Total_Tax+I191))))</f>
        <v>0</v>
      </c>
    </row>
    <row r="193" spans="2:17" s="241" customFormat="1" ht="13.5" thickBot="1" x14ac:dyDescent="0.25">
      <c r="B193" s="362"/>
      <c r="C193" s="372"/>
      <c r="D193" s="373"/>
      <c r="E193" s="373"/>
      <c r="F193" s="373"/>
      <c r="G193" s="373"/>
      <c r="H193" s="373"/>
      <c r="I193" s="373"/>
      <c r="J193" s="373"/>
      <c r="K193" s="373"/>
      <c r="L193" s="374"/>
      <c r="M193" s="87"/>
      <c r="N193" s="64"/>
      <c r="O193" s="64"/>
      <c r="P193" s="64"/>
      <c r="Q193" s="64"/>
    </row>
    <row r="194" spans="2:17" s="241" customFormat="1" ht="27" thickBot="1" x14ac:dyDescent="0.3">
      <c r="B194" s="362"/>
      <c r="C194" s="186" t="s">
        <v>53</v>
      </c>
      <c r="D194" s="63"/>
      <c r="E194" s="375"/>
      <c r="F194" s="376"/>
      <c r="G194" s="187" t="s">
        <v>48</v>
      </c>
      <c r="H194" s="188" t="s">
        <v>40</v>
      </c>
      <c r="I194" s="189" t="s">
        <v>45</v>
      </c>
      <c r="J194" s="189" t="s">
        <v>50</v>
      </c>
      <c r="K194" s="190" t="s">
        <v>41</v>
      </c>
      <c r="L194" s="185"/>
      <c r="M194" s="73"/>
      <c r="N194" s="64"/>
      <c r="O194" s="64"/>
      <c r="P194" s="64"/>
      <c r="Q194" s="64"/>
    </row>
    <row r="195" spans="2:17" s="241" customFormat="1" ht="13.5" thickBot="1" x14ac:dyDescent="0.25">
      <c r="B195" s="362"/>
      <c r="C195" s="248"/>
      <c r="D195" s="249"/>
      <c r="E195" s="377" t="str">
        <f>Service_Type</f>
        <v>Non-Priority</v>
      </c>
      <c r="F195" s="378"/>
      <c r="G195" s="74"/>
      <c r="H195" s="206"/>
      <c r="I195" s="191">
        <f t="shared" ref="I195" si="109">H191</f>
        <v>1</v>
      </c>
      <c r="J195" s="192"/>
      <c r="K195" s="193">
        <f t="shared" ref="K195" si="110">G195*H195*I195</f>
        <v>0</v>
      </c>
      <c r="L195" s="185"/>
      <c r="M195" s="131"/>
      <c r="N195" s="64" t="str">
        <f>IF(G195='Authorized Units &amp; Budget'!$D$15,"True","False")</f>
        <v>True</v>
      </c>
      <c r="O195" s="64"/>
      <c r="P195" s="64"/>
      <c r="Q195" s="64"/>
    </row>
    <row r="196" spans="2:17" s="241" customFormat="1" ht="13.5" thickBot="1" x14ac:dyDescent="0.25">
      <c r="B196" s="362"/>
      <c r="C196" s="248"/>
      <c r="D196" s="249"/>
      <c r="E196" s="379" t="s">
        <v>23</v>
      </c>
      <c r="F196" s="380"/>
      <c r="G196" s="74"/>
      <c r="H196" s="211"/>
      <c r="I196" s="194">
        <f t="shared" ref="I196" si="111">H191</f>
        <v>1</v>
      </c>
      <c r="J196" s="195">
        <f t="shared" ref="J196" si="112">H195*1.5</f>
        <v>0</v>
      </c>
      <c r="K196" s="196">
        <f t="shared" ref="K196" si="113">G196*I196*J196</f>
        <v>0</v>
      </c>
      <c r="L196" s="185"/>
      <c r="M196" s="131"/>
      <c r="N196" s="64"/>
      <c r="O196" s="64"/>
      <c r="P196" s="64"/>
      <c r="Q196" s="64"/>
    </row>
    <row r="197" spans="2:17" s="241" customFormat="1" x14ac:dyDescent="0.2">
      <c r="B197" s="362"/>
      <c r="C197" s="248"/>
      <c r="D197" s="381" t="s">
        <v>123</v>
      </c>
      <c r="E197" s="381"/>
      <c r="F197" s="381"/>
      <c r="G197" s="381"/>
      <c r="H197" s="381"/>
      <c r="I197" s="381"/>
      <c r="J197" s="381"/>
      <c r="K197" s="381"/>
      <c r="L197" s="197"/>
      <c r="M197" s="131"/>
      <c r="N197" s="64"/>
      <c r="O197" s="64">
        <f t="shared" ref="O197" si="114">(G191-F191)+1</f>
        <v>1</v>
      </c>
      <c r="P197" s="64">
        <f t="shared" ref="P197" si="115">IF(OR(O197=366,O197=365),52,(ROUNDUP(O197/7,0)))</f>
        <v>1</v>
      </c>
      <c r="Q197" s="64"/>
    </row>
    <row r="198" spans="2:17" s="241" customFormat="1" x14ac:dyDescent="0.2">
      <c r="B198" s="362"/>
      <c r="C198" s="198"/>
      <c r="D198" s="381"/>
      <c r="E198" s="381"/>
      <c r="F198" s="381"/>
      <c r="G198" s="381"/>
      <c r="H198" s="381"/>
      <c r="I198" s="381"/>
      <c r="J198" s="381"/>
      <c r="K198" s="381"/>
      <c r="L198" s="197"/>
      <c r="M198" s="131"/>
      <c r="N198" s="8"/>
      <c r="O198" s="64"/>
      <c r="P198" s="64"/>
      <c r="Q198" s="64"/>
    </row>
    <row r="199" spans="2:17" s="241" customFormat="1" ht="13.5" thickBot="1" x14ac:dyDescent="0.25">
      <c r="B199" s="362"/>
      <c r="C199" s="246"/>
      <c r="D199" s="5"/>
      <c r="E199" s="5"/>
      <c r="F199" s="5"/>
      <c r="G199" s="5"/>
      <c r="H199" s="5"/>
      <c r="I199" s="5"/>
      <c r="J199" s="5"/>
      <c r="K199" s="5"/>
      <c r="L199" s="199"/>
      <c r="M199" s="131"/>
      <c r="N199" s="8"/>
      <c r="O199" s="64"/>
      <c r="P199" s="64"/>
      <c r="Q199" s="64"/>
    </row>
    <row r="200" spans="2:17" s="241" customFormat="1" ht="27" thickBot="1" x14ac:dyDescent="0.3">
      <c r="B200" s="362"/>
      <c r="C200" s="186" t="s">
        <v>54</v>
      </c>
      <c r="D200" s="63"/>
      <c r="E200" s="382"/>
      <c r="F200" s="383"/>
      <c r="G200" s="200" t="s">
        <v>49</v>
      </c>
      <c r="H200" s="201" t="s">
        <v>55</v>
      </c>
      <c r="I200" s="202" t="s">
        <v>41</v>
      </c>
      <c r="J200" s="249"/>
      <c r="K200" s="249"/>
      <c r="L200" s="185"/>
      <c r="M200" s="252"/>
      <c r="N200" s="71"/>
      <c r="O200" s="71"/>
      <c r="P200" s="71"/>
      <c r="Q200" s="64"/>
    </row>
    <row r="201" spans="2:17" s="241" customFormat="1" ht="13.5" thickBot="1" x14ac:dyDescent="0.25">
      <c r="B201" s="362"/>
      <c r="C201" s="246"/>
      <c r="D201" s="249"/>
      <c r="E201" s="384" t="s">
        <v>27</v>
      </c>
      <c r="F201" s="385"/>
      <c r="G201" s="136"/>
      <c r="H201" s="137"/>
      <c r="I201" s="75">
        <f t="shared" ref="I201:I205" si="116">G201*H201</f>
        <v>0</v>
      </c>
      <c r="J201" s="249"/>
      <c r="K201" s="249"/>
      <c r="L201" s="185"/>
      <c r="M201" s="131"/>
      <c r="N201" s="8"/>
      <c r="O201" s="70"/>
      <c r="P201" s="64"/>
      <c r="Q201" s="64"/>
    </row>
    <row r="202" spans="2:17" s="241" customFormat="1" ht="13.5" thickBot="1" x14ac:dyDescent="0.25">
      <c r="B202" s="362"/>
      <c r="C202" s="246"/>
      <c r="D202" s="249"/>
      <c r="E202" s="386" t="s">
        <v>24</v>
      </c>
      <c r="F202" s="387"/>
      <c r="G202" s="138"/>
      <c r="H202" s="139"/>
      <c r="I202" s="75">
        <f t="shared" si="116"/>
        <v>0</v>
      </c>
      <c r="J202" s="249"/>
      <c r="K202" s="249"/>
      <c r="L202" s="185"/>
      <c r="M202" s="8"/>
      <c r="N202" s="8"/>
      <c r="O202" s="64"/>
      <c r="P202" s="64"/>
      <c r="Q202" s="64"/>
    </row>
    <row r="203" spans="2:17" s="241" customFormat="1" ht="13.5" thickBot="1" x14ac:dyDescent="0.25">
      <c r="B203" s="362"/>
      <c r="C203" s="246"/>
      <c r="D203" s="249"/>
      <c r="E203" s="386" t="s">
        <v>25</v>
      </c>
      <c r="F203" s="387"/>
      <c r="G203" s="138"/>
      <c r="H203" s="139"/>
      <c r="I203" s="75">
        <f t="shared" si="116"/>
        <v>0</v>
      </c>
      <c r="J203" s="249"/>
      <c r="K203" s="249"/>
      <c r="L203" s="185"/>
      <c r="M203" s="131"/>
      <c r="N203" s="64"/>
      <c r="O203" s="64"/>
      <c r="P203" s="64"/>
      <c r="Q203" s="64"/>
    </row>
    <row r="204" spans="2:17" s="241" customFormat="1" ht="13.5" thickBot="1" x14ac:dyDescent="0.25">
      <c r="B204" s="362"/>
      <c r="C204" s="246"/>
      <c r="D204" s="249"/>
      <c r="E204" s="388" t="s">
        <v>26</v>
      </c>
      <c r="F204" s="389"/>
      <c r="G204" s="138"/>
      <c r="H204" s="139"/>
      <c r="I204" s="75">
        <f t="shared" si="116"/>
        <v>0</v>
      </c>
      <c r="J204" s="249"/>
      <c r="K204" s="249"/>
      <c r="L204" s="185"/>
      <c r="M204" s="131"/>
      <c r="N204" s="8"/>
      <c r="O204" s="64"/>
      <c r="P204" s="64"/>
      <c r="Q204" s="64"/>
    </row>
    <row r="205" spans="2:17" s="241" customFormat="1" ht="13.5" thickBot="1" x14ac:dyDescent="0.25">
      <c r="B205" s="363"/>
      <c r="C205" s="203"/>
      <c r="D205" s="247"/>
      <c r="E205" s="390" t="s">
        <v>51</v>
      </c>
      <c r="F205" s="391"/>
      <c r="G205" s="140"/>
      <c r="H205" s="141"/>
      <c r="I205" s="204">
        <f t="shared" si="116"/>
        <v>0</v>
      </c>
      <c r="J205" s="247"/>
      <c r="K205" s="205"/>
      <c r="L205" s="182"/>
      <c r="M205" s="131"/>
      <c r="N205" s="64"/>
      <c r="O205" s="64"/>
      <c r="P205" s="64"/>
      <c r="Q205" s="64"/>
    </row>
    <row r="206" spans="2:17" s="241" customFormat="1" ht="13.5" thickBot="1" x14ac:dyDescent="0.25">
      <c r="B206" s="132"/>
      <c r="C206" s="73"/>
      <c r="D206" s="8"/>
      <c r="E206" s="234"/>
      <c r="F206" s="234"/>
      <c r="G206" s="235"/>
      <c r="H206" s="236"/>
      <c r="I206" s="172"/>
      <c r="J206" s="237"/>
      <c r="K206" s="238"/>
      <c r="L206" s="238"/>
      <c r="M206" s="131"/>
      <c r="N206" s="8"/>
      <c r="O206" s="8"/>
      <c r="P206" s="8"/>
      <c r="Q206" s="8"/>
    </row>
    <row r="207" spans="2:17" s="241" customFormat="1" ht="26.25" thickBot="1" x14ac:dyDescent="0.25">
      <c r="B207" s="361">
        <v>12</v>
      </c>
      <c r="C207" s="174" t="s">
        <v>121</v>
      </c>
      <c r="D207" s="251"/>
      <c r="E207" s="175"/>
      <c r="F207" s="175" t="s">
        <v>46</v>
      </c>
      <c r="G207" s="175" t="s">
        <v>47</v>
      </c>
      <c r="H207" s="250" t="s">
        <v>107</v>
      </c>
      <c r="I207" s="175" t="s">
        <v>52</v>
      </c>
      <c r="J207" s="176" t="s">
        <v>42</v>
      </c>
      <c r="K207" s="177" t="s">
        <v>43</v>
      </c>
      <c r="L207" s="178" t="s">
        <v>44</v>
      </c>
      <c r="M207" s="131"/>
      <c r="N207" s="8"/>
      <c r="O207" s="70"/>
      <c r="P207" s="64"/>
      <c r="Q207" s="64"/>
    </row>
    <row r="208" spans="2:17" s="241" customFormat="1" ht="13.5" thickBot="1" x14ac:dyDescent="0.25">
      <c r="B208" s="362"/>
      <c r="C208" s="364"/>
      <c r="D208" s="365"/>
      <c r="E208" s="366"/>
      <c r="F208" s="133"/>
      <c r="G208" s="134"/>
      <c r="H208" s="179">
        <f t="shared" ref="H208" si="117">P214</f>
        <v>1</v>
      </c>
      <c r="I208" s="135"/>
      <c r="J208" s="180">
        <f t="shared" ref="J208" si="118">(SUM(K212:K213))+(SUM(I218:I222))</f>
        <v>0</v>
      </c>
      <c r="K208" s="181">
        <f t="shared" ref="K208" si="119">IF(F209="No",Q209,Q208)</f>
        <v>0</v>
      </c>
      <c r="L208" s="182">
        <f t="shared" ref="L208" si="120">SUM(J208:K208)</f>
        <v>0</v>
      </c>
      <c r="M208" s="8"/>
      <c r="N208" s="172">
        <f t="shared" ref="N208" si="121">IF(ISNUMBER(L208),L208,0)</f>
        <v>0</v>
      </c>
      <c r="O208" s="64"/>
      <c r="P208" s="64" t="s">
        <v>204</v>
      </c>
      <c r="Q208" s="64">
        <f>IF(F208="Exempt all taxes",0,(J208*FICA)+(J208*Medicare))</f>
        <v>0</v>
      </c>
    </row>
    <row r="209" spans="2:17" s="241" customFormat="1" ht="13.5" thickBot="1" x14ac:dyDescent="0.25">
      <c r="B209" s="362"/>
      <c r="C209" s="367" t="s">
        <v>206</v>
      </c>
      <c r="D209" s="368"/>
      <c r="E209" s="369"/>
      <c r="F209" s="370"/>
      <c r="G209" s="371"/>
      <c r="H209" s="183"/>
      <c r="I209" s="172"/>
      <c r="J209" s="30"/>
      <c r="K209" s="184"/>
      <c r="L209" s="185"/>
      <c r="M209" s="87"/>
      <c r="N209" s="64"/>
      <c r="O209" s="64"/>
      <c r="P209" s="64" t="s">
        <v>205</v>
      </c>
      <c r="Q209" s="64">
        <f>IF(J208&gt;=SUTA_Max,((FUTA_Max*FUTA)+(SUTA_Max*I208)+(J208*FICA)+(J208*Medicare)),IF(J208&gt;=FUTA_Max,((FUTA_Max*FUTA)+(J208*I208)+(J208*FICA)+(J208*Medicare)),IF(J208&lt;FUTA_Max,(J208*Total_Tax+I208))))</f>
        <v>0</v>
      </c>
    </row>
    <row r="210" spans="2:17" s="241" customFormat="1" ht="13.5" thickBot="1" x14ac:dyDescent="0.25">
      <c r="B210" s="362"/>
      <c r="C210" s="372"/>
      <c r="D210" s="373"/>
      <c r="E210" s="373"/>
      <c r="F210" s="373"/>
      <c r="G210" s="373"/>
      <c r="H210" s="373"/>
      <c r="I210" s="373"/>
      <c r="J210" s="373"/>
      <c r="K210" s="373"/>
      <c r="L210" s="374"/>
      <c r="M210" s="87"/>
      <c r="N210" s="64"/>
      <c r="O210" s="64"/>
      <c r="P210" s="64"/>
      <c r="Q210" s="64"/>
    </row>
    <row r="211" spans="2:17" s="241" customFormat="1" ht="27" thickBot="1" x14ac:dyDescent="0.3">
      <c r="B211" s="362"/>
      <c r="C211" s="186" t="s">
        <v>53</v>
      </c>
      <c r="D211" s="63"/>
      <c r="E211" s="375"/>
      <c r="F211" s="376"/>
      <c r="G211" s="187" t="s">
        <v>48</v>
      </c>
      <c r="H211" s="188" t="s">
        <v>40</v>
      </c>
      <c r="I211" s="189" t="s">
        <v>45</v>
      </c>
      <c r="J211" s="189" t="s">
        <v>50</v>
      </c>
      <c r="K211" s="190" t="s">
        <v>41</v>
      </c>
      <c r="L211" s="185"/>
      <c r="M211" s="73"/>
      <c r="N211" s="64"/>
      <c r="O211" s="64"/>
      <c r="P211" s="64"/>
      <c r="Q211" s="64"/>
    </row>
    <row r="212" spans="2:17" s="241" customFormat="1" ht="13.5" thickBot="1" x14ac:dyDescent="0.25">
      <c r="B212" s="362"/>
      <c r="C212" s="248"/>
      <c r="D212" s="249"/>
      <c r="E212" s="377" t="str">
        <f>Service_Type</f>
        <v>Non-Priority</v>
      </c>
      <c r="F212" s="378"/>
      <c r="G212" s="74"/>
      <c r="H212" s="206"/>
      <c r="I212" s="191">
        <f t="shared" ref="I212" si="122">H208</f>
        <v>1</v>
      </c>
      <c r="J212" s="192"/>
      <c r="K212" s="193">
        <f t="shared" ref="K212" si="123">G212*H212*I212</f>
        <v>0</v>
      </c>
      <c r="L212" s="185"/>
      <c r="M212" s="131"/>
      <c r="N212" s="64" t="str">
        <f>IF(G212='Authorized Units &amp; Budget'!$D$15,"True","False")</f>
        <v>True</v>
      </c>
      <c r="O212" s="64"/>
      <c r="P212" s="64"/>
      <c r="Q212" s="64"/>
    </row>
    <row r="213" spans="2:17" s="241" customFormat="1" ht="13.5" thickBot="1" x14ac:dyDescent="0.25">
      <c r="B213" s="362"/>
      <c r="C213" s="248"/>
      <c r="D213" s="249"/>
      <c r="E213" s="379" t="s">
        <v>23</v>
      </c>
      <c r="F213" s="380"/>
      <c r="G213" s="74"/>
      <c r="H213" s="211"/>
      <c r="I213" s="194">
        <f t="shared" ref="I213" si="124">H208</f>
        <v>1</v>
      </c>
      <c r="J213" s="195">
        <f t="shared" ref="J213" si="125">H212*1.5</f>
        <v>0</v>
      </c>
      <c r="K213" s="196">
        <f t="shared" ref="K213" si="126">G213*I213*J213</f>
        <v>0</v>
      </c>
      <c r="L213" s="185"/>
      <c r="M213" s="131"/>
      <c r="N213" s="64"/>
      <c r="O213" s="64"/>
      <c r="P213" s="64"/>
      <c r="Q213" s="64"/>
    </row>
    <row r="214" spans="2:17" s="241" customFormat="1" x14ac:dyDescent="0.2">
      <c r="B214" s="362"/>
      <c r="C214" s="248"/>
      <c r="D214" s="381" t="s">
        <v>123</v>
      </c>
      <c r="E214" s="381"/>
      <c r="F214" s="381"/>
      <c r="G214" s="381"/>
      <c r="H214" s="381"/>
      <c r="I214" s="381"/>
      <c r="J214" s="381"/>
      <c r="K214" s="381"/>
      <c r="L214" s="197"/>
      <c r="M214" s="131"/>
      <c r="N214" s="64"/>
      <c r="O214" s="64">
        <f t="shared" ref="O214" si="127">(G208-F208)+1</f>
        <v>1</v>
      </c>
      <c r="P214" s="64">
        <f t="shared" ref="P214" si="128">IF(OR(O214=366,O214=365),52,(ROUNDUP(O214/7,0)))</f>
        <v>1</v>
      </c>
      <c r="Q214" s="64"/>
    </row>
    <row r="215" spans="2:17" s="241" customFormat="1" x14ac:dyDescent="0.2">
      <c r="B215" s="362"/>
      <c r="C215" s="198"/>
      <c r="D215" s="381"/>
      <c r="E215" s="381"/>
      <c r="F215" s="381"/>
      <c r="G215" s="381"/>
      <c r="H215" s="381"/>
      <c r="I215" s="381"/>
      <c r="J215" s="381"/>
      <c r="K215" s="381"/>
      <c r="L215" s="197"/>
      <c r="M215" s="131"/>
      <c r="N215" s="8"/>
      <c r="O215" s="64"/>
      <c r="P215" s="64"/>
      <c r="Q215" s="64"/>
    </row>
    <row r="216" spans="2:17" s="241" customFormat="1" ht="13.5" thickBot="1" x14ac:dyDescent="0.25">
      <c r="B216" s="362"/>
      <c r="C216" s="246"/>
      <c r="D216" s="5"/>
      <c r="E216" s="5"/>
      <c r="F216" s="5"/>
      <c r="G216" s="5"/>
      <c r="H216" s="5"/>
      <c r="I216" s="5"/>
      <c r="J216" s="5"/>
      <c r="K216" s="5"/>
      <c r="L216" s="199"/>
      <c r="M216" s="131"/>
      <c r="N216" s="8"/>
      <c r="O216" s="64"/>
      <c r="P216" s="64"/>
      <c r="Q216" s="64"/>
    </row>
    <row r="217" spans="2:17" s="241" customFormat="1" ht="27" thickBot="1" x14ac:dyDescent="0.3">
      <c r="B217" s="362"/>
      <c r="C217" s="186" t="s">
        <v>54</v>
      </c>
      <c r="D217" s="63"/>
      <c r="E217" s="382"/>
      <c r="F217" s="383"/>
      <c r="G217" s="200" t="s">
        <v>49</v>
      </c>
      <c r="H217" s="201" t="s">
        <v>55</v>
      </c>
      <c r="I217" s="202" t="s">
        <v>41</v>
      </c>
      <c r="J217" s="249"/>
      <c r="K217" s="249"/>
      <c r="L217" s="185"/>
      <c r="M217" s="252"/>
      <c r="N217" s="71"/>
      <c r="O217" s="71"/>
      <c r="P217" s="71"/>
      <c r="Q217" s="64"/>
    </row>
    <row r="218" spans="2:17" s="241" customFormat="1" ht="13.5" thickBot="1" x14ac:dyDescent="0.25">
      <c r="B218" s="362"/>
      <c r="C218" s="246"/>
      <c r="D218" s="249"/>
      <c r="E218" s="384" t="s">
        <v>27</v>
      </c>
      <c r="F218" s="385"/>
      <c r="G218" s="136"/>
      <c r="H218" s="137"/>
      <c r="I218" s="75">
        <f t="shared" ref="I218:I222" si="129">G218*H218</f>
        <v>0</v>
      </c>
      <c r="J218" s="249"/>
      <c r="K218" s="249"/>
      <c r="L218" s="185"/>
      <c r="M218" s="131"/>
      <c r="N218" s="8"/>
      <c r="O218" s="70"/>
      <c r="P218" s="64"/>
      <c r="Q218" s="64"/>
    </row>
    <row r="219" spans="2:17" s="241" customFormat="1" ht="13.5" thickBot="1" x14ac:dyDescent="0.25">
      <c r="B219" s="362"/>
      <c r="C219" s="246"/>
      <c r="D219" s="249"/>
      <c r="E219" s="386" t="s">
        <v>24</v>
      </c>
      <c r="F219" s="387"/>
      <c r="G219" s="138"/>
      <c r="H219" s="139"/>
      <c r="I219" s="75">
        <f t="shared" si="129"/>
        <v>0</v>
      </c>
      <c r="J219" s="249"/>
      <c r="K219" s="249"/>
      <c r="L219" s="185"/>
      <c r="M219" s="8"/>
      <c r="N219" s="8"/>
      <c r="O219" s="64"/>
      <c r="P219" s="64"/>
      <c r="Q219" s="64"/>
    </row>
    <row r="220" spans="2:17" s="241" customFormat="1" ht="13.5" thickBot="1" x14ac:dyDescent="0.25">
      <c r="B220" s="362"/>
      <c r="C220" s="246"/>
      <c r="D220" s="249"/>
      <c r="E220" s="386" t="s">
        <v>25</v>
      </c>
      <c r="F220" s="387"/>
      <c r="G220" s="138"/>
      <c r="H220" s="139"/>
      <c r="I220" s="75">
        <f t="shared" si="129"/>
        <v>0</v>
      </c>
      <c r="J220" s="249"/>
      <c r="K220" s="249"/>
      <c r="L220" s="185"/>
      <c r="M220" s="131"/>
      <c r="N220" s="64"/>
      <c r="O220" s="64"/>
      <c r="P220" s="64"/>
      <c r="Q220" s="64"/>
    </row>
    <row r="221" spans="2:17" s="241" customFormat="1" ht="13.5" thickBot="1" x14ac:dyDescent="0.25">
      <c r="B221" s="362"/>
      <c r="C221" s="246"/>
      <c r="D221" s="249"/>
      <c r="E221" s="388" t="s">
        <v>26</v>
      </c>
      <c r="F221" s="389"/>
      <c r="G221" s="138"/>
      <c r="H221" s="139"/>
      <c r="I221" s="75">
        <f t="shared" si="129"/>
        <v>0</v>
      </c>
      <c r="J221" s="249"/>
      <c r="K221" s="249"/>
      <c r="L221" s="185"/>
      <c r="M221" s="131"/>
      <c r="N221" s="8"/>
      <c r="O221" s="64"/>
      <c r="P221" s="64"/>
      <c r="Q221" s="64"/>
    </row>
    <row r="222" spans="2:17" s="241" customFormat="1" ht="13.5" thickBot="1" x14ac:dyDescent="0.25">
      <c r="B222" s="363"/>
      <c r="C222" s="203"/>
      <c r="D222" s="247"/>
      <c r="E222" s="390" t="s">
        <v>51</v>
      </c>
      <c r="F222" s="391"/>
      <c r="G222" s="140"/>
      <c r="H222" s="141"/>
      <c r="I222" s="204">
        <f t="shared" si="129"/>
        <v>0</v>
      </c>
      <c r="J222" s="247"/>
      <c r="K222" s="205"/>
      <c r="L222" s="182"/>
      <c r="M222" s="131"/>
      <c r="N222" s="64"/>
      <c r="O222" s="64"/>
      <c r="P222" s="64"/>
      <c r="Q222" s="64"/>
    </row>
    <row r="223" spans="2:17" s="241" customFormat="1" ht="13.5" thickBot="1" x14ac:dyDescent="0.25">
      <c r="B223" s="132"/>
      <c r="C223" s="73"/>
      <c r="D223" s="8"/>
      <c r="E223" s="234"/>
      <c r="F223" s="234"/>
      <c r="G223" s="235"/>
      <c r="H223" s="236"/>
      <c r="I223" s="172"/>
      <c r="J223" s="237"/>
      <c r="K223" s="238"/>
      <c r="L223" s="238"/>
      <c r="M223" s="131"/>
      <c r="N223" s="8"/>
      <c r="O223" s="8"/>
      <c r="P223" s="8"/>
      <c r="Q223" s="8"/>
    </row>
    <row r="224" spans="2:17" s="241" customFormat="1" ht="26.25" thickBot="1" x14ac:dyDescent="0.25">
      <c r="B224" s="361">
        <v>13</v>
      </c>
      <c r="C224" s="174" t="s">
        <v>121</v>
      </c>
      <c r="D224" s="251"/>
      <c r="E224" s="175"/>
      <c r="F224" s="175" t="s">
        <v>46</v>
      </c>
      <c r="G224" s="175" t="s">
        <v>47</v>
      </c>
      <c r="H224" s="250" t="s">
        <v>107</v>
      </c>
      <c r="I224" s="175" t="s">
        <v>52</v>
      </c>
      <c r="J224" s="176" t="s">
        <v>42</v>
      </c>
      <c r="K224" s="177" t="s">
        <v>43</v>
      </c>
      <c r="L224" s="178" t="s">
        <v>44</v>
      </c>
      <c r="M224" s="131"/>
      <c r="N224" s="8"/>
      <c r="O224" s="70"/>
      <c r="P224" s="64"/>
      <c r="Q224" s="64"/>
    </row>
    <row r="225" spans="2:17" s="241" customFormat="1" ht="13.5" thickBot="1" x14ac:dyDescent="0.25">
      <c r="B225" s="362"/>
      <c r="C225" s="364"/>
      <c r="D225" s="365"/>
      <c r="E225" s="366"/>
      <c r="F225" s="133"/>
      <c r="G225" s="134"/>
      <c r="H225" s="179">
        <f t="shared" ref="H225" si="130">P231</f>
        <v>1</v>
      </c>
      <c r="I225" s="135"/>
      <c r="J225" s="180">
        <f t="shared" ref="J225" si="131">(SUM(K229:K230))+(SUM(I235:I239))</f>
        <v>0</v>
      </c>
      <c r="K225" s="181">
        <f t="shared" ref="K225" si="132">IF(F226="No",Q226,Q225)</f>
        <v>0</v>
      </c>
      <c r="L225" s="182">
        <f t="shared" ref="L225" si="133">SUM(J225:K225)</f>
        <v>0</v>
      </c>
      <c r="M225" s="8"/>
      <c r="N225" s="172">
        <f t="shared" ref="N225" si="134">IF(ISNUMBER(L225),L225,0)</f>
        <v>0</v>
      </c>
      <c r="O225" s="64"/>
      <c r="P225" s="64" t="s">
        <v>204</v>
      </c>
      <c r="Q225" s="64">
        <f>IF(F225="Exempt all taxes",0,(J225*FICA)+(J225*Medicare))</f>
        <v>0</v>
      </c>
    </row>
    <row r="226" spans="2:17" s="241" customFormat="1" ht="13.5" thickBot="1" x14ac:dyDescent="0.25">
      <c r="B226" s="362"/>
      <c r="C226" s="367" t="s">
        <v>206</v>
      </c>
      <c r="D226" s="368"/>
      <c r="E226" s="369"/>
      <c r="F226" s="370"/>
      <c r="G226" s="371"/>
      <c r="H226" s="183"/>
      <c r="I226" s="172"/>
      <c r="J226" s="30"/>
      <c r="K226" s="184"/>
      <c r="L226" s="185"/>
      <c r="M226" s="87"/>
      <c r="N226" s="64"/>
      <c r="O226" s="64"/>
      <c r="P226" s="64" t="s">
        <v>205</v>
      </c>
      <c r="Q226" s="64">
        <f>IF(J225&gt;=SUTA_Max,((FUTA_Max*FUTA)+(SUTA_Max*I225)+(J225*FICA)+(J225*Medicare)),IF(J225&gt;=FUTA_Max,((FUTA_Max*FUTA)+(J225*I225)+(J225*FICA)+(J225*Medicare)),IF(J225&lt;FUTA_Max,(J225*Total_Tax+I225))))</f>
        <v>0</v>
      </c>
    </row>
    <row r="227" spans="2:17" s="241" customFormat="1" ht="13.5" thickBot="1" x14ac:dyDescent="0.25">
      <c r="B227" s="362"/>
      <c r="C227" s="372"/>
      <c r="D227" s="373"/>
      <c r="E227" s="373"/>
      <c r="F227" s="373"/>
      <c r="G227" s="373"/>
      <c r="H227" s="373"/>
      <c r="I227" s="373"/>
      <c r="J227" s="373"/>
      <c r="K227" s="373"/>
      <c r="L227" s="374"/>
      <c r="M227" s="87"/>
      <c r="N227" s="64"/>
      <c r="O227" s="64"/>
      <c r="P227" s="64"/>
      <c r="Q227" s="64"/>
    </row>
    <row r="228" spans="2:17" s="241" customFormat="1" ht="27" thickBot="1" x14ac:dyDescent="0.3">
      <c r="B228" s="362"/>
      <c r="C228" s="186" t="s">
        <v>53</v>
      </c>
      <c r="D228" s="63"/>
      <c r="E228" s="375"/>
      <c r="F228" s="376"/>
      <c r="G228" s="187" t="s">
        <v>48</v>
      </c>
      <c r="H228" s="188" t="s">
        <v>40</v>
      </c>
      <c r="I228" s="189" t="s">
        <v>45</v>
      </c>
      <c r="J228" s="189" t="s">
        <v>50</v>
      </c>
      <c r="K228" s="190" t="s">
        <v>41</v>
      </c>
      <c r="L228" s="185"/>
      <c r="M228" s="73"/>
      <c r="N228" s="64"/>
      <c r="O228" s="64"/>
      <c r="P228" s="64"/>
      <c r="Q228" s="64"/>
    </row>
    <row r="229" spans="2:17" s="241" customFormat="1" ht="13.5" thickBot="1" x14ac:dyDescent="0.25">
      <c r="B229" s="362"/>
      <c r="C229" s="248"/>
      <c r="D229" s="249"/>
      <c r="E229" s="377" t="str">
        <f>Service_Type</f>
        <v>Non-Priority</v>
      </c>
      <c r="F229" s="378"/>
      <c r="G229" s="74"/>
      <c r="H229" s="206"/>
      <c r="I229" s="191">
        <f t="shared" ref="I229" si="135">H225</f>
        <v>1</v>
      </c>
      <c r="J229" s="192"/>
      <c r="K229" s="193">
        <f t="shared" ref="K229" si="136">G229*H229*I229</f>
        <v>0</v>
      </c>
      <c r="L229" s="185"/>
      <c r="M229" s="131"/>
      <c r="N229" s="64" t="str">
        <f>IF(G229='Authorized Units &amp; Budget'!$D$15,"True","False")</f>
        <v>True</v>
      </c>
      <c r="O229" s="64"/>
      <c r="P229" s="64"/>
      <c r="Q229" s="64"/>
    </row>
    <row r="230" spans="2:17" s="241" customFormat="1" ht="13.5" thickBot="1" x14ac:dyDescent="0.25">
      <c r="B230" s="362"/>
      <c r="C230" s="248"/>
      <c r="D230" s="249"/>
      <c r="E230" s="379" t="s">
        <v>23</v>
      </c>
      <c r="F230" s="380"/>
      <c r="G230" s="74"/>
      <c r="H230" s="211"/>
      <c r="I230" s="194">
        <f t="shared" ref="I230" si="137">H225</f>
        <v>1</v>
      </c>
      <c r="J230" s="195">
        <f t="shared" ref="J230" si="138">H229*1.5</f>
        <v>0</v>
      </c>
      <c r="K230" s="196">
        <f t="shared" ref="K230" si="139">G230*I230*J230</f>
        <v>0</v>
      </c>
      <c r="L230" s="185"/>
      <c r="M230" s="131"/>
      <c r="N230" s="64"/>
      <c r="O230" s="64"/>
      <c r="P230" s="64"/>
      <c r="Q230" s="64"/>
    </row>
    <row r="231" spans="2:17" s="241" customFormat="1" x14ac:dyDescent="0.2">
      <c r="B231" s="362"/>
      <c r="C231" s="248"/>
      <c r="D231" s="381" t="s">
        <v>123</v>
      </c>
      <c r="E231" s="381"/>
      <c r="F231" s="381"/>
      <c r="G231" s="381"/>
      <c r="H231" s="381"/>
      <c r="I231" s="381"/>
      <c r="J231" s="381"/>
      <c r="K231" s="381"/>
      <c r="L231" s="197"/>
      <c r="M231" s="131"/>
      <c r="N231" s="64"/>
      <c r="O231" s="64">
        <f t="shared" ref="O231" si="140">(G225-F225)+1</f>
        <v>1</v>
      </c>
      <c r="P231" s="64">
        <f t="shared" ref="P231" si="141">IF(OR(O231=366,O231=365),52,(ROUNDUP(O231/7,0)))</f>
        <v>1</v>
      </c>
      <c r="Q231" s="64"/>
    </row>
    <row r="232" spans="2:17" s="241" customFormat="1" x14ac:dyDescent="0.2">
      <c r="B232" s="362"/>
      <c r="C232" s="198"/>
      <c r="D232" s="381"/>
      <c r="E232" s="381"/>
      <c r="F232" s="381"/>
      <c r="G232" s="381"/>
      <c r="H232" s="381"/>
      <c r="I232" s="381"/>
      <c r="J232" s="381"/>
      <c r="K232" s="381"/>
      <c r="L232" s="197"/>
      <c r="M232" s="131"/>
      <c r="N232" s="8"/>
      <c r="O232" s="64"/>
      <c r="P232" s="64"/>
      <c r="Q232" s="64"/>
    </row>
    <row r="233" spans="2:17" s="241" customFormat="1" ht="13.5" thickBot="1" x14ac:dyDescent="0.25">
      <c r="B233" s="362"/>
      <c r="C233" s="246"/>
      <c r="D233" s="5"/>
      <c r="E233" s="5"/>
      <c r="F233" s="5"/>
      <c r="G233" s="5"/>
      <c r="H233" s="5"/>
      <c r="I233" s="5"/>
      <c r="J233" s="5"/>
      <c r="K233" s="5"/>
      <c r="L233" s="199"/>
      <c r="M233" s="131"/>
      <c r="N233" s="8"/>
      <c r="O233" s="64"/>
      <c r="P233" s="64"/>
      <c r="Q233" s="64"/>
    </row>
    <row r="234" spans="2:17" s="241" customFormat="1" ht="27" thickBot="1" x14ac:dyDescent="0.3">
      <c r="B234" s="362"/>
      <c r="C234" s="186" t="s">
        <v>54</v>
      </c>
      <c r="D234" s="63"/>
      <c r="E234" s="382"/>
      <c r="F234" s="383"/>
      <c r="G234" s="200" t="s">
        <v>49</v>
      </c>
      <c r="H234" s="201" t="s">
        <v>55</v>
      </c>
      <c r="I234" s="202" t="s">
        <v>41</v>
      </c>
      <c r="J234" s="249"/>
      <c r="K234" s="249"/>
      <c r="L234" s="185"/>
      <c r="M234" s="252"/>
      <c r="N234" s="71"/>
      <c r="O234" s="71"/>
      <c r="P234" s="71"/>
      <c r="Q234" s="64"/>
    </row>
    <row r="235" spans="2:17" s="241" customFormat="1" ht="13.5" thickBot="1" x14ac:dyDescent="0.25">
      <c r="B235" s="362"/>
      <c r="C235" s="246"/>
      <c r="D235" s="249"/>
      <c r="E235" s="384" t="s">
        <v>27</v>
      </c>
      <c r="F235" s="385"/>
      <c r="G235" s="136"/>
      <c r="H235" s="137"/>
      <c r="I235" s="75">
        <f t="shared" ref="I235:I239" si="142">G235*H235</f>
        <v>0</v>
      </c>
      <c r="J235" s="249"/>
      <c r="K235" s="249"/>
      <c r="L235" s="185"/>
      <c r="M235" s="131"/>
      <c r="N235" s="8"/>
      <c r="O235" s="70"/>
      <c r="P235" s="64"/>
      <c r="Q235" s="64"/>
    </row>
    <row r="236" spans="2:17" s="241" customFormat="1" ht="13.5" thickBot="1" x14ac:dyDescent="0.25">
      <c r="B236" s="362"/>
      <c r="C236" s="246"/>
      <c r="D236" s="249"/>
      <c r="E236" s="386" t="s">
        <v>24</v>
      </c>
      <c r="F236" s="387"/>
      <c r="G236" s="138"/>
      <c r="H236" s="139"/>
      <c r="I236" s="75">
        <f t="shared" si="142"/>
        <v>0</v>
      </c>
      <c r="J236" s="249"/>
      <c r="K236" s="249"/>
      <c r="L236" s="185"/>
      <c r="M236" s="8"/>
      <c r="N236" s="8"/>
      <c r="O236" s="64"/>
      <c r="P236" s="64"/>
      <c r="Q236" s="64"/>
    </row>
    <row r="237" spans="2:17" s="241" customFormat="1" ht="13.5" thickBot="1" x14ac:dyDescent="0.25">
      <c r="B237" s="362"/>
      <c r="C237" s="246"/>
      <c r="D237" s="249"/>
      <c r="E237" s="386" t="s">
        <v>25</v>
      </c>
      <c r="F237" s="387"/>
      <c r="G237" s="138"/>
      <c r="H237" s="139"/>
      <c r="I237" s="75">
        <f t="shared" si="142"/>
        <v>0</v>
      </c>
      <c r="J237" s="249"/>
      <c r="K237" s="249"/>
      <c r="L237" s="185"/>
      <c r="M237" s="131"/>
      <c r="N237" s="64"/>
      <c r="O237" s="64"/>
      <c r="P237" s="64"/>
      <c r="Q237" s="64"/>
    </row>
    <row r="238" spans="2:17" s="241" customFormat="1" ht="13.5" thickBot="1" x14ac:dyDescent="0.25">
      <c r="B238" s="362"/>
      <c r="C238" s="246"/>
      <c r="D238" s="249"/>
      <c r="E238" s="388" t="s">
        <v>26</v>
      </c>
      <c r="F238" s="389"/>
      <c r="G238" s="138"/>
      <c r="H238" s="139"/>
      <c r="I238" s="75">
        <f t="shared" si="142"/>
        <v>0</v>
      </c>
      <c r="J238" s="249"/>
      <c r="K238" s="249"/>
      <c r="L238" s="185"/>
      <c r="M238" s="131"/>
      <c r="N238" s="8"/>
      <c r="O238" s="64"/>
      <c r="P238" s="64"/>
      <c r="Q238" s="64"/>
    </row>
    <row r="239" spans="2:17" s="241" customFormat="1" ht="13.5" thickBot="1" x14ac:dyDescent="0.25">
      <c r="B239" s="363"/>
      <c r="C239" s="203"/>
      <c r="D239" s="247"/>
      <c r="E239" s="390" t="s">
        <v>51</v>
      </c>
      <c r="F239" s="391"/>
      <c r="G239" s="140"/>
      <c r="H239" s="141"/>
      <c r="I239" s="204">
        <f t="shared" si="142"/>
        <v>0</v>
      </c>
      <c r="J239" s="247"/>
      <c r="K239" s="205"/>
      <c r="L239" s="182"/>
      <c r="M239" s="131"/>
      <c r="N239" s="64"/>
      <c r="O239" s="64"/>
      <c r="P239" s="64"/>
      <c r="Q239" s="64"/>
    </row>
    <row r="240" spans="2:17" s="241" customFormat="1" ht="13.5" thickBot="1" x14ac:dyDescent="0.25">
      <c r="B240" s="132"/>
      <c r="C240" s="73"/>
      <c r="D240" s="8"/>
      <c r="E240" s="234"/>
      <c r="F240" s="234"/>
      <c r="G240" s="235"/>
      <c r="H240" s="236"/>
      <c r="I240" s="172"/>
      <c r="J240" s="237"/>
      <c r="K240" s="238"/>
      <c r="L240" s="238"/>
      <c r="M240" s="131"/>
      <c r="N240" s="8"/>
      <c r="O240" s="8"/>
      <c r="P240" s="8"/>
      <c r="Q240" s="8"/>
    </row>
    <row r="241" spans="2:17" s="241" customFormat="1" ht="26.25" thickBot="1" x14ac:dyDescent="0.25">
      <c r="B241" s="361">
        <v>14</v>
      </c>
      <c r="C241" s="174" t="s">
        <v>121</v>
      </c>
      <c r="D241" s="251"/>
      <c r="E241" s="175"/>
      <c r="F241" s="175" t="s">
        <v>46</v>
      </c>
      <c r="G241" s="175" t="s">
        <v>47</v>
      </c>
      <c r="H241" s="250" t="s">
        <v>107</v>
      </c>
      <c r="I241" s="175" t="s">
        <v>52</v>
      </c>
      <c r="J241" s="176" t="s">
        <v>42</v>
      </c>
      <c r="K241" s="177" t="s">
        <v>43</v>
      </c>
      <c r="L241" s="178" t="s">
        <v>44</v>
      </c>
      <c r="M241" s="131"/>
      <c r="N241" s="8"/>
      <c r="O241" s="70"/>
      <c r="P241" s="64"/>
      <c r="Q241" s="64"/>
    </row>
    <row r="242" spans="2:17" s="241" customFormat="1" ht="13.5" thickBot="1" x14ac:dyDescent="0.25">
      <c r="B242" s="362"/>
      <c r="C242" s="364"/>
      <c r="D242" s="365"/>
      <c r="E242" s="366"/>
      <c r="F242" s="133"/>
      <c r="G242" s="134"/>
      <c r="H242" s="179">
        <f t="shared" ref="H242" si="143">P248</f>
        <v>1</v>
      </c>
      <c r="I242" s="135"/>
      <c r="J242" s="180">
        <f t="shared" ref="J242" si="144">(SUM(K246:K247))+(SUM(I252:I256))</f>
        <v>0</v>
      </c>
      <c r="K242" s="181">
        <f t="shared" ref="K242" si="145">IF(F243="No",Q243,Q242)</f>
        <v>0</v>
      </c>
      <c r="L242" s="182">
        <f t="shared" ref="L242" si="146">SUM(J242:K242)</f>
        <v>0</v>
      </c>
      <c r="M242" s="8"/>
      <c r="N242" s="172">
        <f t="shared" ref="N242" si="147">IF(ISNUMBER(L242),L242,0)</f>
        <v>0</v>
      </c>
      <c r="O242" s="64"/>
      <c r="P242" s="64" t="s">
        <v>204</v>
      </c>
      <c r="Q242" s="64">
        <f>IF(F242="Exempt all taxes",0,(J242*FICA)+(J242*Medicare))</f>
        <v>0</v>
      </c>
    </row>
    <row r="243" spans="2:17" s="241" customFormat="1" ht="13.5" thickBot="1" x14ac:dyDescent="0.25">
      <c r="B243" s="362"/>
      <c r="C243" s="367" t="s">
        <v>206</v>
      </c>
      <c r="D243" s="368"/>
      <c r="E243" s="369"/>
      <c r="F243" s="370"/>
      <c r="G243" s="371"/>
      <c r="H243" s="183"/>
      <c r="I243" s="172"/>
      <c r="J243" s="30"/>
      <c r="K243" s="184"/>
      <c r="L243" s="185"/>
      <c r="M243" s="87"/>
      <c r="N243" s="64"/>
      <c r="O243" s="64"/>
      <c r="P243" s="64" t="s">
        <v>205</v>
      </c>
      <c r="Q243" s="64">
        <f>IF(J242&gt;=SUTA_Max,((FUTA_Max*FUTA)+(SUTA_Max*I242)+(J242*FICA)+(J242*Medicare)),IF(J242&gt;=FUTA_Max,((FUTA_Max*FUTA)+(J242*I242)+(J242*FICA)+(J242*Medicare)),IF(J242&lt;FUTA_Max,(J242*Total_Tax+I242))))</f>
        <v>0</v>
      </c>
    </row>
    <row r="244" spans="2:17" s="241" customFormat="1" ht="13.5" thickBot="1" x14ac:dyDescent="0.25">
      <c r="B244" s="362"/>
      <c r="C244" s="372"/>
      <c r="D244" s="373"/>
      <c r="E244" s="373"/>
      <c r="F244" s="373"/>
      <c r="G244" s="373"/>
      <c r="H244" s="373"/>
      <c r="I244" s="373"/>
      <c r="J244" s="373"/>
      <c r="K244" s="373"/>
      <c r="L244" s="374"/>
      <c r="M244" s="87"/>
      <c r="N244" s="64"/>
      <c r="O244" s="64"/>
      <c r="P244" s="64"/>
      <c r="Q244" s="64"/>
    </row>
    <row r="245" spans="2:17" s="241" customFormat="1" ht="27" thickBot="1" x14ac:dyDescent="0.3">
      <c r="B245" s="362"/>
      <c r="C245" s="186" t="s">
        <v>53</v>
      </c>
      <c r="D245" s="63"/>
      <c r="E245" s="375"/>
      <c r="F245" s="376"/>
      <c r="G245" s="187" t="s">
        <v>48</v>
      </c>
      <c r="H245" s="188" t="s">
        <v>40</v>
      </c>
      <c r="I245" s="189" t="s">
        <v>45</v>
      </c>
      <c r="J245" s="189" t="s">
        <v>50</v>
      </c>
      <c r="K245" s="190" t="s">
        <v>41</v>
      </c>
      <c r="L245" s="185"/>
      <c r="M245" s="73"/>
      <c r="N245" s="64"/>
      <c r="O245" s="64"/>
      <c r="P245" s="64"/>
      <c r="Q245" s="64"/>
    </row>
    <row r="246" spans="2:17" s="241" customFormat="1" ht="13.5" thickBot="1" x14ac:dyDescent="0.25">
      <c r="B246" s="362"/>
      <c r="C246" s="248"/>
      <c r="D246" s="249"/>
      <c r="E246" s="377" t="str">
        <f>Service_Type</f>
        <v>Non-Priority</v>
      </c>
      <c r="F246" s="378"/>
      <c r="G246" s="74"/>
      <c r="H246" s="206"/>
      <c r="I246" s="191">
        <f t="shared" ref="I246" si="148">H242</f>
        <v>1</v>
      </c>
      <c r="J246" s="192"/>
      <c r="K246" s="193">
        <f t="shared" ref="K246" si="149">G246*H246*I246</f>
        <v>0</v>
      </c>
      <c r="L246" s="185"/>
      <c r="M246" s="131"/>
      <c r="N246" s="64" t="str">
        <f>IF(G246='Authorized Units &amp; Budget'!$D$15,"True","False")</f>
        <v>True</v>
      </c>
      <c r="O246" s="64"/>
      <c r="P246" s="64"/>
      <c r="Q246" s="64"/>
    </row>
    <row r="247" spans="2:17" s="241" customFormat="1" ht="13.5" thickBot="1" x14ac:dyDescent="0.25">
      <c r="B247" s="362"/>
      <c r="C247" s="248"/>
      <c r="D247" s="249"/>
      <c r="E247" s="379" t="s">
        <v>23</v>
      </c>
      <c r="F247" s="380"/>
      <c r="G247" s="74"/>
      <c r="H247" s="211"/>
      <c r="I247" s="194">
        <f t="shared" ref="I247" si="150">H242</f>
        <v>1</v>
      </c>
      <c r="J247" s="195">
        <f t="shared" ref="J247" si="151">H246*1.5</f>
        <v>0</v>
      </c>
      <c r="K247" s="196">
        <f t="shared" ref="K247" si="152">G247*I247*J247</f>
        <v>0</v>
      </c>
      <c r="L247" s="185"/>
      <c r="M247" s="131"/>
      <c r="N247" s="64"/>
      <c r="O247" s="64"/>
      <c r="P247" s="64"/>
      <c r="Q247" s="64"/>
    </row>
    <row r="248" spans="2:17" s="241" customFormat="1" x14ac:dyDescent="0.2">
      <c r="B248" s="362"/>
      <c r="C248" s="248"/>
      <c r="D248" s="381" t="s">
        <v>123</v>
      </c>
      <c r="E248" s="381"/>
      <c r="F248" s="381"/>
      <c r="G248" s="381"/>
      <c r="H248" s="381"/>
      <c r="I248" s="381"/>
      <c r="J248" s="381"/>
      <c r="K248" s="381"/>
      <c r="L248" s="197"/>
      <c r="M248" s="131"/>
      <c r="N248" s="64"/>
      <c r="O248" s="64">
        <f t="shared" ref="O248" si="153">(G242-F242)+1</f>
        <v>1</v>
      </c>
      <c r="P248" s="64">
        <f t="shared" ref="P248" si="154">IF(OR(O248=366,O248=365),52,(ROUNDUP(O248/7,0)))</f>
        <v>1</v>
      </c>
      <c r="Q248" s="64"/>
    </row>
    <row r="249" spans="2:17" s="241" customFormat="1" x14ac:dyDescent="0.2">
      <c r="B249" s="362"/>
      <c r="C249" s="198"/>
      <c r="D249" s="381"/>
      <c r="E249" s="381"/>
      <c r="F249" s="381"/>
      <c r="G249" s="381"/>
      <c r="H249" s="381"/>
      <c r="I249" s="381"/>
      <c r="J249" s="381"/>
      <c r="K249" s="381"/>
      <c r="L249" s="197"/>
      <c r="M249" s="131"/>
      <c r="N249" s="8"/>
      <c r="O249" s="64"/>
      <c r="P249" s="64"/>
      <c r="Q249" s="64"/>
    </row>
    <row r="250" spans="2:17" s="241" customFormat="1" ht="13.5" thickBot="1" x14ac:dyDescent="0.25">
      <c r="B250" s="362"/>
      <c r="C250" s="246"/>
      <c r="D250" s="5"/>
      <c r="E250" s="5"/>
      <c r="F250" s="5"/>
      <c r="G250" s="5"/>
      <c r="H250" s="5"/>
      <c r="I250" s="5"/>
      <c r="J250" s="5"/>
      <c r="K250" s="5"/>
      <c r="L250" s="199"/>
      <c r="M250" s="131"/>
      <c r="N250" s="8"/>
      <c r="O250" s="64"/>
      <c r="P250" s="64"/>
      <c r="Q250" s="64"/>
    </row>
    <row r="251" spans="2:17" s="241" customFormat="1" ht="27" thickBot="1" x14ac:dyDescent="0.3">
      <c r="B251" s="362"/>
      <c r="C251" s="186" t="s">
        <v>54</v>
      </c>
      <c r="D251" s="63"/>
      <c r="E251" s="382"/>
      <c r="F251" s="383"/>
      <c r="G251" s="200" t="s">
        <v>49</v>
      </c>
      <c r="H251" s="201" t="s">
        <v>55</v>
      </c>
      <c r="I251" s="202" t="s">
        <v>41</v>
      </c>
      <c r="J251" s="249"/>
      <c r="K251" s="249"/>
      <c r="L251" s="185"/>
      <c r="M251" s="252"/>
      <c r="N251" s="71"/>
      <c r="O251" s="71"/>
      <c r="P251" s="71"/>
      <c r="Q251" s="64"/>
    </row>
    <row r="252" spans="2:17" s="241" customFormat="1" ht="13.5" thickBot="1" x14ac:dyDescent="0.25">
      <c r="B252" s="362"/>
      <c r="C252" s="246"/>
      <c r="D252" s="249"/>
      <c r="E252" s="384" t="s">
        <v>27</v>
      </c>
      <c r="F252" s="385"/>
      <c r="G252" s="136"/>
      <c r="H252" s="137"/>
      <c r="I252" s="75">
        <f t="shared" ref="I252:I256" si="155">G252*H252</f>
        <v>0</v>
      </c>
      <c r="J252" s="249"/>
      <c r="K252" s="249"/>
      <c r="L252" s="185"/>
      <c r="M252" s="131"/>
      <c r="N252" s="8"/>
      <c r="O252" s="70"/>
      <c r="P252" s="64"/>
      <c r="Q252" s="64"/>
    </row>
    <row r="253" spans="2:17" s="241" customFormat="1" ht="13.5" thickBot="1" x14ac:dyDescent="0.25">
      <c r="B253" s="362"/>
      <c r="C253" s="246"/>
      <c r="D253" s="249"/>
      <c r="E253" s="386" t="s">
        <v>24</v>
      </c>
      <c r="F253" s="387"/>
      <c r="G253" s="138"/>
      <c r="H253" s="139"/>
      <c r="I253" s="75">
        <f t="shared" si="155"/>
        <v>0</v>
      </c>
      <c r="J253" s="249"/>
      <c r="K253" s="249"/>
      <c r="L253" s="185"/>
      <c r="M253" s="8"/>
      <c r="N253" s="8"/>
      <c r="O253" s="64"/>
      <c r="P253" s="64"/>
      <c r="Q253" s="64"/>
    </row>
    <row r="254" spans="2:17" s="241" customFormat="1" ht="13.5" thickBot="1" x14ac:dyDescent="0.25">
      <c r="B254" s="362"/>
      <c r="C254" s="246"/>
      <c r="D254" s="249"/>
      <c r="E254" s="386" t="s">
        <v>25</v>
      </c>
      <c r="F254" s="387"/>
      <c r="G254" s="138"/>
      <c r="H254" s="139"/>
      <c r="I254" s="75">
        <f t="shared" si="155"/>
        <v>0</v>
      </c>
      <c r="J254" s="249"/>
      <c r="K254" s="249"/>
      <c r="L254" s="185"/>
      <c r="M254" s="131"/>
      <c r="N254" s="64"/>
      <c r="O254" s="64"/>
      <c r="P254" s="64"/>
      <c r="Q254" s="64"/>
    </row>
    <row r="255" spans="2:17" s="241" customFormat="1" ht="13.5" thickBot="1" x14ac:dyDescent="0.25">
      <c r="B255" s="362"/>
      <c r="C255" s="246"/>
      <c r="D255" s="249"/>
      <c r="E255" s="388" t="s">
        <v>26</v>
      </c>
      <c r="F255" s="389"/>
      <c r="G255" s="138"/>
      <c r="H255" s="139"/>
      <c r="I255" s="75">
        <f t="shared" si="155"/>
        <v>0</v>
      </c>
      <c r="J255" s="249"/>
      <c r="K255" s="249"/>
      <c r="L255" s="185"/>
      <c r="M255" s="131"/>
      <c r="N255" s="8"/>
      <c r="O255" s="64"/>
      <c r="P255" s="64"/>
      <c r="Q255" s="64"/>
    </row>
    <row r="256" spans="2:17" s="241" customFormat="1" ht="13.5" thickBot="1" x14ac:dyDescent="0.25">
      <c r="B256" s="363"/>
      <c r="C256" s="203"/>
      <c r="D256" s="247"/>
      <c r="E256" s="390" t="s">
        <v>51</v>
      </c>
      <c r="F256" s="391"/>
      <c r="G256" s="140"/>
      <c r="H256" s="141"/>
      <c r="I256" s="204">
        <f t="shared" si="155"/>
        <v>0</v>
      </c>
      <c r="J256" s="247"/>
      <c r="K256" s="205"/>
      <c r="L256" s="182"/>
      <c r="M256" s="131"/>
      <c r="N256" s="64"/>
      <c r="O256" s="64"/>
      <c r="P256" s="64"/>
      <c r="Q256" s="64"/>
    </row>
    <row r="257" spans="2:17" s="241" customFormat="1" ht="13.5" thickBot="1" x14ac:dyDescent="0.25">
      <c r="B257" s="132"/>
      <c r="C257" s="73"/>
      <c r="D257" s="8"/>
      <c r="E257" s="234"/>
      <c r="F257" s="234"/>
      <c r="G257" s="235"/>
      <c r="H257" s="236"/>
      <c r="I257" s="172"/>
      <c r="J257" s="237"/>
      <c r="K257" s="238"/>
      <c r="L257" s="238"/>
      <c r="M257" s="131"/>
      <c r="N257" s="8"/>
      <c r="O257" s="8"/>
      <c r="P257" s="8"/>
      <c r="Q257" s="8"/>
    </row>
    <row r="258" spans="2:17" s="241" customFormat="1" ht="26.25" thickBot="1" x14ac:dyDescent="0.25">
      <c r="B258" s="361">
        <v>15</v>
      </c>
      <c r="C258" s="174" t="s">
        <v>121</v>
      </c>
      <c r="D258" s="251"/>
      <c r="E258" s="175"/>
      <c r="F258" s="175" t="s">
        <v>46</v>
      </c>
      <c r="G258" s="175" t="s">
        <v>47</v>
      </c>
      <c r="H258" s="250" t="s">
        <v>107</v>
      </c>
      <c r="I258" s="175" t="s">
        <v>52</v>
      </c>
      <c r="J258" s="176" t="s">
        <v>42</v>
      </c>
      <c r="K258" s="177" t="s">
        <v>43</v>
      </c>
      <c r="L258" s="178" t="s">
        <v>44</v>
      </c>
      <c r="M258" s="131"/>
      <c r="N258" s="8"/>
      <c r="O258" s="70"/>
      <c r="P258" s="64"/>
      <c r="Q258" s="64"/>
    </row>
    <row r="259" spans="2:17" s="241" customFormat="1" ht="13.5" thickBot="1" x14ac:dyDescent="0.25">
      <c r="B259" s="362"/>
      <c r="C259" s="364"/>
      <c r="D259" s="365"/>
      <c r="E259" s="366"/>
      <c r="F259" s="133"/>
      <c r="G259" s="134"/>
      <c r="H259" s="179">
        <f t="shared" ref="H259" si="156">P265</f>
        <v>1</v>
      </c>
      <c r="I259" s="135"/>
      <c r="J259" s="180">
        <f t="shared" ref="J259" si="157">(SUM(K263:K264))+(SUM(I269:I273))</f>
        <v>0</v>
      </c>
      <c r="K259" s="181">
        <f t="shared" ref="K259" si="158">IF(F260="No",Q260,Q259)</f>
        <v>0</v>
      </c>
      <c r="L259" s="182">
        <f t="shared" ref="L259" si="159">SUM(J259:K259)</f>
        <v>0</v>
      </c>
      <c r="M259" s="8"/>
      <c r="N259" s="172">
        <f t="shared" ref="N259" si="160">IF(ISNUMBER(L259),L259,0)</f>
        <v>0</v>
      </c>
      <c r="O259" s="64"/>
      <c r="P259" s="64" t="s">
        <v>204</v>
      </c>
      <c r="Q259" s="64">
        <f>IF(F259="Exempt all taxes",0,(J259*FICA)+(J259*Medicare))</f>
        <v>0</v>
      </c>
    </row>
    <row r="260" spans="2:17" s="241" customFormat="1" ht="13.5" thickBot="1" x14ac:dyDescent="0.25">
      <c r="B260" s="362"/>
      <c r="C260" s="367" t="s">
        <v>206</v>
      </c>
      <c r="D260" s="368"/>
      <c r="E260" s="369"/>
      <c r="F260" s="370"/>
      <c r="G260" s="371"/>
      <c r="H260" s="183"/>
      <c r="I260" s="172"/>
      <c r="J260" s="30"/>
      <c r="K260" s="184"/>
      <c r="L260" s="185"/>
      <c r="M260" s="87"/>
      <c r="N260" s="64"/>
      <c r="O260" s="64"/>
      <c r="P260" s="64" t="s">
        <v>205</v>
      </c>
      <c r="Q260" s="64">
        <f>IF(J259&gt;=SUTA_Max,((FUTA_Max*FUTA)+(SUTA_Max*I259)+(J259*FICA)+(J259*Medicare)),IF(J259&gt;=FUTA_Max,((FUTA_Max*FUTA)+(J259*I259)+(J259*FICA)+(J259*Medicare)),IF(J259&lt;FUTA_Max,(J259*Total_Tax+I259))))</f>
        <v>0</v>
      </c>
    </row>
    <row r="261" spans="2:17" s="241" customFormat="1" ht="13.5" thickBot="1" x14ac:dyDescent="0.25">
      <c r="B261" s="362"/>
      <c r="C261" s="372"/>
      <c r="D261" s="373"/>
      <c r="E261" s="373"/>
      <c r="F261" s="373"/>
      <c r="G261" s="373"/>
      <c r="H261" s="373"/>
      <c r="I261" s="373"/>
      <c r="J261" s="373"/>
      <c r="K261" s="373"/>
      <c r="L261" s="374"/>
      <c r="M261" s="87"/>
      <c r="N261" s="64"/>
      <c r="O261" s="64"/>
      <c r="P261" s="64"/>
      <c r="Q261" s="64"/>
    </row>
    <row r="262" spans="2:17" s="241" customFormat="1" ht="27" thickBot="1" x14ac:dyDescent="0.3">
      <c r="B262" s="362"/>
      <c r="C262" s="186" t="s">
        <v>53</v>
      </c>
      <c r="D262" s="63"/>
      <c r="E262" s="375"/>
      <c r="F262" s="376"/>
      <c r="G262" s="187" t="s">
        <v>48</v>
      </c>
      <c r="H262" s="188" t="s">
        <v>40</v>
      </c>
      <c r="I262" s="189" t="s">
        <v>45</v>
      </c>
      <c r="J262" s="189" t="s">
        <v>50</v>
      </c>
      <c r="K262" s="190" t="s">
        <v>41</v>
      </c>
      <c r="L262" s="185"/>
      <c r="M262" s="73"/>
      <c r="N262" s="64"/>
      <c r="O262" s="64"/>
      <c r="P262" s="64"/>
      <c r="Q262" s="64"/>
    </row>
    <row r="263" spans="2:17" s="241" customFormat="1" ht="13.5" thickBot="1" x14ac:dyDescent="0.25">
      <c r="B263" s="362"/>
      <c r="C263" s="248"/>
      <c r="D263" s="249"/>
      <c r="E263" s="377" t="str">
        <f>Service_Type</f>
        <v>Non-Priority</v>
      </c>
      <c r="F263" s="378"/>
      <c r="G263" s="74"/>
      <c r="H263" s="206"/>
      <c r="I263" s="191">
        <f t="shared" ref="I263" si="161">H259</f>
        <v>1</v>
      </c>
      <c r="J263" s="192"/>
      <c r="K263" s="193">
        <f t="shared" ref="K263" si="162">G263*H263*I263</f>
        <v>0</v>
      </c>
      <c r="L263" s="185"/>
      <c r="M263" s="131"/>
      <c r="N263" s="64" t="str">
        <f>IF(G263='Authorized Units &amp; Budget'!$D$15,"True","False")</f>
        <v>True</v>
      </c>
      <c r="O263" s="64"/>
      <c r="P263" s="64"/>
      <c r="Q263" s="64"/>
    </row>
    <row r="264" spans="2:17" s="241" customFormat="1" ht="13.5" thickBot="1" x14ac:dyDescent="0.25">
      <c r="B264" s="362"/>
      <c r="C264" s="248"/>
      <c r="D264" s="249"/>
      <c r="E264" s="379" t="s">
        <v>23</v>
      </c>
      <c r="F264" s="380"/>
      <c r="G264" s="74"/>
      <c r="H264" s="211"/>
      <c r="I264" s="194">
        <f t="shared" ref="I264" si="163">H259</f>
        <v>1</v>
      </c>
      <c r="J264" s="195">
        <f t="shared" ref="J264" si="164">H263*1.5</f>
        <v>0</v>
      </c>
      <c r="K264" s="196">
        <f t="shared" ref="K264" si="165">G264*I264*J264</f>
        <v>0</v>
      </c>
      <c r="L264" s="185"/>
      <c r="M264" s="131"/>
      <c r="N264" s="64"/>
      <c r="O264" s="64"/>
      <c r="P264" s="64"/>
      <c r="Q264" s="64"/>
    </row>
    <row r="265" spans="2:17" s="241" customFormat="1" x14ac:dyDescent="0.2">
      <c r="B265" s="362"/>
      <c r="C265" s="248"/>
      <c r="D265" s="381" t="s">
        <v>123</v>
      </c>
      <c r="E265" s="381"/>
      <c r="F265" s="381"/>
      <c r="G265" s="381"/>
      <c r="H265" s="381"/>
      <c r="I265" s="381"/>
      <c r="J265" s="381"/>
      <c r="K265" s="381"/>
      <c r="L265" s="197"/>
      <c r="M265" s="131"/>
      <c r="N265" s="64"/>
      <c r="O265" s="64">
        <f t="shared" ref="O265" si="166">(G259-F259)+1</f>
        <v>1</v>
      </c>
      <c r="P265" s="64">
        <f t="shared" ref="P265" si="167">IF(OR(O265=366,O265=365),52,(ROUNDUP(O265/7,0)))</f>
        <v>1</v>
      </c>
      <c r="Q265" s="64"/>
    </row>
    <row r="266" spans="2:17" s="241" customFormat="1" x14ac:dyDescent="0.2">
      <c r="B266" s="362"/>
      <c r="C266" s="198"/>
      <c r="D266" s="381"/>
      <c r="E266" s="381"/>
      <c r="F266" s="381"/>
      <c r="G266" s="381"/>
      <c r="H266" s="381"/>
      <c r="I266" s="381"/>
      <c r="J266" s="381"/>
      <c r="K266" s="381"/>
      <c r="L266" s="197"/>
      <c r="M266" s="131"/>
      <c r="N266" s="8"/>
      <c r="O266" s="64"/>
      <c r="P266" s="64"/>
      <c r="Q266" s="64"/>
    </row>
    <row r="267" spans="2:17" s="241" customFormat="1" ht="13.5" thickBot="1" x14ac:dyDescent="0.25">
      <c r="B267" s="362"/>
      <c r="C267" s="246"/>
      <c r="D267" s="5"/>
      <c r="E267" s="5"/>
      <c r="F267" s="5"/>
      <c r="G267" s="5"/>
      <c r="H267" s="5"/>
      <c r="I267" s="5"/>
      <c r="J267" s="5"/>
      <c r="K267" s="5"/>
      <c r="L267" s="199"/>
      <c r="M267" s="131"/>
      <c r="N267" s="8"/>
      <c r="O267" s="64"/>
      <c r="P267" s="64"/>
      <c r="Q267" s="64"/>
    </row>
    <row r="268" spans="2:17" s="241" customFormat="1" ht="27" thickBot="1" x14ac:dyDescent="0.3">
      <c r="B268" s="362"/>
      <c r="C268" s="186" t="s">
        <v>54</v>
      </c>
      <c r="D268" s="63"/>
      <c r="E268" s="382"/>
      <c r="F268" s="383"/>
      <c r="G268" s="200" t="s">
        <v>49</v>
      </c>
      <c r="H268" s="201" t="s">
        <v>55</v>
      </c>
      <c r="I268" s="202" t="s">
        <v>41</v>
      </c>
      <c r="J268" s="249"/>
      <c r="K268" s="249"/>
      <c r="L268" s="185"/>
      <c r="M268" s="252"/>
      <c r="N268" s="71"/>
      <c r="O268" s="71"/>
      <c r="P268" s="71"/>
      <c r="Q268" s="64"/>
    </row>
    <row r="269" spans="2:17" s="241" customFormat="1" ht="13.5" thickBot="1" x14ac:dyDescent="0.25">
      <c r="B269" s="362"/>
      <c r="C269" s="246"/>
      <c r="D269" s="249"/>
      <c r="E269" s="384" t="s">
        <v>27</v>
      </c>
      <c r="F269" s="385"/>
      <c r="G269" s="136"/>
      <c r="H269" s="137"/>
      <c r="I269" s="75">
        <f t="shared" ref="I269:I273" si="168">G269*H269</f>
        <v>0</v>
      </c>
      <c r="J269" s="249"/>
      <c r="K269" s="249"/>
      <c r="L269" s="185"/>
      <c r="M269" s="131"/>
      <c r="N269" s="8"/>
      <c r="O269" s="70"/>
      <c r="P269" s="64"/>
      <c r="Q269" s="64"/>
    </row>
    <row r="270" spans="2:17" s="241" customFormat="1" ht="13.5" thickBot="1" x14ac:dyDescent="0.25">
      <c r="B270" s="362"/>
      <c r="C270" s="246"/>
      <c r="D270" s="249"/>
      <c r="E270" s="386" t="s">
        <v>24</v>
      </c>
      <c r="F270" s="387"/>
      <c r="G270" s="138"/>
      <c r="H270" s="139"/>
      <c r="I270" s="75">
        <f t="shared" si="168"/>
        <v>0</v>
      </c>
      <c r="J270" s="249"/>
      <c r="K270" s="249"/>
      <c r="L270" s="185"/>
      <c r="M270" s="8"/>
      <c r="N270" s="8"/>
      <c r="O270" s="64"/>
      <c r="P270" s="64"/>
      <c r="Q270" s="64"/>
    </row>
    <row r="271" spans="2:17" s="241" customFormat="1" ht="13.5" thickBot="1" x14ac:dyDescent="0.25">
      <c r="B271" s="362"/>
      <c r="C271" s="246"/>
      <c r="D271" s="249"/>
      <c r="E271" s="386" t="s">
        <v>25</v>
      </c>
      <c r="F271" s="387"/>
      <c r="G271" s="138"/>
      <c r="H271" s="139"/>
      <c r="I271" s="75">
        <f t="shared" si="168"/>
        <v>0</v>
      </c>
      <c r="J271" s="249"/>
      <c r="K271" s="249"/>
      <c r="L271" s="185"/>
      <c r="M271" s="131"/>
      <c r="N271" s="64"/>
      <c r="O271" s="64"/>
      <c r="P271" s="64"/>
      <c r="Q271" s="64"/>
    </row>
    <row r="272" spans="2:17" s="241" customFormat="1" ht="13.5" thickBot="1" x14ac:dyDescent="0.25">
      <c r="B272" s="362"/>
      <c r="C272" s="246"/>
      <c r="D272" s="249"/>
      <c r="E272" s="388" t="s">
        <v>26</v>
      </c>
      <c r="F272" s="389"/>
      <c r="G272" s="138"/>
      <c r="H272" s="139"/>
      <c r="I272" s="75">
        <f t="shared" si="168"/>
        <v>0</v>
      </c>
      <c r="J272" s="249"/>
      <c r="K272" s="249"/>
      <c r="L272" s="185"/>
      <c r="M272" s="131"/>
      <c r="N272" s="8"/>
      <c r="O272" s="64"/>
      <c r="P272" s="64"/>
      <c r="Q272" s="64"/>
    </row>
    <row r="273" spans="2:17" s="241" customFormat="1" ht="13.5" thickBot="1" x14ac:dyDescent="0.25">
      <c r="B273" s="363"/>
      <c r="C273" s="203"/>
      <c r="D273" s="247"/>
      <c r="E273" s="390" t="s">
        <v>51</v>
      </c>
      <c r="F273" s="391"/>
      <c r="G273" s="140"/>
      <c r="H273" s="141"/>
      <c r="I273" s="204">
        <f t="shared" si="168"/>
        <v>0</v>
      </c>
      <c r="J273" s="247"/>
      <c r="K273" s="205"/>
      <c r="L273" s="182"/>
      <c r="M273" s="131"/>
      <c r="N273" s="64"/>
      <c r="O273" s="64"/>
      <c r="P273" s="64"/>
      <c r="Q273" s="64"/>
    </row>
    <row r="274" spans="2:17" s="241" customFormat="1" ht="13.5" thickBot="1" x14ac:dyDescent="0.25">
      <c r="B274" s="132"/>
      <c r="C274" s="73"/>
      <c r="D274" s="8"/>
      <c r="E274" s="234"/>
      <c r="F274" s="234"/>
      <c r="G274" s="235"/>
      <c r="H274" s="236"/>
      <c r="I274" s="172"/>
      <c r="J274" s="237"/>
      <c r="K274" s="238"/>
      <c r="L274" s="238"/>
      <c r="M274" s="131"/>
      <c r="N274" s="8"/>
      <c r="O274" s="8"/>
      <c r="P274" s="8"/>
      <c r="Q274" s="8"/>
    </row>
    <row r="275" spans="2:17" s="241" customFormat="1" ht="26.25" thickBot="1" x14ac:dyDescent="0.25">
      <c r="B275" s="361">
        <v>16</v>
      </c>
      <c r="C275" s="174" t="s">
        <v>121</v>
      </c>
      <c r="D275" s="251"/>
      <c r="E275" s="175"/>
      <c r="F275" s="175" t="s">
        <v>46</v>
      </c>
      <c r="G275" s="175" t="s">
        <v>47</v>
      </c>
      <c r="H275" s="250" t="s">
        <v>107</v>
      </c>
      <c r="I275" s="175" t="s">
        <v>52</v>
      </c>
      <c r="J275" s="176" t="s">
        <v>42</v>
      </c>
      <c r="K275" s="177" t="s">
        <v>43</v>
      </c>
      <c r="L275" s="178" t="s">
        <v>44</v>
      </c>
      <c r="M275" s="131"/>
      <c r="N275" s="8"/>
      <c r="O275" s="70"/>
      <c r="P275" s="64"/>
      <c r="Q275" s="64"/>
    </row>
    <row r="276" spans="2:17" s="241" customFormat="1" ht="13.5" thickBot="1" x14ac:dyDescent="0.25">
      <c r="B276" s="362"/>
      <c r="C276" s="364"/>
      <c r="D276" s="365"/>
      <c r="E276" s="366"/>
      <c r="F276" s="133"/>
      <c r="G276" s="134"/>
      <c r="H276" s="179">
        <f t="shared" ref="H276" si="169">P282</f>
        <v>1</v>
      </c>
      <c r="I276" s="135"/>
      <c r="J276" s="180">
        <f t="shared" ref="J276" si="170">(SUM(K280:K281))+(SUM(I286:I290))</f>
        <v>0</v>
      </c>
      <c r="K276" s="181">
        <f t="shared" ref="K276" si="171">IF(F277="No",Q277,Q276)</f>
        <v>0</v>
      </c>
      <c r="L276" s="182">
        <f t="shared" ref="L276" si="172">SUM(J276:K276)</f>
        <v>0</v>
      </c>
      <c r="M276" s="8"/>
      <c r="N276" s="172">
        <f t="shared" ref="N276" si="173">IF(ISNUMBER(L276),L276,0)</f>
        <v>0</v>
      </c>
      <c r="O276" s="64"/>
      <c r="P276" s="64" t="s">
        <v>204</v>
      </c>
      <c r="Q276" s="64">
        <f>IF(F276="Exempt all taxes",0,(J276*FICA)+(J276*Medicare))</f>
        <v>0</v>
      </c>
    </row>
    <row r="277" spans="2:17" s="241" customFormat="1" ht="13.5" thickBot="1" x14ac:dyDescent="0.25">
      <c r="B277" s="362"/>
      <c r="C277" s="367" t="s">
        <v>206</v>
      </c>
      <c r="D277" s="368"/>
      <c r="E277" s="369"/>
      <c r="F277" s="370"/>
      <c r="G277" s="371"/>
      <c r="H277" s="183"/>
      <c r="I277" s="172"/>
      <c r="J277" s="30"/>
      <c r="K277" s="184"/>
      <c r="L277" s="185"/>
      <c r="M277" s="87"/>
      <c r="N277" s="64"/>
      <c r="O277" s="64"/>
      <c r="P277" s="64" t="s">
        <v>205</v>
      </c>
      <c r="Q277" s="64">
        <f>IF(J276&gt;=SUTA_Max,((FUTA_Max*FUTA)+(SUTA_Max*I276)+(J276*FICA)+(J276*Medicare)),IF(J276&gt;=FUTA_Max,((FUTA_Max*FUTA)+(J276*I276)+(J276*FICA)+(J276*Medicare)),IF(J276&lt;FUTA_Max,(J276*Total_Tax+I276))))</f>
        <v>0</v>
      </c>
    </row>
    <row r="278" spans="2:17" s="241" customFormat="1" ht="13.5" thickBot="1" x14ac:dyDescent="0.25">
      <c r="B278" s="362"/>
      <c r="C278" s="372"/>
      <c r="D278" s="373"/>
      <c r="E278" s="373"/>
      <c r="F278" s="373"/>
      <c r="G278" s="373"/>
      <c r="H278" s="373"/>
      <c r="I278" s="373"/>
      <c r="J278" s="373"/>
      <c r="K278" s="373"/>
      <c r="L278" s="374"/>
      <c r="M278" s="87"/>
      <c r="N278" s="64"/>
      <c r="O278" s="64"/>
      <c r="P278" s="64"/>
      <c r="Q278" s="64"/>
    </row>
    <row r="279" spans="2:17" s="241" customFormat="1" ht="27" thickBot="1" x14ac:dyDescent="0.3">
      <c r="B279" s="362"/>
      <c r="C279" s="186" t="s">
        <v>53</v>
      </c>
      <c r="D279" s="63"/>
      <c r="E279" s="375"/>
      <c r="F279" s="376"/>
      <c r="G279" s="187" t="s">
        <v>48</v>
      </c>
      <c r="H279" s="188" t="s">
        <v>40</v>
      </c>
      <c r="I279" s="189" t="s">
        <v>45</v>
      </c>
      <c r="J279" s="189" t="s">
        <v>50</v>
      </c>
      <c r="K279" s="190" t="s">
        <v>41</v>
      </c>
      <c r="L279" s="185"/>
      <c r="M279" s="73"/>
      <c r="N279" s="64"/>
      <c r="O279" s="64"/>
      <c r="P279" s="64"/>
      <c r="Q279" s="64"/>
    </row>
    <row r="280" spans="2:17" s="241" customFormat="1" ht="13.5" thickBot="1" x14ac:dyDescent="0.25">
      <c r="B280" s="362"/>
      <c r="C280" s="248"/>
      <c r="D280" s="249"/>
      <c r="E280" s="377" t="str">
        <f>Service_Type</f>
        <v>Non-Priority</v>
      </c>
      <c r="F280" s="378"/>
      <c r="G280" s="74"/>
      <c r="H280" s="206"/>
      <c r="I280" s="191">
        <f t="shared" ref="I280" si="174">H276</f>
        <v>1</v>
      </c>
      <c r="J280" s="192"/>
      <c r="K280" s="193">
        <f t="shared" ref="K280" si="175">G280*H280*I280</f>
        <v>0</v>
      </c>
      <c r="L280" s="185"/>
      <c r="M280" s="131"/>
      <c r="N280" s="64" t="str">
        <f>IF(G280='Authorized Units &amp; Budget'!$D$15,"True","False")</f>
        <v>True</v>
      </c>
      <c r="O280" s="64"/>
      <c r="P280" s="64"/>
      <c r="Q280" s="64"/>
    </row>
    <row r="281" spans="2:17" s="241" customFormat="1" ht="13.5" thickBot="1" x14ac:dyDescent="0.25">
      <c r="B281" s="362"/>
      <c r="C281" s="248"/>
      <c r="D281" s="249"/>
      <c r="E281" s="379" t="s">
        <v>23</v>
      </c>
      <c r="F281" s="380"/>
      <c r="G281" s="74"/>
      <c r="H281" s="211"/>
      <c r="I281" s="194">
        <f t="shared" ref="I281" si="176">H276</f>
        <v>1</v>
      </c>
      <c r="J281" s="195">
        <f t="shared" ref="J281" si="177">H280*1.5</f>
        <v>0</v>
      </c>
      <c r="K281" s="196">
        <f t="shared" ref="K281" si="178">G281*I281*J281</f>
        <v>0</v>
      </c>
      <c r="L281" s="185"/>
      <c r="M281" s="131"/>
      <c r="N281" s="64"/>
      <c r="O281" s="64"/>
      <c r="P281" s="64"/>
      <c r="Q281" s="64"/>
    </row>
    <row r="282" spans="2:17" s="241" customFormat="1" x14ac:dyDescent="0.2">
      <c r="B282" s="362"/>
      <c r="C282" s="248"/>
      <c r="D282" s="381" t="s">
        <v>123</v>
      </c>
      <c r="E282" s="381"/>
      <c r="F282" s="381"/>
      <c r="G282" s="381"/>
      <c r="H282" s="381"/>
      <c r="I282" s="381"/>
      <c r="J282" s="381"/>
      <c r="K282" s="381"/>
      <c r="L282" s="197"/>
      <c r="M282" s="131"/>
      <c r="N282" s="64"/>
      <c r="O282" s="64">
        <f t="shared" ref="O282" si="179">(G276-F276)+1</f>
        <v>1</v>
      </c>
      <c r="P282" s="64">
        <f t="shared" ref="P282" si="180">IF(OR(O282=366,O282=365),52,(ROUNDUP(O282/7,0)))</f>
        <v>1</v>
      </c>
      <c r="Q282" s="64"/>
    </row>
    <row r="283" spans="2:17" s="241" customFormat="1" x14ac:dyDescent="0.2">
      <c r="B283" s="362"/>
      <c r="C283" s="198"/>
      <c r="D283" s="381"/>
      <c r="E283" s="381"/>
      <c r="F283" s="381"/>
      <c r="G283" s="381"/>
      <c r="H283" s="381"/>
      <c r="I283" s="381"/>
      <c r="J283" s="381"/>
      <c r="K283" s="381"/>
      <c r="L283" s="197"/>
      <c r="M283" s="131"/>
      <c r="N283" s="8"/>
      <c r="O283" s="64"/>
      <c r="P283" s="64"/>
      <c r="Q283" s="64"/>
    </row>
    <row r="284" spans="2:17" s="241" customFormat="1" ht="13.5" thickBot="1" x14ac:dyDescent="0.25">
      <c r="B284" s="362"/>
      <c r="C284" s="246"/>
      <c r="D284" s="5"/>
      <c r="E284" s="5"/>
      <c r="F284" s="5"/>
      <c r="G284" s="5"/>
      <c r="H284" s="5"/>
      <c r="I284" s="5"/>
      <c r="J284" s="5"/>
      <c r="K284" s="5"/>
      <c r="L284" s="199"/>
      <c r="M284" s="131"/>
      <c r="N284" s="8"/>
      <c r="O284" s="64"/>
      <c r="P284" s="64"/>
      <c r="Q284" s="64"/>
    </row>
    <row r="285" spans="2:17" s="241" customFormat="1" ht="27" thickBot="1" x14ac:dyDescent="0.3">
      <c r="B285" s="362"/>
      <c r="C285" s="186" t="s">
        <v>54</v>
      </c>
      <c r="D285" s="63"/>
      <c r="E285" s="382"/>
      <c r="F285" s="383"/>
      <c r="G285" s="200" t="s">
        <v>49</v>
      </c>
      <c r="H285" s="201" t="s">
        <v>55</v>
      </c>
      <c r="I285" s="202" t="s">
        <v>41</v>
      </c>
      <c r="J285" s="249"/>
      <c r="K285" s="249"/>
      <c r="L285" s="185"/>
      <c r="M285" s="252"/>
      <c r="N285" s="71"/>
      <c r="O285" s="71"/>
      <c r="P285" s="71"/>
      <c r="Q285" s="64"/>
    </row>
    <row r="286" spans="2:17" s="241" customFormat="1" ht="13.5" thickBot="1" x14ac:dyDescent="0.25">
      <c r="B286" s="362"/>
      <c r="C286" s="246"/>
      <c r="D286" s="249"/>
      <c r="E286" s="384" t="s">
        <v>27</v>
      </c>
      <c r="F286" s="385"/>
      <c r="G286" s="136"/>
      <c r="H286" s="137"/>
      <c r="I286" s="75">
        <f t="shared" ref="I286:I290" si="181">G286*H286</f>
        <v>0</v>
      </c>
      <c r="J286" s="249"/>
      <c r="K286" s="249"/>
      <c r="L286" s="185"/>
      <c r="M286" s="131"/>
      <c r="N286" s="8"/>
      <c r="O286" s="70"/>
      <c r="P286" s="64"/>
      <c r="Q286" s="64"/>
    </row>
    <row r="287" spans="2:17" s="241" customFormat="1" ht="13.5" thickBot="1" x14ac:dyDescent="0.25">
      <c r="B287" s="362"/>
      <c r="C287" s="246"/>
      <c r="D287" s="249"/>
      <c r="E287" s="386" t="s">
        <v>24</v>
      </c>
      <c r="F287" s="387"/>
      <c r="G287" s="138"/>
      <c r="H287" s="139"/>
      <c r="I287" s="75">
        <f t="shared" si="181"/>
        <v>0</v>
      </c>
      <c r="J287" s="249"/>
      <c r="K287" s="249"/>
      <c r="L287" s="185"/>
      <c r="M287" s="8"/>
      <c r="N287" s="8"/>
      <c r="O287" s="64"/>
      <c r="P287" s="64"/>
      <c r="Q287" s="64"/>
    </row>
    <row r="288" spans="2:17" s="241" customFormat="1" ht="13.5" thickBot="1" x14ac:dyDescent="0.25">
      <c r="B288" s="362"/>
      <c r="C288" s="246"/>
      <c r="D288" s="249"/>
      <c r="E288" s="386" t="s">
        <v>25</v>
      </c>
      <c r="F288" s="387"/>
      <c r="G288" s="138"/>
      <c r="H288" s="139"/>
      <c r="I288" s="75">
        <f t="shared" si="181"/>
        <v>0</v>
      </c>
      <c r="J288" s="249"/>
      <c r="K288" s="249"/>
      <c r="L288" s="185"/>
      <c r="M288" s="131"/>
      <c r="N288" s="64"/>
      <c r="O288" s="64"/>
      <c r="P288" s="64"/>
      <c r="Q288" s="64"/>
    </row>
    <row r="289" spans="2:17" s="241" customFormat="1" ht="13.5" thickBot="1" x14ac:dyDescent="0.25">
      <c r="B289" s="362"/>
      <c r="C289" s="246"/>
      <c r="D289" s="249"/>
      <c r="E289" s="388" t="s">
        <v>26</v>
      </c>
      <c r="F289" s="389"/>
      <c r="G289" s="138"/>
      <c r="H289" s="139"/>
      <c r="I289" s="75">
        <f t="shared" si="181"/>
        <v>0</v>
      </c>
      <c r="J289" s="249"/>
      <c r="K289" s="249"/>
      <c r="L289" s="185"/>
      <c r="M289" s="131"/>
      <c r="N289" s="8"/>
      <c r="O289" s="64"/>
      <c r="P289" s="64"/>
      <c r="Q289" s="64"/>
    </row>
    <row r="290" spans="2:17" s="241" customFormat="1" ht="13.5" thickBot="1" x14ac:dyDescent="0.25">
      <c r="B290" s="363"/>
      <c r="C290" s="203"/>
      <c r="D290" s="247"/>
      <c r="E290" s="390" t="s">
        <v>51</v>
      </c>
      <c r="F290" s="391"/>
      <c r="G290" s="140"/>
      <c r="H290" s="141"/>
      <c r="I290" s="204">
        <f t="shared" si="181"/>
        <v>0</v>
      </c>
      <c r="J290" s="247"/>
      <c r="K290" s="205"/>
      <c r="L290" s="182"/>
      <c r="M290" s="131"/>
      <c r="N290" s="64"/>
      <c r="O290" s="64"/>
      <c r="P290" s="64"/>
      <c r="Q290" s="64"/>
    </row>
    <row r="291" spans="2:17" s="241" customFormat="1" ht="13.5" thickBot="1" x14ac:dyDescent="0.25">
      <c r="B291" s="132"/>
      <c r="C291" s="73"/>
      <c r="D291" s="8"/>
      <c r="E291" s="234"/>
      <c r="F291" s="234"/>
      <c r="G291" s="235"/>
      <c r="H291" s="236"/>
      <c r="I291" s="172"/>
      <c r="J291" s="237"/>
      <c r="K291" s="238"/>
      <c r="L291" s="238"/>
      <c r="M291" s="131"/>
      <c r="N291" s="8"/>
      <c r="O291" s="8"/>
      <c r="P291" s="8"/>
      <c r="Q291" s="8"/>
    </row>
    <row r="292" spans="2:17" s="241" customFormat="1" ht="26.25" thickBot="1" x14ac:dyDescent="0.25">
      <c r="B292" s="361">
        <v>17</v>
      </c>
      <c r="C292" s="174" t="s">
        <v>121</v>
      </c>
      <c r="D292" s="251"/>
      <c r="E292" s="175"/>
      <c r="F292" s="175" t="s">
        <v>46</v>
      </c>
      <c r="G292" s="175" t="s">
        <v>47</v>
      </c>
      <c r="H292" s="250" t="s">
        <v>107</v>
      </c>
      <c r="I292" s="175" t="s">
        <v>52</v>
      </c>
      <c r="J292" s="176" t="s">
        <v>42</v>
      </c>
      <c r="K292" s="177" t="s">
        <v>43</v>
      </c>
      <c r="L292" s="178" t="s">
        <v>44</v>
      </c>
      <c r="M292" s="131"/>
      <c r="N292" s="8"/>
      <c r="O292" s="70"/>
      <c r="P292" s="64"/>
      <c r="Q292" s="64"/>
    </row>
    <row r="293" spans="2:17" s="241" customFormat="1" ht="13.5" thickBot="1" x14ac:dyDescent="0.25">
      <c r="B293" s="362"/>
      <c r="C293" s="364"/>
      <c r="D293" s="365"/>
      <c r="E293" s="366"/>
      <c r="F293" s="133"/>
      <c r="G293" s="134"/>
      <c r="H293" s="179">
        <f t="shared" ref="H293" si="182">P299</f>
        <v>1</v>
      </c>
      <c r="I293" s="135"/>
      <c r="J293" s="180">
        <f t="shared" ref="J293" si="183">(SUM(K297:K298))+(SUM(I303:I307))</f>
        <v>0</v>
      </c>
      <c r="K293" s="181">
        <f t="shared" ref="K293" si="184">IF(F294="No",Q294,Q293)</f>
        <v>0</v>
      </c>
      <c r="L293" s="182">
        <f t="shared" ref="L293" si="185">SUM(J293:K293)</f>
        <v>0</v>
      </c>
      <c r="M293" s="8"/>
      <c r="N293" s="172">
        <f t="shared" ref="N293" si="186">IF(ISNUMBER(L293),L293,0)</f>
        <v>0</v>
      </c>
      <c r="O293" s="64"/>
      <c r="P293" s="64" t="s">
        <v>204</v>
      </c>
      <c r="Q293" s="64">
        <f>IF(F293="Exempt all taxes",0,(J293*FICA)+(J293*Medicare))</f>
        <v>0</v>
      </c>
    </row>
    <row r="294" spans="2:17" s="241" customFormat="1" ht="13.5" thickBot="1" x14ac:dyDescent="0.25">
      <c r="B294" s="362"/>
      <c r="C294" s="367" t="s">
        <v>206</v>
      </c>
      <c r="D294" s="368"/>
      <c r="E294" s="369"/>
      <c r="F294" s="370"/>
      <c r="G294" s="371"/>
      <c r="H294" s="183"/>
      <c r="I294" s="172"/>
      <c r="J294" s="30"/>
      <c r="K294" s="184"/>
      <c r="L294" s="185"/>
      <c r="M294" s="87"/>
      <c r="N294" s="64"/>
      <c r="O294" s="64"/>
      <c r="P294" s="64" t="s">
        <v>205</v>
      </c>
      <c r="Q294" s="64">
        <f>IF(J293&gt;=SUTA_Max,((FUTA_Max*FUTA)+(SUTA_Max*I293)+(J293*FICA)+(J293*Medicare)),IF(J293&gt;=FUTA_Max,((FUTA_Max*FUTA)+(J293*I293)+(J293*FICA)+(J293*Medicare)),IF(J293&lt;FUTA_Max,(J293*Total_Tax+I293))))</f>
        <v>0</v>
      </c>
    </row>
    <row r="295" spans="2:17" s="241" customFormat="1" ht="13.5" thickBot="1" x14ac:dyDescent="0.25">
      <c r="B295" s="362"/>
      <c r="C295" s="372"/>
      <c r="D295" s="373"/>
      <c r="E295" s="373"/>
      <c r="F295" s="373"/>
      <c r="G295" s="373"/>
      <c r="H295" s="373"/>
      <c r="I295" s="373"/>
      <c r="J295" s="373"/>
      <c r="K295" s="373"/>
      <c r="L295" s="374"/>
      <c r="M295" s="87"/>
      <c r="N295" s="64"/>
      <c r="O295" s="64"/>
      <c r="P295" s="64"/>
      <c r="Q295" s="64"/>
    </row>
    <row r="296" spans="2:17" s="241" customFormat="1" ht="27" thickBot="1" x14ac:dyDescent="0.3">
      <c r="B296" s="362"/>
      <c r="C296" s="186" t="s">
        <v>53</v>
      </c>
      <c r="D296" s="63"/>
      <c r="E296" s="375"/>
      <c r="F296" s="376"/>
      <c r="G296" s="187" t="s">
        <v>48</v>
      </c>
      <c r="H296" s="188" t="s">
        <v>40</v>
      </c>
      <c r="I296" s="189" t="s">
        <v>45</v>
      </c>
      <c r="J296" s="189" t="s">
        <v>50</v>
      </c>
      <c r="K296" s="190" t="s">
        <v>41</v>
      </c>
      <c r="L296" s="185"/>
      <c r="M296" s="73"/>
      <c r="N296" s="64"/>
      <c r="O296" s="64"/>
      <c r="P296" s="64"/>
      <c r="Q296" s="64"/>
    </row>
    <row r="297" spans="2:17" s="241" customFormat="1" ht="13.5" thickBot="1" x14ac:dyDescent="0.25">
      <c r="B297" s="362"/>
      <c r="C297" s="248"/>
      <c r="D297" s="249"/>
      <c r="E297" s="377" t="str">
        <f>Service_Type</f>
        <v>Non-Priority</v>
      </c>
      <c r="F297" s="378"/>
      <c r="G297" s="74"/>
      <c r="H297" s="206"/>
      <c r="I297" s="191">
        <f t="shared" ref="I297" si="187">H293</f>
        <v>1</v>
      </c>
      <c r="J297" s="192"/>
      <c r="K297" s="193">
        <f t="shared" ref="K297" si="188">G297*H297*I297</f>
        <v>0</v>
      </c>
      <c r="L297" s="185"/>
      <c r="M297" s="131"/>
      <c r="N297" s="64" t="str">
        <f>IF(G297='Authorized Units &amp; Budget'!$D$15,"True","False")</f>
        <v>True</v>
      </c>
      <c r="O297" s="64"/>
      <c r="P297" s="64"/>
      <c r="Q297" s="64"/>
    </row>
    <row r="298" spans="2:17" s="241" customFormat="1" ht="13.5" thickBot="1" x14ac:dyDescent="0.25">
      <c r="B298" s="362"/>
      <c r="C298" s="248"/>
      <c r="D298" s="249"/>
      <c r="E298" s="379" t="s">
        <v>23</v>
      </c>
      <c r="F298" s="380"/>
      <c r="G298" s="74"/>
      <c r="H298" s="211"/>
      <c r="I298" s="194">
        <f t="shared" ref="I298" si="189">H293</f>
        <v>1</v>
      </c>
      <c r="J298" s="195">
        <f t="shared" ref="J298" si="190">H297*1.5</f>
        <v>0</v>
      </c>
      <c r="K298" s="196">
        <f t="shared" ref="K298" si="191">G298*I298*J298</f>
        <v>0</v>
      </c>
      <c r="L298" s="185"/>
      <c r="M298" s="131"/>
      <c r="N298" s="64"/>
      <c r="O298" s="64"/>
      <c r="P298" s="64"/>
      <c r="Q298" s="64"/>
    </row>
    <row r="299" spans="2:17" s="241" customFormat="1" x14ac:dyDescent="0.2">
      <c r="B299" s="362"/>
      <c r="C299" s="248"/>
      <c r="D299" s="381" t="s">
        <v>123</v>
      </c>
      <c r="E299" s="381"/>
      <c r="F299" s="381"/>
      <c r="G299" s="381"/>
      <c r="H299" s="381"/>
      <c r="I299" s="381"/>
      <c r="J299" s="381"/>
      <c r="K299" s="381"/>
      <c r="L299" s="197"/>
      <c r="M299" s="131"/>
      <c r="N299" s="64"/>
      <c r="O299" s="64">
        <f t="shared" ref="O299" si="192">(G293-F293)+1</f>
        <v>1</v>
      </c>
      <c r="P299" s="64">
        <f t="shared" ref="P299" si="193">IF(OR(O299=366,O299=365),52,(ROUNDUP(O299/7,0)))</f>
        <v>1</v>
      </c>
      <c r="Q299" s="64"/>
    </row>
    <row r="300" spans="2:17" s="241" customFormat="1" x14ac:dyDescent="0.2">
      <c r="B300" s="362"/>
      <c r="C300" s="198"/>
      <c r="D300" s="381"/>
      <c r="E300" s="381"/>
      <c r="F300" s="381"/>
      <c r="G300" s="381"/>
      <c r="H300" s="381"/>
      <c r="I300" s="381"/>
      <c r="J300" s="381"/>
      <c r="K300" s="381"/>
      <c r="L300" s="197"/>
      <c r="M300" s="131"/>
      <c r="N300" s="8"/>
      <c r="O300" s="64"/>
      <c r="P300" s="64"/>
      <c r="Q300" s="64"/>
    </row>
    <row r="301" spans="2:17" s="241" customFormat="1" ht="13.5" thickBot="1" x14ac:dyDescent="0.25">
      <c r="B301" s="362"/>
      <c r="C301" s="246"/>
      <c r="D301" s="5"/>
      <c r="E301" s="5"/>
      <c r="F301" s="5"/>
      <c r="G301" s="5"/>
      <c r="H301" s="5"/>
      <c r="I301" s="5"/>
      <c r="J301" s="5"/>
      <c r="K301" s="5"/>
      <c r="L301" s="199"/>
      <c r="M301" s="131"/>
      <c r="N301" s="8"/>
      <c r="O301" s="64"/>
      <c r="P301" s="64"/>
      <c r="Q301" s="64"/>
    </row>
    <row r="302" spans="2:17" s="241" customFormat="1" ht="27" thickBot="1" x14ac:dyDescent="0.3">
      <c r="B302" s="362"/>
      <c r="C302" s="186" t="s">
        <v>54</v>
      </c>
      <c r="D302" s="63"/>
      <c r="E302" s="382"/>
      <c r="F302" s="383"/>
      <c r="G302" s="200" t="s">
        <v>49</v>
      </c>
      <c r="H302" s="201" t="s">
        <v>55</v>
      </c>
      <c r="I302" s="202" t="s">
        <v>41</v>
      </c>
      <c r="J302" s="249"/>
      <c r="K302" s="249"/>
      <c r="L302" s="185"/>
      <c r="M302" s="252"/>
      <c r="N302" s="71"/>
      <c r="O302" s="71"/>
      <c r="P302" s="71"/>
      <c r="Q302" s="64"/>
    </row>
    <row r="303" spans="2:17" s="241" customFormat="1" ht="13.5" thickBot="1" x14ac:dyDescent="0.25">
      <c r="B303" s="362"/>
      <c r="C303" s="246"/>
      <c r="D303" s="249"/>
      <c r="E303" s="384" t="s">
        <v>27</v>
      </c>
      <c r="F303" s="385"/>
      <c r="G303" s="136"/>
      <c r="H303" s="137"/>
      <c r="I303" s="75">
        <f t="shared" ref="I303:I307" si="194">G303*H303</f>
        <v>0</v>
      </c>
      <c r="J303" s="249"/>
      <c r="K303" s="249"/>
      <c r="L303" s="185"/>
      <c r="M303" s="131"/>
      <c r="N303" s="8"/>
      <c r="O303" s="70"/>
      <c r="P303" s="64"/>
      <c r="Q303" s="64"/>
    </row>
    <row r="304" spans="2:17" s="241" customFormat="1" ht="13.5" thickBot="1" x14ac:dyDescent="0.25">
      <c r="B304" s="362"/>
      <c r="C304" s="246"/>
      <c r="D304" s="249"/>
      <c r="E304" s="386" t="s">
        <v>24</v>
      </c>
      <c r="F304" s="387"/>
      <c r="G304" s="138"/>
      <c r="H304" s="139"/>
      <c r="I304" s="75">
        <f t="shared" si="194"/>
        <v>0</v>
      </c>
      <c r="J304" s="249"/>
      <c r="K304" s="249"/>
      <c r="L304" s="185"/>
      <c r="M304" s="8"/>
      <c r="N304" s="8"/>
      <c r="O304" s="64"/>
      <c r="P304" s="64"/>
      <c r="Q304" s="64"/>
    </row>
    <row r="305" spans="2:17" s="241" customFormat="1" ht="13.5" thickBot="1" x14ac:dyDescent="0.25">
      <c r="B305" s="362"/>
      <c r="C305" s="246"/>
      <c r="D305" s="249"/>
      <c r="E305" s="386" t="s">
        <v>25</v>
      </c>
      <c r="F305" s="387"/>
      <c r="G305" s="138"/>
      <c r="H305" s="139"/>
      <c r="I305" s="75">
        <f t="shared" si="194"/>
        <v>0</v>
      </c>
      <c r="J305" s="249"/>
      <c r="K305" s="249"/>
      <c r="L305" s="185"/>
      <c r="M305" s="131"/>
      <c r="N305" s="64"/>
      <c r="O305" s="64"/>
      <c r="P305" s="64"/>
      <c r="Q305" s="64"/>
    </row>
    <row r="306" spans="2:17" s="241" customFormat="1" ht="13.5" thickBot="1" x14ac:dyDescent="0.25">
      <c r="B306" s="362"/>
      <c r="C306" s="246"/>
      <c r="D306" s="249"/>
      <c r="E306" s="388" t="s">
        <v>26</v>
      </c>
      <c r="F306" s="389"/>
      <c r="G306" s="138"/>
      <c r="H306" s="139"/>
      <c r="I306" s="75">
        <f t="shared" si="194"/>
        <v>0</v>
      </c>
      <c r="J306" s="249"/>
      <c r="K306" s="249"/>
      <c r="L306" s="185"/>
      <c r="M306" s="131"/>
      <c r="N306" s="8"/>
      <c r="O306" s="64"/>
      <c r="P306" s="64"/>
      <c r="Q306" s="64"/>
    </row>
    <row r="307" spans="2:17" s="241" customFormat="1" ht="13.5" thickBot="1" x14ac:dyDescent="0.25">
      <c r="B307" s="363"/>
      <c r="C307" s="203"/>
      <c r="D307" s="247"/>
      <c r="E307" s="390" t="s">
        <v>51</v>
      </c>
      <c r="F307" s="391"/>
      <c r="G307" s="140"/>
      <c r="H307" s="141"/>
      <c r="I307" s="204">
        <f t="shared" si="194"/>
        <v>0</v>
      </c>
      <c r="J307" s="247"/>
      <c r="K307" s="205"/>
      <c r="L307" s="182"/>
      <c r="M307" s="131"/>
      <c r="N307" s="64"/>
      <c r="O307" s="64"/>
      <c r="P307" s="64"/>
      <c r="Q307" s="64"/>
    </row>
    <row r="308" spans="2:17" s="241" customFormat="1" ht="13.5" thickBot="1" x14ac:dyDescent="0.25">
      <c r="B308" s="132"/>
      <c r="C308" s="73"/>
      <c r="D308" s="8"/>
      <c r="E308" s="234"/>
      <c r="F308" s="234"/>
      <c r="G308" s="235"/>
      <c r="H308" s="236"/>
      <c r="I308" s="172"/>
      <c r="J308" s="237"/>
      <c r="K308" s="238"/>
      <c r="L308" s="238"/>
      <c r="M308" s="131"/>
      <c r="N308" s="8"/>
      <c r="O308" s="8"/>
      <c r="P308" s="8"/>
      <c r="Q308" s="8"/>
    </row>
    <row r="309" spans="2:17" s="241" customFormat="1" ht="26.25" thickBot="1" x14ac:dyDescent="0.25">
      <c r="B309" s="361">
        <v>18</v>
      </c>
      <c r="C309" s="174" t="s">
        <v>121</v>
      </c>
      <c r="D309" s="251"/>
      <c r="E309" s="175"/>
      <c r="F309" s="175" t="s">
        <v>46</v>
      </c>
      <c r="G309" s="175" t="s">
        <v>47</v>
      </c>
      <c r="H309" s="250" t="s">
        <v>107</v>
      </c>
      <c r="I309" s="175" t="s">
        <v>52</v>
      </c>
      <c r="J309" s="176" t="s">
        <v>42</v>
      </c>
      <c r="K309" s="177" t="s">
        <v>43</v>
      </c>
      <c r="L309" s="178" t="s">
        <v>44</v>
      </c>
      <c r="M309" s="131"/>
      <c r="N309" s="8"/>
      <c r="O309" s="70"/>
      <c r="P309" s="64"/>
      <c r="Q309" s="64"/>
    </row>
    <row r="310" spans="2:17" s="241" customFormat="1" ht="13.5" thickBot="1" x14ac:dyDescent="0.25">
      <c r="B310" s="362"/>
      <c r="C310" s="364"/>
      <c r="D310" s="365"/>
      <c r="E310" s="366"/>
      <c r="F310" s="133"/>
      <c r="G310" s="134"/>
      <c r="H310" s="179">
        <f t="shared" ref="H310" si="195">P316</f>
        <v>1</v>
      </c>
      <c r="I310" s="135"/>
      <c r="J310" s="180">
        <f t="shared" ref="J310" si="196">(SUM(K314:K315))+(SUM(I320:I324))</f>
        <v>0</v>
      </c>
      <c r="K310" s="181">
        <f t="shared" ref="K310" si="197">IF(F311="No",Q311,Q310)</f>
        <v>0</v>
      </c>
      <c r="L310" s="182">
        <f t="shared" ref="L310" si="198">SUM(J310:K310)</f>
        <v>0</v>
      </c>
      <c r="M310" s="8"/>
      <c r="N310" s="172">
        <f t="shared" ref="N310" si="199">IF(ISNUMBER(L310),L310,0)</f>
        <v>0</v>
      </c>
      <c r="O310" s="64"/>
      <c r="P310" s="64" t="s">
        <v>204</v>
      </c>
      <c r="Q310" s="64">
        <f>IF(F310="Exempt all taxes",0,(J310*FICA)+(J310*Medicare))</f>
        <v>0</v>
      </c>
    </row>
    <row r="311" spans="2:17" s="241" customFormat="1" ht="13.5" thickBot="1" x14ac:dyDescent="0.25">
      <c r="B311" s="362"/>
      <c r="C311" s="367" t="s">
        <v>206</v>
      </c>
      <c r="D311" s="368"/>
      <c r="E311" s="369"/>
      <c r="F311" s="370"/>
      <c r="G311" s="371"/>
      <c r="H311" s="183"/>
      <c r="I311" s="172"/>
      <c r="J311" s="30"/>
      <c r="K311" s="184"/>
      <c r="L311" s="185"/>
      <c r="M311" s="87"/>
      <c r="N311" s="64"/>
      <c r="O311" s="64"/>
      <c r="P311" s="64" t="s">
        <v>205</v>
      </c>
      <c r="Q311" s="64">
        <f>IF(J310&gt;=SUTA_Max,((FUTA_Max*FUTA)+(SUTA_Max*I310)+(J310*FICA)+(J310*Medicare)),IF(J310&gt;=FUTA_Max,((FUTA_Max*FUTA)+(J310*I310)+(J310*FICA)+(J310*Medicare)),IF(J310&lt;FUTA_Max,(J310*Total_Tax+I310))))</f>
        <v>0</v>
      </c>
    </row>
    <row r="312" spans="2:17" s="241" customFormat="1" ht="13.5" thickBot="1" x14ac:dyDescent="0.25">
      <c r="B312" s="362"/>
      <c r="C312" s="372"/>
      <c r="D312" s="373"/>
      <c r="E312" s="373"/>
      <c r="F312" s="373"/>
      <c r="G312" s="373"/>
      <c r="H312" s="373"/>
      <c r="I312" s="373"/>
      <c r="J312" s="373"/>
      <c r="K312" s="373"/>
      <c r="L312" s="374"/>
      <c r="M312" s="87"/>
      <c r="N312" s="64"/>
      <c r="O312" s="64"/>
      <c r="P312" s="64"/>
      <c r="Q312" s="64"/>
    </row>
    <row r="313" spans="2:17" s="241" customFormat="1" ht="27" thickBot="1" x14ac:dyDescent="0.3">
      <c r="B313" s="362"/>
      <c r="C313" s="186" t="s">
        <v>53</v>
      </c>
      <c r="D313" s="63"/>
      <c r="E313" s="375"/>
      <c r="F313" s="376"/>
      <c r="G313" s="187" t="s">
        <v>48</v>
      </c>
      <c r="H313" s="188" t="s">
        <v>40</v>
      </c>
      <c r="I313" s="189" t="s">
        <v>45</v>
      </c>
      <c r="J313" s="189" t="s">
        <v>50</v>
      </c>
      <c r="K313" s="190" t="s">
        <v>41</v>
      </c>
      <c r="L313" s="185"/>
      <c r="M313" s="73"/>
      <c r="N313" s="64"/>
      <c r="O313" s="64"/>
      <c r="P313" s="64"/>
      <c r="Q313" s="64"/>
    </row>
    <row r="314" spans="2:17" s="241" customFormat="1" ht="13.5" thickBot="1" x14ac:dyDescent="0.25">
      <c r="B314" s="362"/>
      <c r="C314" s="248"/>
      <c r="D314" s="249"/>
      <c r="E314" s="377" t="str">
        <f>Service_Type</f>
        <v>Non-Priority</v>
      </c>
      <c r="F314" s="378"/>
      <c r="G314" s="74"/>
      <c r="H314" s="206"/>
      <c r="I314" s="191">
        <f t="shared" ref="I314" si="200">H310</f>
        <v>1</v>
      </c>
      <c r="J314" s="192"/>
      <c r="K314" s="193">
        <f t="shared" ref="K314" si="201">G314*H314*I314</f>
        <v>0</v>
      </c>
      <c r="L314" s="185"/>
      <c r="M314" s="131"/>
      <c r="N314" s="64" t="str">
        <f>IF(G314='Authorized Units &amp; Budget'!$D$15,"True","False")</f>
        <v>True</v>
      </c>
      <c r="O314" s="64"/>
      <c r="P314" s="64"/>
      <c r="Q314" s="64"/>
    </row>
    <row r="315" spans="2:17" s="241" customFormat="1" ht="13.5" thickBot="1" x14ac:dyDescent="0.25">
      <c r="B315" s="362"/>
      <c r="C315" s="248"/>
      <c r="D315" s="249"/>
      <c r="E315" s="379" t="s">
        <v>23</v>
      </c>
      <c r="F315" s="380"/>
      <c r="G315" s="74"/>
      <c r="H315" s="211"/>
      <c r="I315" s="194">
        <f t="shared" ref="I315" si="202">H310</f>
        <v>1</v>
      </c>
      <c r="J315" s="195">
        <f t="shared" ref="J315" si="203">H314*1.5</f>
        <v>0</v>
      </c>
      <c r="K315" s="196">
        <f t="shared" ref="K315" si="204">G315*I315*J315</f>
        <v>0</v>
      </c>
      <c r="L315" s="185"/>
      <c r="M315" s="131"/>
      <c r="N315" s="64"/>
      <c r="O315" s="64"/>
      <c r="P315" s="64"/>
      <c r="Q315" s="64"/>
    </row>
    <row r="316" spans="2:17" s="241" customFormat="1" x14ac:dyDescent="0.2">
      <c r="B316" s="362"/>
      <c r="C316" s="248"/>
      <c r="D316" s="381" t="s">
        <v>123</v>
      </c>
      <c r="E316" s="381"/>
      <c r="F316" s="381"/>
      <c r="G316" s="381"/>
      <c r="H316" s="381"/>
      <c r="I316" s="381"/>
      <c r="J316" s="381"/>
      <c r="K316" s="381"/>
      <c r="L316" s="197"/>
      <c r="M316" s="131"/>
      <c r="N316" s="64"/>
      <c r="O316" s="64">
        <f t="shared" ref="O316" si="205">(G310-F310)+1</f>
        <v>1</v>
      </c>
      <c r="P316" s="64">
        <f t="shared" ref="P316" si="206">IF(OR(O316=366,O316=365),52,(ROUNDUP(O316/7,0)))</f>
        <v>1</v>
      </c>
      <c r="Q316" s="64"/>
    </row>
    <row r="317" spans="2:17" s="241" customFormat="1" x14ac:dyDescent="0.2">
      <c r="B317" s="362"/>
      <c r="C317" s="198"/>
      <c r="D317" s="381"/>
      <c r="E317" s="381"/>
      <c r="F317" s="381"/>
      <c r="G317" s="381"/>
      <c r="H317" s="381"/>
      <c r="I317" s="381"/>
      <c r="J317" s="381"/>
      <c r="K317" s="381"/>
      <c r="L317" s="197"/>
      <c r="M317" s="131"/>
      <c r="N317" s="8"/>
      <c r="O317" s="64"/>
      <c r="P317" s="64"/>
      <c r="Q317" s="64"/>
    </row>
    <row r="318" spans="2:17" s="241" customFormat="1" ht="13.5" thickBot="1" x14ac:dyDescent="0.25">
      <c r="B318" s="362"/>
      <c r="C318" s="246"/>
      <c r="D318" s="5"/>
      <c r="E318" s="5"/>
      <c r="F318" s="5"/>
      <c r="G318" s="5"/>
      <c r="H318" s="5"/>
      <c r="I318" s="5"/>
      <c r="J318" s="5"/>
      <c r="K318" s="5"/>
      <c r="L318" s="199"/>
      <c r="M318" s="131"/>
      <c r="N318" s="8"/>
      <c r="O318" s="64"/>
      <c r="P318" s="64"/>
      <c r="Q318" s="64"/>
    </row>
    <row r="319" spans="2:17" s="241" customFormat="1" ht="27" thickBot="1" x14ac:dyDescent="0.3">
      <c r="B319" s="362"/>
      <c r="C319" s="186" t="s">
        <v>54</v>
      </c>
      <c r="D319" s="63"/>
      <c r="E319" s="382"/>
      <c r="F319" s="383"/>
      <c r="G319" s="200" t="s">
        <v>49</v>
      </c>
      <c r="H319" s="201" t="s">
        <v>55</v>
      </c>
      <c r="I319" s="202" t="s">
        <v>41</v>
      </c>
      <c r="J319" s="249"/>
      <c r="K319" s="249"/>
      <c r="L319" s="185"/>
      <c r="M319" s="252"/>
      <c r="N319" s="71"/>
      <c r="O319" s="71"/>
      <c r="P319" s="71"/>
      <c r="Q319" s="64"/>
    </row>
    <row r="320" spans="2:17" s="241" customFormat="1" ht="13.5" thickBot="1" x14ac:dyDescent="0.25">
      <c r="B320" s="362"/>
      <c r="C320" s="246"/>
      <c r="D320" s="249"/>
      <c r="E320" s="384" t="s">
        <v>27</v>
      </c>
      <c r="F320" s="385"/>
      <c r="G320" s="136"/>
      <c r="H320" s="137"/>
      <c r="I320" s="75">
        <f t="shared" ref="I320:I324" si="207">G320*H320</f>
        <v>0</v>
      </c>
      <c r="J320" s="249"/>
      <c r="K320" s="249"/>
      <c r="L320" s="185"/>
      <c r="M320" s="131"/>
      <c r="N320" s="8"/>
      <c r="O320" s="70"/>
      <c r="P320" s="64"/>
      <c r="Q320" s="64"/>
    </row>
    <row r="321" spans="2:17" s="241" customFormat="1" ht="13.5" thickBot="1" x14ac:dyDescent="0.25">
      <c r="B321" s="362"/>
      <c r="C321" s="246"/>
      <c r="D321" s="249"/>
      <c r="E321" s="386" t="s">
        <v>24</v>
      </c>
      <c r="F321" s="387"/>
      <c r="G321" s="138"/>
      <c r="H321" s="139"/>
      <c r="I321" s="75">
        <f t="shared" si="207"/>
        <v>0</v>
      </c>
      <c r="J321" s="249"/>
      <c r="K321" s="249"/>
      <c r="L321" s="185"/>
      <c r="M321" s="8"/>
      <c r="N321" s="8"/>
      <c r="O321" s="64"/>
      <c r="P321" s="64"/>
      <c r="Q321" s="64"/>
    </row>
    <row r="322" spans="2:17" s="241" customFormat="1" ht="13.5" thickBot="1" x14ac:dyDescent="0.25">
      <c r="B322" s="362"/>
      <c r="C322" s="246"/>
      <c r="D322" s="249"/>
      <c r="E322" s="386" t="s">
        <v>25</v>
      </c>
      <c r="F322" s="387"/>
      <c r="G322" s="138"/>
      <c r="H322" s="139"/>
      <c r="I322" s="75">
        <f t="shared" si="207"/>
        <v>0</v>
      </c>
      <c r="J322" s="249"/>
      <c r="K322" s="249"/>
      <c r="L322" s="185"/>
      <c r="M322" s="131"/>
      <c r="N322" s="64"/>
      <c r="O322" s="64"/>
      <c r="P322" s="64"/>
      <c r="Q322" s="64"/>
    </row>
    <row r="323" spans="2:17" s="241" customFormat="1" ht="13.5" thickBot="1" x14ac:dyDescent="0.25">
      <c r="B323" s="362"/>
      <c r="C323" s="246"/>
      <c r="D323" s="249"/>
      <c r="E323" s="388" t="s">
        <v>26</v>
      </c>
      <c r="F323" s="389"/>
      <c r="G323" s="138"/>
      <c r="H323" s="139"/>
      <c r="I323" s="75">
        <f t="shared" si="207"/>
        <v>0</v>
      </c>
      <c r="J323" s="249"/>
      <c r="K323" s="249"/>
      <c r="L323" s="185"/>
      <c r="M323" s="131"/>
      <c r="N323" s="8"/>
      <c r="O323" s="64"/>
      <c r="P323" s="64"/>
      <c r="Q323" s="64"/>
    </row>
    <row r="324" spans="2:17" s="241" customFormat="1" ht="13.5" thickBot="1" x14ac:dyDescent="0.25">
      <c r="B324" s="363"/>
      <c r="C324" s="203"/>
      <c r="D324" s="247"/>
      <c r="E324" s="390" t="s">
        <v>51</v>
      </c>
      <c r="F324" s="391"/>
      <c r="G324" s="140"/>
      <c r="H324" s="141"/>
      <c r="I324" s="204">
        <f t="shared" si="207"/>
        <v>0</v>
      </c>
      <c r="J324" s="247"/>
      <c r="K324" s="205"/>
      <c r="L324" s="182"/>
      <c r="M324" s="131"/>
      <c r="N324" s="64"/>
      <c r="O324" s="64"/>
      <c r="P324" s="64"/>
      <c r="Q324" s="64"/>
    </row>
    <row r="325" spans="2:17" s="241" customFormat="1" ht="13.5" thickBot="1" x14ac:dyDescent="0.25">
      <c r="B325" s="132"/>
      <c r="C325" s="73"/>
      <c r="D325" s="8"/>
      <c r="E325" s="234"/>
      <c r="F325" s="234"/>
      <c r="G325" s="235"/>
      <c r="H325" s="236"/>
      <c r="I325" s="172"/>
      <c r="J325" s="237"/>
      <c r="K325" s="238"/>
      <c r="L325" s="238"/>
      <c r="M325" s="131"/>
      <c r="N325" s="8"/>
      <c r="O325" s="8"/>
      <c r="P325" s="8"/>
      <c r="Q325" s="8"/>
    </row>
    <row r="326" spans="2:17" s="241" customFormat="1" ht="26.25" thickBot="1" x14ac:dyDescent="0.25">
      <c r="B326" s="361">
        <v>19</v>
      </c>
      <c r="C326" s="174" t="s">
        <v>121</v>
      </c>
      <c r="D326" s="251"/>
      <c r="E326" s="175"/>
      <c r="F326" s="175" t="s">
        <v>46</v>
      </c>
      <c r="G326" s="175" t="s">
        <v>47</v>
      </c>
      <c r="H326" s="250" t="s">
        <v>107</v>
      </c>
      <c r="I326" s="175" t="s">
        <v>52</v>
      </c>
      <c r="J326" s="176" t="s">
        <v>42</v>
      </c>
      <c r="K326" s="177" t="s">
        <v>43</v>
      </c>
      <c r="L326" s="178" t="s">
        <v>44</v>
      </c>
      <c r="M326" s="131"/>
      <c r="N326" s="8"/>
      <c r="O326" s="70"/>
      <c r="P326" s="64"/>
      <c r="Q326" s="64"/>
    </row>
    <row r="327" spans="2:17" s="241" customFormat="1" ht="13.5" thickBot="1" x14ac:dyDescent="0.25">
      <c r="B327" s="362"/>
      <c r="C327" s="364"/>
      <c r="D327" s="365"/>
      <c r="E327" s="366"/>
      <c r="F327" s="133"/>
      <c r="G327" s="134"/>
      <c r="H327" s="179">
        <f t="shared" ref="H327" si="208">P333</f>
        <v>1</v>
      </c>
      <c r="I327" s="135"/>
      <c r="J327" s="180">
        <f t="shared" ref="J327" si="209">(SUM(K331:K332))+(SUM(I337:I341))</f>
        <v>0</v>
      </c>
      <c r="K327" s="181">
        <f t="shared" ref="K327" si="210">IF(F328="No",Q328,Q327)</f>
        <v>0</v>
      </c>
      <c r="L327" s="182">
        <f t="shared" ref="L327" si="211">SUM(J327:K327)</f>
        <v>0</v>
      </c>
      <c r="M327" s="8"/>
      <c r="N327" s="172">
        <f t="shared" ref="N327" si="212">IF(ISNUMBER(L327),L327,0)</f>
        <v>0</v>
      </c>
      <c r="O327" s="64"/>
      <c r="P327" s="64" t="s">
        <v>204</v>
      </c>
      <c r="Q327" s="64">
        <f>IF(F327="Exempt all taxes",0,(J327*FICA)+(J327*Medicare))</f>
        <v>0</v>
      </c>
    </row>
    <row r="328" spans="2:17" s="241" customFormat="1" ht="13.5" thickBot="1" x14ac:dyDescent="0.25">
      <c r="B328" s="362"/>
      <c r="C328" s="367" t="s">
        <v>206</v>
      </c>
      <c r="D328" s="368"/>
      <c r="E328" s="369"/>
      <c r="F328" s="370"/>
      <c r="G328" s="371"/>
      <c r="H328" s="183"/>
      <c r="I328" s="172"/>
      <c r="J328" s="30"/>
      <c r="K328" s="184"/>
      <c r="L328" s="185"/>
      <c r="M328" s="87"/>
      <c r="N328" s="64"/>
      <c r="O328" s="64"/>
      <c r="P328" s="64" t="s">
        <v>205</v>
      </c>
      <c r="Q328" s="64">
        <f>IF(J327&gt;=SUTA_Max,((FUTA_Max*FUTA)+(SUTA_Max*I327)+(J327*FICA)+(J327*Medicare)),IF(J327&gt;=FUTA_Max,((FUTA_Max*FUTA)+(J327*I327)+(J327*FICA)+(J327*Medicare)),IF(J327&lt;FUTA_Max,(J327*Total_Tax+I327))))</f>
        <v>0</v>
      </c>
    </row>
    <row r="329" spans="2:17" s="241" customFormat="1" ht="13.5" thickBot="1" x14ac:dyDescent="0.25">
      <c r="B329" s="362"/>
      <c r="C329" s="372"/>
      <c r="D329" s="373"/>
      <c r="E329" s="373"/>
      <c r="F329" s="373"/>
      <c r="G329" s="373"/>
      <c r="H329" s="373"/>
      <c r="I329" s="373"/>
      <c r="J329" s="373"/>
      <c r="K329" s="373"/>
      <c r="L329" s="374"/>
      <c r="M329" s="87"/>
      <c r="N329" s="64"/>
      <c r="O329" s="64"/>
      <c r="P329" s="64"/>
      <c r="Q329" s="64"/>
    </row>
    <row r="330" spans="2:17" s="241" customFormat="1" ht="27" thickBot="1" x14ac:dyDescent="0.3">
      <c r="B330" s="362"/>
      <c r="C330" s="186" t="s">
        <v>53</v>
      </c>
      <c r="D330" s="63"/>
      <c r="E330" s="375"/>
      <c r="F330" s="376"/>
      <c r="G330" s="187" t="s">
        <v>48</v>
      </c>
      <c r="H330" s="188" t="s">
        <v>40</v>
      </c>
      <c r="I330" s="189" t="s">
        <v>45</v>
      </c>
      <c r="J330" s="189" t="s">
        <v>50</v>
      </c>
      <c r="K330" s="190" t="s">
        <v>41</v>
      </c>
      <c r="L330" s="185"/>
      <c r="M330" s="73"/>
      <c r="N330" s="64"/>
      <c r="O330" s="64"/>
      <c r="P330" s="64"/>
      <c r="Q330" s="64"/>
    </row>
    <row r="331" spans="2:17" s="241" customFormat="1" ht="13.5" thickBot="1" x14ac:dyDescent="0.25">
      <c r="B331" s="362"/>
      <c r="C331" s="248"/>
      <c r="D331" s="249"/>
      <c r="E331" s="377" t="str">
        <f>Service_Type</f>
        <v>Non-Priority</v>
      </c>
      <c r="F331" s="378"/>
      <c r="G331" s="74"/>
      <c r="H331" s="206"/>
      <c r="I331" s="191">
        <f t="shared" ref="I331" si="213">H327</f>
        <v>1</v>
      </c>
      <c r="J331" s="192"/>
      <c r="K331" s="193">
        <f t="shared" ref="K331" si="214">G331*H331*I331</f>
        <v>0</v>
      </c>
      <c r="L331" s="185"/>
      <c r="M331" s="131"/>
      <c r="N331" s="64" t="str">
        <f>IF(G331='Authorized Units &amp; Budget'!$D$15,"True","False")</f>
        <v>True</v>
      </c>
      <c r="O331" s="64"/>
      <c r="P331" s="64"/>
      <c r="Q331" s="64"/>
    </row>
    <row r="332" spans="2:17" s="241" customFormat="1" ht="13.5" thickBot="1" x14ac:dyDescent="0.25">
      <c r="B332" s="362"/>
      <c r="C332" s="248"/>
      <c r="D332" s="249"/>
      <c r="E332" s="379" t="s">
        <v>23</v>
      </c>
      <c r="F332" s="380"/>
      <c r="G332" s="74"/>
      <c r="H332" s="211"/>
      <c r="I332" s="194">
        <f t="shared" ref="I332" si="215">H327</f>
        <v>1</v>
      </c>
      <c r="J332" s="195">
        <f t="shared" ref="J332" si="216">H331*1.5</f>
        <v>0</v>
      </c>
      <c r="K332" s="196">
        <f t="shared" ref="K332" si="217">G332*I332*J332</f>
        <v>0</v>
      </c>
      <c r="L332" s="185"/>
      <c r="M332" s="131"/>
      <c r="N332" s="64"/>
      <c r="O332" s="64"/>
      <c r="P332" s="64"/>
      <c r="Q332" s="64"/>
    </row>
    <row r="333" spans="2:17" s="241" customFormat="1" x14ac:dyDescent="0.2">
      <c r="B333" s="362"/>
      <c r="C333" s="248"/>
      <c r="D333" s="381" t="s">
        <v>123</v>
      </c>
      <c r="E333" s="381"/>
      <c r="F333" s="381"/>
      <c r="G333" s="381"/>
      <c r="H333" s="381"/>
      <c r="I333" s="381"/>
      <c r="J333" s="381"/>
      <c r="K333" s="381"/>
      <c r="L333" s="197"/>
      <c r="M333" s="131"/>
      <c r="N333" s="64"/>
      <c r="O333" s="64">
        <f t="shared" ref="O333" si="218">(G327-F327)+1</f>
        <v>1</v>
      </c>
      <c r="P333" s="64">
        <f t="shared" ref="P333" si="219">IF(OR(O333=366,O333=365),52,(ROUNDUP(O333/7,0)))</f>
        <v>1</v>
      </c>
      <c r="Q333" s="64"/>
    </row>
    <row r="334" spans="2:17" s="241" customFormat="1" x14ac:dyDescent="0.2">
      <c r="B334" s="362"/>
      <c r="C334" s="198"/>
      <c r="D334" s="381"/>
      <c r="E334" s="381"/>
      <c r="F334" s="381"/>
      <c r="G334" s="381"/>
      <c r="H334" s="381"/>
      <c r="I334" s="381"/>
      <c r="J334" s="381"/>
      <c r="K334" s="381"/>
      <c r="L334" s="197"/>
      <c r="M334" s="131"/>
      <c r="N334" s="8"/>
      <c r="O334" s="64"/>
      <c r="P334" s="64"/>
      <c r="Q334" s="64"/>
    </row>
    <row r="335" spans="2:17" s="241" customFormat="1" ht="13.5" thickBot="1" x14ac:dyDescent="0.25">
      <c r="B335" s="362"/>
      <c r="C335" s="246"/>
      <c r="D335" s="5"/>
      <c r="E335" s="5"/>
      <c r="F335" s="5"/>
      <c r="G335" s="5"/>
      <c r="H335" s="5"/>
      <c r="I335" s="5"/>
      <c r="J335" s="5"/>
      <c r="K335" s="5"/>
      <c r="L335" s="199"/>
      <c r="M335" s="131"/>
      <c r="N335" s="8"/>
      <c r="O335" s="64"/>
      <c r="P335" s="64"/>
      <c r="Q335" s="64"/>
    </row>
    <row r="336" spans="2:17" s="241" customFormat="1" ht="27" thickBot="1" x14ac:dyDescent="0.3">
      <c r="B336" s="362"/>
      <c r="C336" s="186" t="s">
        <v>54</v>
      </c>
      <c r="D336" s="63"/>
      <c r="E336" s="382"/>
      <c r="F336" s="383"/>
      <c r="G336" s="200" t="s">
        <v>49</v>
      </c>
      <c r="H336" s="201" t="s">
        <v>55</v>
      </c>
      <c r="I336" s="202" t="s">
        <v>41</v>
      </c>
      <c r="J336" s="249"/>
      <c r="K336" s="249"/>
      <c r="L336" s="185"/>
      <c r="M336" s="252"/>
      <c r="N336" s="71"/>
      <c r="O336" s="71"/>
      <c r="P336" s="71"/>
      <c r="Q336" s="64"/>
    </row>
    <row r="337" spans="2:17" s="241" customFormat="1" ht="13.5" thickBot="1" x14ac:dyDescent="0.25">
      <c r="B337" s="362"/>
      <c r="C337" s="246"/>
      <c r="D337" s="249"/>
      <c r="E337" s="384" t="s">
        <v>27</v>
      </c>
      <c r="F337" s="385"/>
      <c r="G337" s="136"/>
      <c r="H337" s="137"/>
      <c r="I337" s="75">
        <f t="shared" ref="I337:I341" si="220">G337*H337</f>
        <v>0</v>
      </c>
      <c r="J337" s="249"/>
      <c r="K337" s="249"/>
      <c r="L337" s="185"/>
      <c r="M337" s="131"/>
      <c r="N337" s="8"/>
      <c r="O337" s="70"/>
      <c r="P337" s="64"/>
      <c r="Q337" s="64"/>
    </row>
    <row r="338" spans="2:17" s="241" customFormat="1" ht="13.5" thickBot="1" x14ac:dyDescent="0.25">
      <c r="B338" s="362"/>
      <c r="C338" s="246"/>
      <c r="D338" s="249"/>
      <c r="E338" s="386" t="s">
        <v>24</v>
      </c>
      <c r="F338" s="387"/>
      <c r="G338" s="138"/>
      <c r="H338" s="139"/>
      <c r="I338" s="75">
        <f t="shared" si="220"/>
        <v>0</v>
      </c>
      <c r="J338" s="249"/>
      <c r="K338" s="249"/>
      <c r="L338" s="185"/>
      <c r="M338" s="8"/>
      <c r="N338" s="8"/>
      <c r="O338" s="64"/>
      <c r="P338" s="64"/>
      <c r="Q338" s="64"/>
    </row>
    <row r="339" spans="2:17" s="241" customFormat="1" ht="13.5" thickBot="1" x14ac:dyDescent="0.25">
      <c r="B339" s="362"/>
      <c r="C339" s="246"/>
      <c r="D339" s="249"/>
      <c r="E339" s="386" t="s">
        <v>25</v>
      </c>
      <c r="F339" s="387"/>
      <c r="G339" s="138"/>
      <c r="H339" s="139"/>
      <c r="I339" s="75">
        <f t="shared" si="220"/>
        <v>0</v>
      </c>
      <c r="J339" s="249"/>
      <c r="K339" s="249"/>
      <c r="L339" s="185"/>
      <c r="M339" s="131"/>
      <c r="N339" s="64"/>
      <c r="O339" s="64"/>
      <c r="P339" s="64"/>
      <c r="Q339" s="64"/>
    </row>
    <row r="340" spans="2:17" s="241" customFormat="1" ht="13.5" thickBot="1" x14ac:dyDescent="0.25">
      <c r="B340" s="362"/>
      <c r="C340" s="246"/>
      <c r="D340" s="249"/>
      <c r="E340" s="388" t="s">
        <v>26</v>
      </c>
      <c r="F340" s="389"/>
      <c r="G340" s="138"/>
      <c r="H340" s="139"/>
      <c r="I340" s="75">
        <f t="shared" si="220"/>
        <v>0</v>
      </c>
      <c r="J340" s="249"/>
      <c r="K340" s="249"/>
      <c r="L340" s="185"/>
      <c r="M340" s="131"/>
      <c r="N340" s="8"/>
      <c r="O340" s="64"/>
      <c r="P340" s="64"/>
      <c r="Q340" s="64"/>
    </row>
    <row r="341" spans="2:17" s="241" customFormat="1" ht="13.5" thickBot="1" x14ac:dyDescent="0.25">
      <c r="B341" s="363"/>
      <c r="C341" s="203"/>
      <c r="D341" s="247"/>
      <c r="E341" s="390" t="s">
        <v>51</v>
      </c>
      <c r="F341" s="391"/>
      <c r="G341" s="140"/>
      <c r="H341" s="141"/>
      <c r="I341" s="204">
        <f t="shared" si="220"/>
        <v>0</v>
      </c>
      <c r="J341" s="247"/>
      <c r="K341" s="205"/>
      <c r="L341" s="182"/>
      <c r="M341" s="131"/>
      <c r="N341" s="64"/>
      <c r="O341" s="64"/>
      <c r="P341" s="64"/>
      <c r="Q341" s="64"/>
    </row>
    <row r="342" spans="2:17" s="241" customFormat="1" ht="13.5" thickBot="1" x14ac:dyDescent="0.25">
      <c r="B342" s="132"/>
      <c r="C342" s="73"/>
      <c r="D342" s="8"/>
      <c r="E342" s="234"/>
      <c r="F342" s="234"/>
      <c r="G342" s="235"/>
      <c r="H342" s="236"/>
      <c r="I342" s="172"/>
      <c r="J342" s="237"/>
      <c r="K342" s="238"/>
      <c r="L342" s="238"/>
      <c r="M342" s="131"/>
      <c r="N342" s="8"/>
      <c r="O342" s="8"/>
      <c r="P342" s="8"/>
      <c r="Q342" s="8"/>
    </row>
    <row r="343" spans="2:17" s="241" customFormat="1" ht="26.25" thickBot="1" x14ac:dyDescent="0.25">
      <c r="B343" s="361">
        <v>20</v>
      </c>
      <c r="C343" s="174" t="s">
        <v>121</v>
      </c>
      <c r="D343" s="251"/>
      <c r="E343" s="175"/>
      <c r="F343" s="175" t="s">
        <v>46</v>
      </c>
      <c r="G343" s="175" t="s">
        <v>47</v>
      </c>
      <c r="H343" s="250" t="s">
        <v>107</v>
      </c>
      <c r="I343" s="175" t="s">
        <v>52</v>
      </c>
      <c r="J343" s="176" t="s">
        <v>42</v>
      </c>
      <c r="K343" s="177" t="s">
        <v>43</v>
      </c>
      <c r="L343" s="178" t="s">
        <v>44</v>
      </c>
      <c r="M343" s="131"/>
      <c r="N343" s="8"/>
      <c r="O343" s="70"/>
      <c r="P343" s="64"/>
      <c r="Q343" s="64"/>
    </row>
    <row r="344" spans="2:17" s="241" customFormat="1" ht="13.5" thickBot="1" x14ac:dyDescent="0.25">
      <c r="B344" s="362"/>
      <c r="C344" s="364"/>
      <c r="D344" s="365"/>
      <c r="E344" s="366"/>
      <c r="F344" s="133"/>
      <c r="G344" s="134"/>
      <c r="H344" s="179">
        <f t="shared" ref="H344" si="221">P350</f>
        <v>1</v>
      </c>
      <c r="I344" s="135"/>
      <c r="J344" s="180">
        <f t="shared" ref="J344" si="222">(SUM(K348:K349))+(SUM(I354:I358))</f>
        <v>0</v>
      </c>
      <c r="K344" s="181">
        <f t="shared" ref="K344" si="223">IF(F345="No",Q345,Q344)</f>
        <v>0</v>
      </c>
      <c r="L344" s="182">
        <f t="shared" ref="L344" si="224">SUM(J344:K344)</f>
        <v>0</v>
      </c>
      <c r="M344" s="8"/>
      <c r="N344" s="172">
        <f t="shared" ref="N344" si="225">IF(ISNUMBER(L344),L344,0)</f>
        <v>0</v>
      </c>
      <c r="O344" s="64"/>
      <c r="P344" s="64" t="s">
        <v>204</v>
      </c>
      <c r="Q344" s="64">
        <f>IF(F344="Exempt all taxes",0,(J344*FICA)+(J344*Medicare))</f>
        <v>0</v>
      </c>
    </row>
    <row r="345" spans="2:17" s="241" customFormat="1" ht="13.5" thickBot="1" x14ac:dyDescent="0.25">
      <c r="B345" s="362"/>
      <c r="C345" s="367" t="s">
        <v>206</v>
      </c>
      <c r="D345" s="368"/>
      <c r="E345" s="369"/>
      <c r="F345" s="370"/>
      <c r="G345" s="371"/>
      <c r="H345" s="183"/>
      <c r="I345" s="172"/>
      <c r="J345" s="30"/>
      <c r="K345" s="184"/>
      <c r="L345" s="185"/>
      <c r="M345" s="87"/>
      <c r="N345" s="64"/>
      <c r="O345" s="64"/>
      <c r="P345" s="64" t="s">
        <v>205</v>
      </c>
      <c r="Q345" s="64">
        <f>IF(J344&gt;=SUTA_Max,((FUTA_Max*FUTA)+(SUTA_Max*I344)+(J344*FICA)+(J344*Medicare)),IF(J344&gt;=FUTA_Max,((FUTA_Max*FUTA)+(J344*I344)+(J344*FICA)+(J344*Medicare)),IF(J344&lt;FUTA_Max,(J344*Total_Tax+I344))))</f>
        <v>0</v>
      </c>
    </row>
    <row r="346" spans="2:17" s="241" customFormat="1" ht="13.5" thickBot="1" x14ac:dyDescent="0.25">
      <c r="B346" s="362"/>
      <c r="C346" s="372"/>
      <c r="D346" s="373"/>
      <c r="E346" s="373"/>
      <c r="F346" s="373"/>
      <c r="G346" s="373"/>
      <c r="H346" s="373"/>
      <c r="I346" s="373"/>
      <c r="J346" s="373"/>
      <c r="K346" s="373"/>
      <c r="L346" s="374"/>
      <c r="M346" s="87"/>
      <c r="N346" s="64"/>
      <c r="O346" s="64"/>
      <c r="P346" s="64"/>
      <c r="Q346" s="64"/>
    </row>
    <row r="347" spans="2:17" s="241" customFormat="1" ht="27" thickBot="1" x14ac:dyDescent="0.3">
      <c r="B347" s="362"/>
      <c r="C347" s="186" t="s">
        <v>53</v>
      </c>
      <c r="D347" s="63"/>
      <c r="E347" s="375"/>
      <c r="F347" s="376"/>
      <c r="G347" s="187" t="s">
        <v>48</v>
      </c>
      <c r="H347" s="188" t="s">
        <v>40</v>
      </c>
      <c r="I347" s="189" t="s">
        <v>45</v>
      </c>
      <c r="J347" s="189" t="s">
        <v>50</v>
      </c>
      <c r="K347" s="190" t="s">
        <v>41</v>
      </c>
      <c r="L347" s="185"/>
      <c r="M347" s="73"/>
      <c r="N347" s="64"/>
      <c r="O347" s="64"/>
      <c r="P347" s="64"/>
      <c r="Q347" s="64"/>
    </row>
    <row r="348" spans="2:17" s="241" customFormat="1" ht="13.5" thickBot="1" x14ac:dyDescent="0.25">
      <c r="B348" s="362"/>
      <c r="C348" s="248"/>
      <c r="D348" s="249"/>
      <c r="E348" s="377" t="str">
        <f>Service_Type</f>
        <v>Non-Priority</v>
      </c>
      <c r="F348" s="378"/>
      <c r="G348" s="74"/>
      <c r="H348" s="206"/>
      <c r="I348" s="191">
        <f t="shared" ref="I348" si="226">H344</f>
        <v>1</v>
      </c>
      <c r="J348" s="192"/>
      <c r="K348" s="193">
        <f t="shared" ref="K348" si="227">G348*H348*I348</f>
        <v>0</v>
      </c>
      <c r="L348" s="185"/>
      <c r="M348" s="131"/>
      <c r="N348" s="64" t="str">
        <f>IF(G348='Authorized Units &amp; Budget'!$D$15,"True","False")</f>
        <v>True</v>
      </c>
      <c r="O348" s="64"/>
      <c r="P348" s="64"/>
      <c r="Q348" s="64"/>
    </row>
    <row r="349" spans="2:17" s="241" customFormat="1" ht="13.5" thickBot="1" x14ac:dyDescent="0.25">
      <c r="B349" s="362"/>
      <c r="C349" s="248"/>
      <c r="D349" s="249"/>
      <c r="E349" s="379" t="s">
        <v>23</v>
      </c>
      <c r="F349" s="380"/>
      <c r="G349" s="74"/>
      <c r="H349" s="211"/>
      <c r="I349" s="194">
        <f t="shared" ref="I349" si="228">H344</f>
        <v>1</v>
      </c>
      <c r="J349" s="195">
        <f t="shared" ref="J349" si="229">H348*1.5</f>
        <v>0</v>
      </c>
      <c r="K349" s="196">
        <f t="shared" ref="K349" si="230">G349*I349*J349</f>
        <v>0</v>
      </c>
      <c r="L349" s="185"/>
      <c r="M349" s="131"/>
      <c r="N349" s="64"/>
      <c r="O349" s="64"/>
      <c r="P349" s="64"/>
      <c r="Q349" s="64"/>
    </row>
    <row r="350" spans="2:17" s="241" customFormat="1" x14ac:dyDescent="0.2">
      <c r="B350" s="362"/>
      <c r="C350" s="248"/>
      <c r="D350" s="381" t="s">
        <v>123</v>
      </c>
      <c r="E350" s="381"/>
      <c r="F350" s="381"/>
      <c r="G350" s="381"/>
      <c r="H350" s="381"/>
      <c r="I350" s="381"/>
      <c r="J350" s="381"/>
      <c r="K350" s="381"/>
      <c r="L350" s="197"/>
      <c r="M350" s="131"/>
      <c r="N350" s="64"/>
      <c r="O350" s="64">
        <f t="shared" ref="O350" si="231">(G344-F344)+1</f>
        <v>1</v>
      </c>
      <c r="P350" s="64">
        <f t="shared" ref="P350" si="232">IF(OR(O350=366,O350=365),52,(ROUNDUP(O350/7,0)))</f>
        <v>1</v>
      </c>
      <c r="Q350" s="64"/>
    </row>
    <row r="351" spans="2:17" s="241" customFormat="1" x14ac:dyDescent="0.2">
      <c r="B351" s="362"/>
      <c r="C351" s="198"/>
      <c r="D351" s="381"/>
      <c r="E351" s="381"/>
      <c r="F351" s="381"/>
      <c r="G351" s="381"/>
      <c r="H351" s="381"/>
      <c r="I351" s="381"/>
      <c r="J351" s="381"/>
      <c r="K351" s="381"/>
      <c r="L351" s="197"/>
      <c r="M351" s="131"/>
      <c r="N351" s="8"/>
      <c r="O351" s="64"/>
      <c r="P351" s="64"/>
      <c r="Q351" s="64"/>
    </row>
    <row r="352" spans="2:17" s="241" customFormat="1" ht="13.5" thickBot="1" x14ac:dyDescent="0.25">
      <c r="B352" s="362"/>
      <c r="C352" s="246"/>
      <c r="D352" s="5"/>
      <c r="E352" s="5"/>
      <c r="F352" s="5"/>
      <c r="G352" s="5"/>
      <c r="H352" s="5"/>
      <c r="I352" s="5"/>
      <c r="J352" s="5"/>
      <c r="K352" s="5"/>
      <c r="L352" s="199"/>
      <c r="M352" s="131"/>
      <c r="N352" s="8"/>
      <c r="O352" s="64"/>
      <c r="P352" s="64"/>
      <c r="Q352" s="64"/>
    </row>
    <row r="353" spans="2:17" s="241" customFormat="1" ht="27" thickBot="1" x14ac:dyDescent="0.3">
      <c r="B353" s="362"/>
      <c r="C353" s="186" t="s">
        <v>54</v>
      </c>
      <c r="D353" s="63"/>
      <c r="E353" s="382"/>
      <c r="F353" s="383"/>
      <c r="G353" s="200" t="s">
        <v>49</v>
      </c>
      <c r="H353" s="201" t="s">
        <v>55</v>
      </c>
      <c r="I353" s="202" t="s">
        <v>41</v>
      </c>
      <c r="J353" s="249"/>
      <c r="K353" s="249"/>
      <c r="L353" s="185"/>
      <c r="M353" s="252"/>
      <c r="N353" s="71"/>
      <c r="O353" s="71"/>
      <c r="P353" s="71"/>
      <c r="Q353" s="64"/>
    </row>
    <row r="354" spans="2:17" s="241" customFormat="1" ht="13.5" thickBot="1" x14ac:dyDescent="0.25">
      <c r="B354" s="362"/>
      <c r="C354" s="246"/>
      <c r="D354" s="249"/>
      <c r="E354" s="384" t="s">
        <v>27</v>
      </c>
      <c r="F354" s="385"/>
      <c r="G354" s="136"/>
      <c r="H354" s="137"/>
      <c r="I354" s="75">
        <f t="shared" ref="I354:I358" si="233">G354*H354</f>
        <v>0</v>
      </c>
      <c r="J354" s="249"/>
      <c r="K354" s="249"/>
      <c r="L354" s="185"/>
      <c r="M354" s="131"/>
      <c r="N354" s="8"/>
      <c r="O354" s="70"/>
      <c r="P354" s="64"/>
      <c r="Q354" s="64"/>
    </row>
    <row r="355" spans="2:17" s="241" customFormat="1" ht="13.5" thickBot="1" x14ac:dyDescent="0.25">
      <c r="B355" s="362"/>
      <c r="C355" s="246"/>
      <c r="D355" s="249"/>
      <c r="E355" s="386" t="s">
        <v>24</v>
      </c>
      <c r="F355" s="387"/>
      <c r="G355" s="138"/>
      <c r="H355" s="139"/>
      <c r="I355" s="75">
        <f t="shared" si="233"/>
        <v>0</v>
      </c>
      <c r="J355" s="249"/>
      <c r="K355" s="249"/>
      <c r="L355" s="185"/>
      <c r="M355" s="8"/>
      <c r="N355" s="8"/>
      <c r="O355" s="64"/>
      <c r="P355" s="64"/>
      <c r="Q355" s="64"/>
    </row>
    <row r="356" spans="2:17" s="241" customFormat="1" ht="13.5" thickBot="1" x14ac:dyDescent="0.25">
      <c r="B356" s="362"/>
      <c r="C356" s="246"/>
      <c r="D356" s="249"/>
      <c r="E356" s="386" t="s">
        <v>25</v>
      </c>
      <c r="F356" s="387"/>
      <c r="G356" s="138"/>
      <c r="H356" s="139"/>
      <c r="I356" s="75">
        <f t="shared" si="233"/>
        <v>0</v>
      </c>
      <c r="J356" s="249"/>
      <c r="K356" s="249"/>
      <c r="L356" s="185"/>
      <c r="M356" s="131"/>
      <c r="N356" s="64"/>
      <c r="O356" s="64"/>
      <c r="P356" s="64"/>
      <c r="Q356" s="64"/>
    </row>
    <row r="357" spans="2:17" s="241" customFormat="1" ht="13.5" thickBot="1" x14ac:dyDescent="0.25">
      <c r="B357" s="362"/>
      <c r="C357" s="246"/>
      <c r="D357" s="249"/>
      <c r="E357" s="388" t="s">
        <v>26</v>
      </c>
      <c r="F357" s="389"/>
      <c r="G357" s="138"/>
      <c r="H357" s="139"/>
      <c r="I357" s="75">
        <f t="shared" si="233"/>
        <v>0</v>
      </c>
      <c r="J357" s="249"/>
      <c r="K357" s="249"/>
      <c r="L357" s="185"/>
      <c r="M357" s="131"/>
      <c r="N357" s="8"/>
      <c r="O357" s="64"/>
      <c r="P357" s="64"/>
      <c r="Q357" s="64"/>
    </row>
    <row r="358" spans="2:17" s="241" customFormat="1" ht="13.5" thickBot="1" x14ac:dyDescent="0.25">
      <c r="B358" s="363"/>
      <c r="C358" s="203"/>
      <c r="D358" s="247"/>
      <c r="E358" s="390" t="s">
        <v>51</v>
      </c>
      <c r="F358" s="391"/>
      <c r="G358" s="140"/>
      <c r="H358" s="141"/>
      <c r="I358" s="204">
        <f t="shared" si="233"/>
        <v>0</v>
      </c>
      <c r="J358" s="247"/>
      <c r="K358" s="205"/>
      <c r="L358" s="182"/>
      <c r="M358" s="131"/>
      <c r="N358" s="64"/>
      <c r="O358" s="64"/>
      <c r="P358" s="64"/>
      <c r="Q358" s="64"/>
    </row>
    <row r="359" spans="2:17" s="241" customFormat="1" x14ac:dyDescent="0.2"/>
    <row r="360" spans="2:17" s="241" customFormat="1" x14ac:dyDescent="0.2"/>
    <row r="361" spans="2:17" s="241" customFormat="1" x14ac:dyDescent="0.2"/>
    <row r="362" spans="2:17" s="241" customFormat="1" x14ac:dyDescent="0.2"/>
    <row r="363" spans="2:17" s="241" customFormat="1" x14ac:dyDescent="0.2"/>
    <row r="364" spans="2:17" s="241" customFormat="1" x14ac:dyDescent="0.2"/>
    <row r="365" spans="2:17" s="241" customFormat="1" x14ac:dyDescent="0.2"/>
    <row r="366" spans="2:17" s="241" customFormat="1" x14ac:dyDescent="0.2"/>
    <row r="367" spans="2:17" s="241" customFormat="1" x14ac:dyDescent="0.2"/>
    <row r="368" spans="2:17" s="241" customFormat="1" x14ac:dyDescent="0.2"/>
    <row r="369" s="241" customFormat="1" x14ac:dyDescent="0.2"/>
    <row r="370" s="241" customFormat="1" x14ac:dyDescent="0.2"/>
    <row r="371" s="241" customFormat="1" x14ac:dyDescent="0.2"/>
    <row r="372" s="241" customFormat="1" x14ac:dyDescent="0.2"/>
    <row r="373" s="241" customFormat="1" x14ac:dyDescent="0.2"/>
    <row r="374" s="241" customFormat="1" x14ac:dyDescent="0.2"/>
    <row r="375" s="241" customFormat="1" x14ac:dyDescent="0.2"/>
    <row r="376" s="241" customFormat="1" x14ac:dyDescent="0.2"/>
    <row r="377" s="241" customFormat="1" x14ac:dyDescent="0.2"/>
    <row r="378" s="241" customFormat="1" x14ac:dyDescent="0.2"/>
    <row r="379" s="241" customFormat="1" x14ac:dyDescent="0.2"/>
    <row r="380" s="241" customFormat="1" x14ac:dyDescent="0.2"/>
    <row r="381" s="241" customFormat="1" x14ac:dyDescent="0.2"/>
    <row r="382" s="241" customFormat="1" x14ac:dyDescent="0.2"/>
    <row r="383" s="241" customFormat="1" x14ac:dyDescent="0.2"/>
    <row r="384" s="241" customFormat="1" x14ac:dyDescent="0.2"/>
    <row r="385" s="241" customFormat="1" x14ac:dyDescent="0.2"/>
    <row r="386" s="241" customFormat="1" x14ac:dyDescent="0.2"/>
    <row r="387" s="241" customFormat="1" x14ac:dyDescent="0.2"/>
    <row r="388" s="241" customFormat="1" x14ac:dyDescent="0.2"/>
    <row r="389" s="241" customFormat="1" x14ac:dyDescent="0.2"/>
    <row r="390" s="241" customFormat="1" x14ac:dyDescent="0.2"/>
    <row r="391" s="241" customFormat="1" x14ac:dyDescent="0.2"/>
    <row r="392" s="241" customFormat="1" x14ac:dyDescent="0.2"/>
  </sheetData>
  <sheetProtection password="E7F0" sheet="1" objects="1" scenarios="1"/>
  <customSheetViews>
    <customSheetView guid="{454ECA60-FBCC-11D6-AB9B-00C04F5868C8}" scale="75" showPageBreaks="1" printArea="1" showRuler="0">
      <pageMargins left="0.2" right="0.2" top="0.75" bottom="0.25" header="0" footer="0.25"/>
      <printOptions horizontalCentered="1"/>
      <pageSetup orientation="portrait" r:id="rId1"/>
      <headerFooter alignWithMargins="0">
        <oddHeader>&amp;L&amp;8Texas Department
of Human Services&amp;R&amp;8Form 1546, page 5
January 2002</oddHeader>
      </headerFooter>
    </customSheetView>
    <customSheetView guid="{346F6C38-467E-4277-A934-45FBB069E11D}" scale="130" showRuler="0" topLeftCell="B32">
      <selection activeCell="C18" sqref="C18:H18"/>
      <pageMargins left="0.2" right="0.2" top="0.75" bottom="0.25" header="0" footer="0.25"/>
      <printOptions horizontalCentered="1"/>
      <pageSetup orientation="portrait" r:id="rId2"/>
      <headerFooter alignWithMargins="0">
        <oddHeader>&amp;L&amp;8Texas Department
of Human Services&amp;R&amp;8Form 1546, page 5
January 2002</oddHeader>
      </headerFooter>
    </customSheetView>
  </customSheetViews>
  <mergeCells count="321">
    <mergeCell ref="B54:B69"/>
    <mergeCell ref="C55:E55"/>
    <mergeCell ref="F56:G56"/>
    <mergeCell ref="C57:L57"/>
    <mergeCell ref="E58:F58"/>
    <mergeCell ref="E59:F59"/>
    <mergeCell ref="E60:F60"/>
    <mergeCell ref="D61:K62"/>
    <mergeCell ref="E64:F64"/>
    <mergeCell ref="E65:F65"/>
    <mergeCell ref="E66:F66"/>
    <mergeCell ref="E67:F67"/>
    <mergeCell ref="E68:F68"/>
    <mergeCell ref="E69:F69"/>
    <mergeCell ref="C56:E56"/>
    <mergeCell ref="B173:B188"/>
    <mergeCell ref="C174:E174"/>
    <mergeCell ref="C176:L176"/>
    <mergeCell ref="E177:F177"/>
    <mergeCell ref="E178:F178"/>
    <mergeCell ref="E34:F34"/>
    <mergeCell ref="E31:F31"/>
    <mergeCell ref="E32:F32"/>
    <mergeCell ref="C21:E21"/>
    <mergeCell ref="B71:B86"/>
    <mergeCell ref="C72:E72"/>
    <mergeCell ref="C74:L74"/>
    <mergeCell ref="E75:F75"/>
    <mergeCell ref="E76:F76"/>
    <mergeCell ref="E77:F77"/>
    <mergeCell ref="D78:K79"/>
    <mergeCell ref="E81:F81"/>
    <mergeCell ref="E82:F82"/>
    <mergeCell ref="E83:F83"/>
    <mergeCell ref="E85:F85"/>
    <mergeCell ref="E84:F84"/>
    <mergeCell ref="E86:F86"/>
    <mergeCell ref="F73:G73"/>
    <mergeCell ref="C39:E39"/>
    <mergeCell ref="O9:P9"/>
    <mergeCell ref="B9:L9"/>
    <mergeCell ref="E30:F30"/>
    <mergeCell ref="E25:F25"/>
    <mergeCell ref="B19:L19"/>
    <mergeCell ref="L16:L17"/>
    <mergeCell ref="B20:B35"/>
    <mergeCell ref="N18:P18"/>
    <mergeCell ref="E26:F26"/>
    <mergeCell ref="E35:F35"/>
    <mergeCell ref="D27:K28"/>
    <mergeCell ref="E33:F33"/>
    <mergeCell ref="C23:L23"/>
    <mergeCell ref="E24:F24"/>
    <mergeCell ref="I16:K17"/>
    <mergeCell ref="B14:H17"/>
    <mergeCell ref="O10:P10"/>
    <mergeCell ref="H10:K10"/>
    <mergeCell ref="B10:F10"/>
    <mergeCell ref="L14:L15"/>
    <mergeCell ref="I14:K15"/>
    <mergeCell ref="F22:G22"/>
    <mergeCell ref="C22:E22"/>
    <mergeCell ref="D95:K96"/>
    <mergeCell ref="E99:F99"/>
    <mergeCell ref="E100:F100"/>
    <mergeCell ref="E101:F101"/>
    <mergeCell ref="E103:F103"/>
    <mergeCell ref="E98:F98"/>
    <mergeCell ref="E102:F102"/>
    <mergeCell ref="F90:G90"/>
    <mergeCell ref="B1:L1"/>
    <mergeCell ref="B13:L13"/>
    <mergeCell ref="C4:F4"/>
    <mergeCell ref="C5:F5"/>
    <mergeCell ref="H11:K11"/>
    <mergeCell ref="B11:F11"/>
    <mergeCell ref="J7:K7"/>
    <mergeCell ref="G7:H7"/>
    <mergeCell ref="B2:L2"/>
    <mergeCell ref="B37:B52"/>
    <mergeCell ref="C38:E38"/>
    <mergeCell ref="F39:G39"/>
    <mergeCell ref="C40:L40"/>
    <mergeCell ref="E41:F41"/>
    <mergeCell ref="D44:K45"/>
    <mergeCell ref="E47:F47"/>
    <mergeCell ref="C73:E73"/>
    <mergeCell ref="C90:E90"/>
    <mergeCell ref="E50:F50"/>
    <mergeCell ref="B105:B120"/>
    <mergeCell ref="C106:E106"/>
    <mergeCell ref="C108:L108"/>
    <mergeCell ref="E109:F109"/>
    <mergeCell ref="E110:F110"/>
    <mergeCell ref="E111:F111"/>
    <mergeCell ref="D112:K113"/>
    <mergeCell ref="E117:F117"/>
    <mergeCell ref="E118:F118"/>
    <mergeCell ref="E119:F119"/>
    <mergeCell ref="E115:F115"/>
    <mergeCell ref="E116:F116"/>
    <mergeCell ref="E120:F120"/>
    <mergeCell ref="F107:G107"/>
    <mergeCell ref="C107:E107"/>
    <mergeCell ref="B88:B103"/>
    <mergeCell ref="C89:E89"/>
    <mergeCell ref="C91:L91"/>
    <mergeCell ref="E92:F92"/>
    <mergeCell ref="E93:F93"/>
    <mergeCell ref="E94:F94"/>
    <mergeCell ref="B122:B137"/>
    <mergeCell ref="C123:E123"/>
    <mergeCell ref="C125:L125"/>
    <mergeCell ref="E126:F126"/>
    <mergeCell ref="E127:F127"/>
    <mergeCell ref="E128:F128"/>
    <mergeCell ref="D129:K130"/>
    <mergeCell ref="E135:F135"/>
    <mergeCell ref="E136:F136"/>
    <mergeCell ref="E137:F137"/>
    <mergeCell ref="E133:F133"/>
    <mergeCell ref="E134:F134"/>
    <mergeCell ref="E132:F132"/>
    <mergeCell ref="F124:G124"/>
    <mergeCell ref="C124:E124"/>
    <mergeCell ref="E153:F153"/>
    <mergeCell ref="E154:F154"/>
    <mergeCell ref="B156:B171"/>
    <mergeCell ref="C157:E157"/>
    <mergeCell ref="C159:L159"/>
    <mergeCell ref="E160:F160"/>
    <mergeCell ref="E161:F161"/>
    <mergeCell ref="E162:F162"/>
    <mergeCell ref="D163:K164"/>
    <mergeCell ref="E166:F166"/>
    <mergeCell ref="B139:B154"/>
    <mergeCell ref="C140:E140"/>
    <mergeCell ref="C142:L142"/>
    <mergeCell ref="E144:F144"/>
    <mergeCell ref="E145:F145"/>
    <mergeCell ref="D146:K147"/>
    <mergeCell ref="E149:F149"/>
    <mergeCell ref="E150:F150"/>
    <mergeCell ref="E151:F151"/>
    <mergeCell ref="E152:F152"/>
    <mergeCell ref="E143:F143"/>
    <mergeCell ref="F141:G141"/>
    <mergeCell ref="F158:G158"/>
    <mergeCell ref="C158:E158"/>
    <mergeCell ref="E179:F179"/>
    <mergeCell ref="D180:K181"/>
    <mergeCell ref="E183:F183"/>
    <mergeCell ref="E184:F184"/>
    <mergeCell ref="E185:F185"/>
    <mergeCell ref="E186:F186"/>
    <mergeCell ref="E167:F167"/>
    <mergeCell ref="E168:F168"/>
    <mergeCell ref="E169:F169"/>
    <mergeCell ref="E170:F170"/>
    <mergeCell ref="E171:F171"/>
    <mergeCell ref="F175:G175"/>
    <mergeCell ref="C175:E175"/>
    <mergeCell ref="C141:E141"/>
    <mergeCell ref="E43:F43"/>
    <mergeCell ref="E49:F49"/>
    <mergeCell ref="E51:F51"/>
    <mergeCell ref="E52:F52"/>
    <mergeCell ref="E42:F42"/>
    <mergeCell ref="E48:F48"/>
    <mergeCell ref="B190:B205"/>
    <mergeCell ref="C191:E191"/>
    <mergeCell ref="C192:E192"/>
    <mergeCell ref="F192:G192"/>
    <mergeCell ref="C193:L193"/>
    <mergeCell ref="E194:F194"/>
    <mergeCell ref="E195:F195"/>
    <mergeCell ref="E196:F196"/>
    <mergeCell ref="D197:K198"/>
    <mergeCell ref="E200:F200"/>
    <mergeCell ref="E201:F201"/>
    <mergeCell ref="E202:F202"/>
    <mergeCell ref="E203:F203"/>
    <mergeCell ref="E204:F204"/>
    <mergeCell ref="E205:F205"/>
    <mergeCell ref="E187:F187"/>
    <mergeCell ref="E188:F188"/>
    <mergeCell ref="B207:B222"/>
    <mergeCell ref="C208:E208"/>
    <mergeCell ref="C209:E209"/>
    <mergeCell ref="F209:G209"/>
    <mergeCell ref="C210:L210"/>
    <mergeCell ref="E211:F211"/>
    <mergeCell ref="E212:F212"/>
    <mergeCell ref="E213:F213"/>
    <mergeCell ref="D214:K215"/>
    <mergeCell ref="E217:F217"/>
    <mergeCell ref="E218:F218"/>
    <mergeCell ref="E219:F219"/>
    <mergeCell ref="E220:F220"/>
    <mergeCell ref="E221:F221"/>
    <mergeCell ref="E222:F222"/>
    <mergeCell ref="B224:B239"/>
    <mergeCell ref="C225:E225"/>
    <mergeCell ref="C226:E226"/>
    <mergeCell ref="F226:G226"/>
    <mergeCell ref="C227:L227"/>
    <mergeCell ref="E228:F228"/>
    <mergeCell ref="E229:F229"/>
    <mergeCell ref="E230:F230"/>
    <mergeCell ref="D231:K232"/>
    <mergeCell ref="E234:F234"/>
    <mergeCell ref="E235:F235"/>
    <mergeCell ref="E236:F236"/>
    <mergeCell ref="E237:F237"/>
    <mergeCell ref="E238:F238"/>
    <mergeCell ref="E239:F239"/>
    <mergeCell ref="B241:B256"/>
    <mergeCell ref="C242:E242"/>
    <mergeCell ref="C243:E243"/>
    <mergeCell ref="F243:G243"/>
    <mergeCell ref="C244:L244"/>
    <mergeCell ref="E245:F245"/>
    <mergeCell ref="E246:F246"/>
    <mergeCell ref="E247:F247"/>
    <mergeCell ref="D248:K249"/>
    <mergeCell ref="E251:F251"/>
    <mergeCell ref="E252:F252"/>
    <mergeCell ref="E253:F253"/>
    <mergeCell ref="E254:F254"/>
    <mergeCell ref="E255:F255"/>
    <mergeCell ref="E256:F256"/>
    <mergeCell ref="B258:B273"/>
    <mergeCell ref="C259:E259"/>
    <mergeCell ref="C260:E260"/>
    <mergeCell ref="F260:G260"/>
    <mergeCell ref="C261:L261"/>
    <mergeCell ref="E262:F262"/>
    <mergeCell ref="E263:F263"/>
    <mergeCell ref="E264:F264"/>
    <mergeCell ref="D265:K266"/>
    <mergeCell ref="E268:F268"/>
    <mergeCell ref="E269:F269"/>
    <mergeCell ref="E270:F270"/>
    <mergeCell ref="E271:F271"/>
    <mergeCell ref="E272:F272"/>
    <mergeCell ref="E273:F273"/>
    <mergeCell ref="B275:B290"/>
    <mergeCell ref="C276:E276"/>
    <mergeCell ref="C277:E277"/>
    <mergeCell ref="F277:G277"/>
    <mergeCell ref="C278:L278"/>
    <mergeCell ref="E279:F279"/>
    <mergeCell ref="E280:F280"/>
    <mergeCell ref="E281:F281"/>
    <mergeCell ref="D282:K283"/>
    <mergeCell ref="E285:F285"/>
    <mergeCell ref="E286:F286"/>
    <mergeCell ref="E287:F287"/>
    <mergeCell ref="E288:F288"/>
    <mergeCell ref="E289:F289"/>
    <mergeCell ref="E290:F290"/>
    <mergeCell ref="B292:B307"/>
    <mergeCell ref="C293:E293"/>
    <mergeCell ref="C294:E294"/>
    <mergeCell ref="F294:G294"/>
    <mergeCell ref="C295:L295"/>
    <mergeCell ref="E296:F296"/>
    <mergeCell ref="E297:F297"/>
    <mergeCell ref="E298:F298"/>
    <mergeCell ref="D299:K300"/>
    <mergeCell ref="E302:F302"/>
    <mergeCell ref="E303:F303"/>
    <mergeCell ref="E304:F304"/>
    <mergeCell ref="E305:F305"/>
    <mergeCell ref="E306:F306"/>
    <mergeCell ref="E307:F307"/>
    <mergeCell ref="B309:B324"/>
    <mergeCell ref="C310:E310"/>
    <mergeCell ref="C311:E311"/>
    <mergeCell ref="F311:G311"/>
    <mergeCell ref="C312:L312"/>
    <mergeCell ref="E313:F313"/>
    <mergeCell ref="E314:F314"/>
    <mergeCell ref="E315:F315"/>
    <mergeCell ref="D316:K317"/>
    <mergeCell ref="E319:F319"/>
    <mergeCell ref="E320:F320"/>
    <mergeCell ref="E321:F321"/>
    <mergeCell ref="E322:F322"/>
    <mergeCell ref="E323:F323"/>
    <mergeCell ref="E324:F324"/>
    <mergeCell ref="B326:B341"/>
    <mergeCell ref="C327:E327"/>
    <mergeCell ref="C328:E328"/>
    <mergeCell ref="F328:G328"/>
    <mergeCell ref="C329:L329"/>
    <mergeCell ref="E330:F330"/>
    <mergeCell ref="E331:F331"/>
    <mergeCell ref="E332:F332"/>
    <mergeCell ref="D333:K334"/>
    <mergeCell ref="E336:F336"/>
    <mergeCell ref="E337:F337"/>
    <mergeCell ref="E338:F338"/>
    <mergeCell ref="E339:F339"/>
    <mergeCell ref="E340:F340"/>
    <mergeCell ref="E341:F341"/>
    <mergeCell ref="B343:B358"/>
    <mergeCell ref="C344:E344"/>
    <mergeCell ref="C345:E345"/>
    <mergeCell ref="F345:G345"/>
    <mergeCell ref="C346:L346"/>
    <mergeCell ref="E347:F347"/>
    <mergeCell ref="E348:F348"/>
    <mergeCell ref="E349:F349"/>
    <mergeCell ref="D350:K351"/>
    <mergeCell ref="E353:F353"/>
    <mergeCell ref="E354:F354"/>
    <mergeCell ref="E355:F355"/>
    <mergeCell ref="E356:F356"/>
    <mergeCell ref="E357:F357"/>
    <mergeCell ref="E358:F358"/>
  </mergeCells>
  <phoneticPr fontId="0" type="noConversion"/>
  <dataValidations xWindow="574" yWindow="139" count="18">
    <dataValidation allowBlank="1" showInputMessage="1" showErrorMessage="1" promptTitle="Employee Name" prompt="Enter the Employee's full name." sqref="C21:E21 C38:E38 C55:E55 C72:E72 C89:E89 C106:E106 C123:E123 C140:E140 C157:E157 C174:E174 C191:E191 C208:E208 C225:E225 C242:E242 C259:E259 C276:E276 C293:E293 C310:E310 C327:E327 C344:E344"/>
    <dataValidation allowBlank="1" showInputMessage="1" showErrorMessage="1" promptTitle="Begin Date" prompt="Enter the Employee's first date of employment. If this entry is due to a change in schedule, enter the begin date of the new schedule." sqref="F21 F38 F55 F72 F89 F106 F123 F140 F157 F174 F191 F208 F225 F242 F259 F276 F293 F310 F327 F344"/>
    <dataValidation allowBlank="1" showInputMessage="1" showErrorMessage="1" promptTitle="End Date" prompt="Enter the Employee's last date of employment. If this is a new Employee, enter the last day of the budget period. If this entry is due to a change in schedule, enter the end date of the current schedule." sqref="G21 G38 G55 G72 G89 G106 G123 G140 G157 G174 G191 G208 G225 G242 G259 G276 G293 G310 G327 G344"/>
    <dataValidation allowBlank="1" showInputMessage="1" showErrorMessage="1" promptTitle="S.U.T.A. Rate" prompt="Enter the S.U.T.A. rate assigned by the Texas Workforce Commission." sqref="I21 I38 I55 I72 I89 I106 I123 I140 I157 I174 I191 I208 I225 I242 I259 I276 I293 I310 I327 I344"/>
    <dataValidation allowBlank="1" showInputMessage="1" showErrorMessage="1" promptTitle="Bonus Pay" prompt="Enter the amount of any bonus paid to the Employee." sqref="G31 G48 G65 G82 G99 G116 G133 G150 G167 G184 G201 G218 G235 G252 G269 G286 G303 G320 G337 G354"/>
    <dataValidation allowBlank="1" showInputMessage="1" showErrorMessage="1" promptTitle="Number of Bonus Payments" prompt="Enter how many bonus payments the employee will receive during the budget period." sqref="H31 H48 H65 H82 H99 H116 H133 H150 H167 H184 H201 H218 H235 H252 H269 H286 H303 H320 H337 H354"/>
    <dataValidation allowBlank="1" showInputMessage="1" showErrorMessage="1" promptTitle="Paid Holidays" prompt="Enter the dollar amount per day of any paid holidays the Employee will receive." sqref="G32 G49 G66 G83 G100 G117 G134 G151 G168 G185 G202 G219 G236 G253 G270 G287 G304 G321 G338 G355"/>
    <dataValidation allowBlank="1" showInputMessage="1" showErrorMessage="1" promptTitle="Number of Paid Holidays" prompt="Enter the number of paid holidays the Employee will receive." sqref="H32 H49 H66 H83 H100 H117 H134 H151 H168 H185 H202 H219 H236 H253 H270 H287 H304 H321 H338 H355"/>
    <dataValidation allowBlank="1" showInputMessage="1" showErrorMessage="1" promptTitle="Paid Vacation Days" prompt="Enter the dollar amount per day of any vacation the Employee will receive." sqref="G33 G50 G67 G84 G101 G118 G135 G152 G169 G186 G203 G220 G237 G254 G271 G288 G305 G322 G339 G356"/>
    <dataValidation allowBlank="1" showInputMessage="1" showErrorMessage="1" promptTitle="Number of Vacation Days" prompt="Enter the number of paid vacation days the Employee will receive." sqref="H33 H50 H67 H84 H101 H118 H135 H152 H169 H186 H203 H220 H237 H254 H271 H288 H305 H322 H339 H356"/>
    <dataValidation allowBlank="1" showInputMessage="1" showErrorMessage="1" promptTitle="Paid Sick Leave" prompt="Enter the dollar amount per day of any sick leave the Employee will receive." sqref="G34 G51 G68 G85 G102 G119 G136 G153 G170 G187 G204 G221 G238 G255 G272 G289 G306 G323 G340 G357"/>
    <dataValidation allowBlank="1" showInputMessage="1" showErrorMessage="1" promptTitle="Other Compensation" prompt="If the Employee receives compenation other than those listed above, give a description of the type of compensation in this cell." sqref="E35:F36 E52:F53 E69:F70 E86:F87 E103:F104 E120:F121 E137:F138 E154:F155 E171:F172 E188:F189 E205:F206 E222:F223 E239:F240 E256:F257 E273:F274 E290:F291 E307:F308 E324:F325 E341:F342 E358:F358"/>
    <dataValidation allowBlank="1" showInputMessage="1" showErrorMessage="1" promptTitle="Other Compensation" prompt="Enter the amount of any other compensation paid to the Employee." sqref="G35:G36 G52:G53 G69:G70 G86:G87 G103:G104 G120:G121 G137:G138 G154:G155 G171:G172 G188:G189 G205:G206 G222:G223 G239:G240 G256:G257 G273:G274 G290:G291 G307:G308 G324:G325 G341:G342 G358"/>
    <dataValidation allowBlank="1" showInputMessage="1" showErrorMessage="1" promptTitle="Number of Other Payments" prompt="Enter the number of payments of other compensation the Employee will receive." sqref="H35:H36 H52:H53 H69:H70 H86:H87 H103:H104 H120:H121 H137:H138 H154:H155 H171:H172 H188:H189 H205:H206 H222:H223 H239:H240 H256:H257 H273:H274 H290:H291 H307:H308 H324:H325 H341:H342 H358"/>
    <dataValidation allowBlank="1" showErrorMessage="1" promptTitle="Information Only Page" prompt="This page is for Information only.  It is not a part of the Client's budget." sqref="B1:L1"/>
    <dataValidation type="custom" errorStyle="warning" operator="equal" allowBlank="1" showInputMessage="1" showErrorMessage="1" errorTitle="Authorized Units Per Week" error="You have entered a number of units per week that is different than the authorized amount. Verify the number of units authorized and the scheduled hours per week. You cannot schedule more hours than authorized._x000a_" promptTitle="Hours per Week" prompt="Enter the number of hours the employee is scheduled to work each week." sqref="G25 G42 G59 G76 G93 G110 G127 G144 G161 G178 G195 G212 G229 G246 G263 G280 G297 G314 G331 G348">
      <formula1>IF(N25="True",G25,)</formula1>
    </dataValidation>
    <dataValidation type="custom" allowBlank="1" showInputMessage="1" showErrorMessage="1" errorTitle="Minimum Wage" error="The minimum allowable wage is $7.86." promptTitle="Pay Rate" prompt="Enter the hourly pay rate." sqref="H25 H42 H59 H76 H93 H110 H127 H144 H161 H178 H195 H212 H229 H246 H263 H280 H297 H314 H331 H348">
      <formula1>IF(H25&gt;=7.86,H25,)</formula1>
    </dataValidation>
    <dataValidation type="list" allowBlank="1" showInputMessage="1" showErrorMessage="1" errorTitle="Household Exemption" error="Make a selection from the list concerning the employee's familial relationship with the employer." promptTitle="Household Exemption" prompt="Make a selection from the list concerning the employee's tax status based on familial relationship with the employer." sqref="F22:G22 F39:G39 F56:G56 F73:G73 F90:G90 F107:G107 F124:G124 F141:G141 F158:G158 F175:G175 F192:G192 F209:G209 F226:G226 F243:G243 F260:G260 F277:G277 F294:G294 F311:G311 F328:G328 F345:G345">
      <formula1>$P$2:$P$4</formula1>
    </dataValidation>
  </dataValidations>
  <printOptions horizontalCentered="1"/>
  <pageMargins left="0.2" right="0.2" top="0.53" bottom="0.45" header="0" footer="0.17"/>
  <pageSetup scale="82" fitToHeight="0" orientation="portrait" r:id="rId3"/>
  <headerFooter alignWithMargins="0">
    <oddHeader>&amp;L&amp;8Texas Department of 
Aging and Disability Services&amp;R&amp;8Primary Home Care CDS Budget
September 2009</oddHeader>
    <oddFooter>&amp;R&amp;8Date and Time Created
&amp;D &amp;T</oddFooter>
  </headerFooter>
  <ignoredErrors>
    <ignoredError sqref="L11"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4" zoomScale="75" zoomScaleNormal="75" workbookViewId="0">
      <selection activeCell="N35" sqref="N35"/>
    </sheetView>
  </sheetViews>
  <sheetFormatPr defaultRowHeight="12.75" x14ac:dyDescent="0.2"/>
  <cols>
    <col min="1" max="1" width="4.42578125" style="1" customWidth="1"/>
    <col min="2" max="2" width="4.140625" style="1" customWidth="1"/>
    <col min="3" max="3" width="46.5703125" style="1" customWidth="1"/>
    <col min="4" max="4" width="16.42578125" style="1" customWidth="1"/>
    <col min="5" max="5" width="4.28515625" style="1" customWidth="1"/>
    <col min="6" max="6" width="16.28515625" style="1" customWidth="1"/>
    <col min="7" max="7" width="4.140625" style="1" customWidth="1"/>
    <col min="8" max="8" width="4.42578125" style="1" customWidth="1"/>
    <col min="9" max="9" width="9.140625" style="1"/>
    <col min="10" max="10" width="9.140625" style="1" hidden="1" customWidth="1"/>
    <col min="11" max="16384" width="9.140625" style="1"/>
  </cols>
  <sheetData>
    <row r="1" spans="1:10" x14ac:dyDescent="0.2">
      <c r="B1" s="26"/>
    </row>
    <row r="2" spans="1:10" ht="38.25" customHeight="1" x14ac:dyDescent="0.3">
      <c r="B2" s="260" t="s">
        <v>130</v>
      </c>
      <c r="C2" s="260"/>
      <c r="D2" s="260"/>
      <c r="E2" s="260"/>
      <c r="F2" s="260"/>
      <c r="G2" s="260"/>
      <c r="H2" s="2"/>
    </row>
    <row r="3" spans="1:10" ht="15" x14ac:dyDescent="0.25">
      <c r="B3" s="454" t="s">
        <v>66</v>
      </c>
      <c r="C3" s="454"/>
      <c r="D3" s="454"/>
      <c r="E3" s="454"/>
      <c r="F3" s="454"/>
      <c r="G3" s="454"/>
      <c r="H3" s="20"/>
    </row>
    <row r="4" spans="1:10" ht="15" x14ac:dyDescent="0.25">
      <c r="B4" s="26"/>
      <c r="C4" s="20"/>
      <c r="D4" s="20"/>
      <c r="E4" s="20"/>
      <c r="F4" s="20"/>
      <c r="G4" s="20"/>
      <c r="H4" s="20"/>
    </row>
    <row r="5" spans="1:10" ht="15.75" thickBot="1" x14ac:dyDescent="0.3">
      <c r="B5" s="26"/>
      <c r="C5" s="21">
        <f>Consumer_Name</f>
        <v>0</v>
      </c>
      <c r="D5" s="27"/>
      <c r="E5" s="27"/>
      <c r="F5" s="21">
        <f>Medicaid_Number</f>
        <v>0</v>
      </c>
      <c r="G5" s="27"/>
      <c r="H5" s="27"/>
    </row>
    <row r="6" spans="1:10" ht="14.25" x14ac:dyDescent="0.2">
      <c r="B6" s="26"/>
      <c r="C6" s="22" t="s">
        <v>36</v>
      </c>
      <c r="D6" s="22"/>
      <c r="E6" s="22"/>
      <c r="F6" s="28" t="s">
        <v>37</v>
      </c>
      <c r="G6" s="29"/>
      <c r="H6" s="29"/>
      <c r="J6" s="1">
        <v>1</v>
      </c>
    </row>
    <row r="7" spans="1:10" ht="15" thickBot="1" x14ac:dyDescent="0.25">
      <c r="B7" s="26"/>
      <c r="C7" s="22"/>
      <c r="D7" s="22"/>
      <c r="E7" s="22"/>
      <c r="F7" s="29"/>
      <c r="G7" s="29"/>
      <c r="H7" s="29"/>
      <c r="J7" s="1">
        <v>2</v>
      </c>
    </row>
    <row r="8" spans="1:10" ht="15.75" thickBot="1" x14ac:dyDescent="0.3">
      <c r="B8" s="26"/>
      <c r="C8" s="23" t="s">
        <v>67</v>
      </c>
      <c r="D8" s="111"/>
      <c r="E8" s="22" t="s">
        <v>6</v>
      </c>
      <c r="F8" s="111"/>
      <c r="G8" s="24"/>
      <c r="H8" s="29"/>
      <c r="J8" s="1">
        <v>3</v>
      </c>
    </row>
    <row r="9" spans="1:10" ht="16.5" thickBot="1" x14ac:dyDescent="0.3">
      <c r="A9" s="11"/>
      <c r="B9" s="11"/>
      <c r="C9" s="23" t="s">
        <v>68</v>
      </c>
      <c r="D9" s="35"/>
      <c r="E9" s="72"/>
      <c r="F9" s="11"/>
      <c r="J9" s="1">
        <v>4</v>
      </c>
    </row>
    <row r="10" spans="1:10" ht="15.75" x14ac:dyDescent="0.25">
      <c r="A10" s="11"/>
      <c r="B10" s="11"/>
      <c r="C10" s="23"/>
      <c r="D10" s="115"/>
      <c r="E10" s="72"/>
      <c r="F10" s="11"/>
    </row>
    <row r="11" spans="1:10" ht="15.75" x14ac:dyDescent="0.25">
      <c r="A11" s="11"/>
      <c r="B11" s="11"/>
      <c r="C11" s="88"/>
      <c r="D11" s="62"/>
      <c r="E11" s="72"/>
      <c r="F11" s="11"/>
    </row>
    <row r="12" spans="1:10" ht="15.75" customHeight="1" x14ac:dyDescent="0.25">
      <c r="A12" s="11"/>
      <c r="B12" s="285" t="s">
        <v>79</v>
      </c>
      <c r="C12" s="285"/>
      <c r="D12" s="285"/>
      <c r="E12" s="285"/>
      <c r="F12" s="285"/>
      <c r="G12" s="285"/>
    </row>
    <row r="13" spans="1:10" ht="15.75" customHeight="1" x14ac:dyDescent="0.25">
      <c r="A13" s="11"/>
      <c r="B13" s="3"/>
      <c r="C13" s="3"/>
      <c r="D13" s="3"/>
      <c r="E13" s="3"/>
      <c r="F13" s="3"/>
      <c r="G13" s="3"/>
    </row>
    <row r="14" spans="1:10" ht="15.75" customHeight="1" thickBot="1" x14ac:dyDescent="0.3">
      <c r="A14" s="11"/>
      <c r="B14" s="229"/>
      <c r="C14" s="229"/>
      <c r="D14" s="229"/>
      <c r="E14" s="229"/>
      <c r="F14" s="229"/>
      <c r="G14" s="229"/>
    </row>
    <row r="15" spans="1:10" ht="15.75" customHeight="1" thickBot="1" x14ac:dyDescent="0.3">
      <c r="A15" s="11"/>
      <c r="B15" s="222"/>
      <c r="C15" s="466" t="s">
        <v>200</v>
      </c>
      <c r="D15" s="466"/>
      <c r="E15" s="466"/>
      <c r="F15" s="466"/>
      <c r="G15" s="223"/>
    </row>
    <row r="16" spans="1:10" ht="15.75" customHeight="1" thickBot="1" x14ac:dyDescent="0.3">
      <c r="A16" s="11"/>
      <c r="B16" s="224"/>
      <c r="C16" s="89"/>
      <c r="D16" s="467" t="s">
        <v>198</v>
      </c>
      <c r="E16" s="467"/>
      <c r="F16" s="232" t="s">
        <v>199</v>
      </c>
      <c r="G16" s="225"/>
    </row>
    <row r="17" spans="1:7" ht="15.75" customHeight="1" thickBot="1" x14ac:dyDescent="0.3">
      <c r="A17" s="11"/>
      <c r="B17" s="224"/>
      <c r="C17" s="106" t="s">
        <v>71</v>
      </c>
      <c r="D17" s="440">
        <f>ESS_Purchases/4</f>
        <v>0</v>
      </c>
      <c r="E17" s="463"/>
      <c r="F17" s="112"/>
      <c r="G17" s="225"/>
    </row>
    <row r="18" spans="1:7" ht="15.75" customHeight="1" thickBot="1" x14ac:dyDescent="0.3">
      <c r="A18" s="11"/>
      <c r="B18" s="224"/>
      <c r="C18" s="106" t="s">
        <v>72</v>
      </c>
      <c r="D18" s="440">
        <f>ESS_Purchases/4</f>
        <v>0</v>
      </c>
      <c r="E18" s="463"/>
      <c r="F18" s="112"/>
      <c r="G18" s="225"/>
    </row>
    <row r="19" spans="1:7" ht="15.75" customHeight="1" thickBot="1" x14ac:dyDescent="0.3">
      <c r="A19" s="11"/>
      <c r="B19" s="224"/>
      <c r="C19" s="106" t="s">
        <v>73</v>
      </c>
      <c r="D19" s="440">
        <f>ESS_Purchases/4</f>
        <v>0</v>
      </c>
      <c r="E19" s="463"/>
      <c r="F19" s="112"/>
      <c r="G19" s="225"/>
    </row>
    <row r="20" spans="1:7" ht="15.75" customHeight="1" thickBot="1" x14ac:dyDescent="0.3">
      <c r="A20" s="11"/>
      <c r="B20" s="224"/>
      <c r="C20" s="106" t="s">
        <v>74</v>
      </c>
      <c r="D20" s="464">
        <f>ESS_Purchases/4</f>
        <v>0</v>
      </c>
      <c r="E20" s="465"/>
      <c r="F20" s="112"/>
      <c r="G20" s="225"/>
    </row>
    <row r="21" spans="1:7" ht="15.75" customHeight="1" thickBot="1" x14ac:dyDescent="0.3">
      <c r="A21" s="11"/>
      <c r="B21" s="224"/>
      <c r="C21" s="99" t="s">
        <v>127</v>
      </c>
      <c r="D21" s="448">
        <f>SUM(D17:E20)</f>
        <v>0</v>
      </c>
      <c r="E21" s="448"/>
      <c r="F21" s="100">
        <f>SUM(F17:F20)</f>
        <v>0</v>
      </c>
      <c r="G21" s="225"/>
    </row>
    <row r="22" spans="1:7" ht="15.75" customHeight="1" thickBot="1" x14ac:dyDescent="0.3">
      <c r="A22" s="11"/>
      <c r="B22" s="230"/>
      <c r="C22" s="226"/>
      <c r="D22" s="227"/>
      <c r="E22" s="227"/>
      <c r="F22" s="228"/>
      <c r="G22" s="231"/>
    </row>
    <row r="23" spans="1:7" ht="6.75" customHeight="1" thickBot="1" x14ac:dyDescent="0.25">
      <c r="A23" s="11"/>
      <c r="B23" s="12"/>
      <c r="C23" s="12"/>
      <c r="D23" s="12"/>
      <c r="E23" s="12"/>
      <c r="F23" s="12"/>
      <c r="G23" s="4"/>
    </row>
    <row r="24" spans="1:7" ht="19.5" thickBot="1" x14ac:dyDescent="0.35">
      <c r="A24" s="11"/>
      <c r="B24" s="346" t="s">
        <v>124</v>
      </c>
      <c r="C24" s="347"/>
      <c r="D24" s="347"/>
      <c r="E24" s="347"/>
      <c r="F24" s="347"/>
      <c r="G24" s="392"/>
    </row>
    <row r="25" spans="1:7" ht="6" customHeight="1" thickBot="1" x14ac:dyDescent="0.35">
      <c r="A25" s="11"/>
      <c r="B25" s="83"/>
      <c r="C25" s="84"/>
      <c r="D25" s="84"/>
      <c r="E25" s="84"/>
      <c r="F25" s="84"/>
      <c r="G25" s="85"/>
    </row>
    <row r="26" spans="1:7" ht="17.25" customHeight="1" x14ac:dyDescent="0.2">
      <c r="A26" s="11"/>
      <c r="B26" s="25"/>
      <c r="C26" s="456" t="s">
        <v>125</v>
      </c>
      <c r="D26" s="457"/>
      <c r="E26" s="48"/>
      <c r="F26" s="90">
        <f>Taxable</f>
        <v>0</v>
      </c>
      <c r="G26" s="91"/>
    </row>
    <row r="27" spans="1:7" ht="17.25" customHeight="1" thickBot="1" x14ac:dyDescent="0.25">
      <c r="A27" s="11"/>
      <c r="B27" s="25"/>
      <c r="C27" s="458" t="s">
        <v>126</v>
      </c>
      <c r="D27" s="459"/>
      <c r="E27" s="10"/>
      <c r="F27" s="92">
        <f>'Taxable Wage &amp; Compensation'!L10</f>
        <v>0</v>
      </c>
      <c r="G27" s="91"/>
    </row>
    <row r="28" spans="1:7" ht="15" customHeight="1" thickBot="1" x14ac:dyDescent="0.25">
      <c r="A28" s="11"/>
      <c r="B28" s="25"/>
      <c r="C28" s="93"/>
      <c r="D28" s="93"/>
      <c r="E28" s="94"/>
      <c r="F28" s="94"/>
      <c r="G28" s="91"/>
    </row>
    <row r="29" spans="1:7" ht="16.5" thickBot="1" x14ac:dyDescent="0.25">
      <c r="A29" s="11"/>
      <c r="B29" s="95"/>
      <c r="C29" s="460" t="s">
        <v>81</v>
      </c>
      <c r="D29" s="461"/>
      <c r="E29" s="461"/>
      <c r="F29" s="462"/>
      <c r="G29" s="96"/>
    </row>
    <row r="30" spans="1:7" ht="15" thickBot="1" x14ac:dyDescent="0.25">
      <c r="A30" s="11"/>
      <c r="B30" s="95"/>
      <c r="C30" s="89"/>
      <c r="D30" s="455" t="s">
        <v>69</v>
      </c>
      <c r="E30" s="455"/>
      <c r="F30" s="97" t="s">
        <v>70</v>
      </c>
      <c r="G30" s="96"/>
    </row>
    <row r="31" spans="1:7" ht="15" thickBot="1" x14ac:dyDescent="0.25">
      <c r="B31" s="95"/>
      <c r="C31" s="98" t="s">
        <v>71</v>
      </c>
      <c r="D31" s="440">
        <f>F26/4</f>
        <v>0</v>
      </c>
      <c r="E31" s="441"/>
      <c r="F31" s="112"/>
      <c r="G31" s="96"/>
    </row>
    <row r="32" spans="1:7" ht="15" thickBot="1" x14ac:dyDescent="0.25">
      <c r="B32" s="95"/>
      <c r="C32" s="98" t="s">
        <v>72</v>
      </c>
      <c r="D32" s="440">
        <f>F26/4</f>
        <v>0</v>
      </c>
      <c r="E32" s="441"/>
      <c r="F32" s="112"/>
      <c r="G32" s="96"/>
    </row>
    <row r="33" spans="2:11" ht="15" thickBot="1" x14ac:dyDescent="0.25">
      <c r="B33" s="95"/>
      <c r="C33" s="98" t="s">
        <v>73</v>
      </c>
      <c r="D33" s="440">
        <f>F26/4</f>
        <v>0</v>
      </c>
      <c r="E33" s="441"/>
      <c r="F33" s="112"/>
      <c r="G33" s="96"/>
    </row>
    <row r="34" spans="2:11" ht="15" thickBot="1" x14ac:dyDescent="0.25">
      <c r="B34" s="95"/>
      <c r="C34" s="98" t="s">
        <v>74</v>
      </c>
      <c r="D34" s="440">
        <f>F26/4</f>
        <v>0</v>
      </c>
      <c r="E34" s="441"/>
      <c r="F34" s="112"/>
      <c r="G34" s="96"/>
    </row>
    <row r="35" spans="2:11" ht="15.75" thickBot="1" x14ac:dyDescent="0.3">
      <c r="B35" s="95"/>
      <c r="C35" s="99" t="s">
        <v>127</v>
      </c>
      <c r="D35" s="448">
        <f>SUM(D31:E34)</f>
        <v>0</v>
      </c>
      <c r="E35" s="448"/>
      <c r="F35" s="100">
        <f>SUM(F31:F34)</f>
        <v>0</v>
      </c>
      <c r="G35" s="96"/>
    </row>
    <row r="36" spans="2:11" ht="15" customHeight="1" thickBot="1" x14ac:dyDescent="0.3">
      <c r="B36" s="95"/>
      <c r="C36" s="101"/>
      <c r="D36" s="102"/>
      <c r="E36" s="103"/>
      <c r="F36" s="103"/>
      <c r="G36" s="96"/>
      <c r="J36" s="79">
        <f>F21+F35</f>
        <v>0</v>
      </c>
    </row>
    <row r="37" spans="2:11" ht="15" customHeight="1" thickBot="1" x14ac:dyDescent="0.3">
      <c r="B37" s="95"/>
      <c r="C37" s="437" t="str">
        <f>Service_Type</f>
        <v>Non-Priority</v>
      </c>
      <c r="D37" s="438"/>
      <c r="E37" s="438"/>
      <c r="F37" s="439"/>
      <c r="G37" s="96"/>
    </row>
    <row r="38" spans="2:11" ht="15" customHeight="1" thickBot="1" x14ac:dyDescent="0.25">
      <c r="B38" s="95"/>
      <c r="C38" s="104"/>
      <c r="D38" s="449" t="s">
        <v>80</v>
      </c>
      <c r="E38" s="449"/>
      <c r="F38" s="105" t="s">
        <v>70</v>
      </c>
      <c r="G38" s="96"/>
    </row>
    <row r="39" spans="2:11" ht="15" customHeight="1" thickBot="1" x14ac:dyDescent="0.25">
      <c r="B39" s="95"/>
      <c r="C39" s="106" t="s">
        <v>75</v>
      </c>
      <c r="D39" s="446">
        <f>Annual_Auth_Hours/4</f>
        <v>0</v>
      </c>
      <c r="E39" s="447"/>
      <c r="F39" s="113"/>
      <c r="G39" s="96"/>
    </row>
    <row r="40" spans="2:11" ht="15" customHeight="1" thickBot="1" x14ac:dyDescent="0.25">
      <c r="B40" s="95"/>
      <c r="C40" s="106" t="s">
        <v>76</v>
      </c>
      <c r="D40" s="446">
        <f>Annual_Auth_Hours/4</f>
        <v>0</v>
      </c>
      <c r="E40" s="447"/>
      <c r="F40" s="113"/>
      <c r="G40" s="96"/>
    </row>
    <row r="41" spans="2:11" ht="15" customHeight="1" thickBot="1" x14ac:dyDescent="0.25">
      <c r="B41" s="95"/>
      <c r="C41" s="106" t="s">
        <v>77</v>
      </c>
      <c r="D41" s="446">
        <f>Annual_Auth_Hours/4</f>
        <v>0</v>
      </c>
      <c r="E41" s="447"/>
      <c r="F41" s="113"/>
      <c r="G41" s="96"/>
    </row>
    <row r="42" spans="2:11" ht="15" customHeight="1" thickBot="1" x14ac:dyDescent="0.25">
      <c r="B42" s="95"/>
      <c r="C42" s="106" t="s">
        <v>78</v>
      </c>
      <c r="D42" s="446">
        <f>Annual_Auth_Hours/4</f>
        <v>0</v>
      </c>
      <c r="E42" s="447"/>
      <c r="F42" s="113"/>
      <c r="G42" s="96"/>
    </row>
    <row r="43" spans="2:11" ht="15.75" thickBot="1" x14ac:dyDescent="0.3">
      <c r="B43" s="95"/>
      <c r="C43" s="99" t="s">
        <v>128</v>
      </c>
      <c r="D43" s="453">
        <f>SUM(D39:D42)</f>
        <v>0</v>
      </c>
      <c r="E43" s="453"/>
      <c r="F43" s="107">
        <f>SUM(F39:F42)</f>
        <v>0</v>
      </c>
      <c r="G43" s="96"/>
    </row>
    <row r="44" spans="2:11" ht="15" customHeight="1" thickBot="1" x14ac:dyDescent="0.3">
      <c r="B44" s="95"/>
      <c r="C44" s="450" t="s">
        <v>129</v>
      </c>
      <c r="D44" s="451"/>
      <c r="E44" s="452"/>
      <c r="F44" s="207">
        <f>D43-F43</f>
        <v>0</v>
      </c>
      <c r="G44" s="96"/>
    </row>
    <row r="45" spans="2:11" ht="15" customHeight="1" x14ac:dyDescent="0.25">
      <c r="B45" s="95"/>
      <c r="C45" s="101"/>
      <c r="D45" s="150"/>
      <c r="E45" s="150"/>
      <c r="F45" s="151"/>
      <c r="G45" s="96"/>
    </row>
    <row r="46" spans="2:11" ht="5.25" customHeight="1" thickBot="1" x14ac:dyDescent="0.25">
      <c r="B46" s="25"/>
      <c r="C46" s="4"/>
      <c r="D46" s="4"/>
      <c r="E46" s="4"/>
      <c r="F46" s="4"/>
      <c r="G46" s="96"/>
      <c r="K46" s="66"/>
    </row>
    <row r="47" spans="2:11" ht="30.75" customHeight="1" x14ac:dyDescent="0.25">
      <c r="B47" s="25"/>
      <c r="C47" s="442" t="s">
        <v>83</v>
      </c>
      <c r="D47" s="443"/>
      <c r="E47" s="208"/>
      <c r="F47" s="209">
        <f>Total_Budget-J36</f>
        <v>0</v>
      </c>
      <c r="G47" s="108"/>
      <c r="K47" s="66"/>
    </row>
    <row r="48" spans="2:11" ht="30.75" customHeight="1" thickBot="1" x14ac:dyDescent="0.3">
      <c r="B48" s="25"/>
      <c r="C48" s="444" t="s">
        <v>82</v>
      </c>
      <c r="D48" s="445"/>
      <c r="E48" s="210"/>
      <c r="F48" s="233" t="e">
        <f>J36/Total_Budget</f>
        <v>#DIV/0!</v>
      </c>
      <c r="G48" s="109"/>
      <c r="K48" s="66"/>
    </row>
    <row r="49" spans="1:11" ht="27" customHeight="1" thickBot="1" x14ac:dyDescent="0.25">
      <c r="B49" s="110"/>
      <c r="C49" s="436" t="s">
        <v>123</v>
      </c>
      <c r="D49" s="436"/>
      <c r="E49" s="436"/>
      <c r="F49" s="436"/>
      <c r="G49" s="86"/>
      <c r="K49" s="66"/>
    </row>
    <row r="50" spans="1:11" ht="13.5" customHeight="1" x14ac:dyDescent="0.2">
      <c r="A50" s="22"/>
      <c r="B50" s="22"/>
      <c r="C50" s="22"/>
      <c r="D50" s="22"/>
      <c r="E50" s="22"/>
      <c r="F50" s="22"/>
      <c r="G50" s="29"/>
      <c r="H50" s="29"/>
      <c r="K50" s="66"/>
    </row>
    <row r="51" spans="1:11" ht="13.5" customHeight="1" x14ac:dyDescent="0.2">
      <c r="A51" s="22"/>
      <c r="B51" s="22"/>
      <c r="C51" s="22"/>
      <c r="D51" s="22"/>
      <c r="E51" s="22"/>
      <c r="F51" s="22"/>
      <c r="G51" s="29"/>
      <c r="H51" s="29"/>
      <c r="K51" s="66"/>
    </row>
    <row r="52" spans="1:11" ht="13.5" thickBot="1" x14ac:dyDescent="0.25"/>
    <row r="53" spans="1:11" x14ac:dyDescent="0.2">
      <c r="C53" s="422" t="s">
        <v>86</v>
      </c>
      <c r="D53" s="423"/>
      <c r="E53" s="423"/>
      <c r="F53" s="424"/>
    </row>
    <row r="54" spans="1:11" ht="13.5" thickBot="1" x14ac:dyDescent="0.25">
      <c r="C54" s="425"/>
      <c r="D54" s="426"/>
      <c r="E54" s="426"/>
      <c r="F54" s="427"/>
    </row>
    <row r="56" spans="1:11" ht="13.5" thickBot="1" x14ac:dyDescent="0.25"/>
    <row r="57" spans="1:11" x14ac:dyDescent="0.2">
      <c r="C57" s="428"/>
      <c r="D57" s="429"/>
      <c r="F57" s="432"/>
    </row>
    <row r="58" spans="1:11" ht="13.5" thickBot="1" x14ac:dyDescent="0.25">
      <c r="C58" s="430"/>
      <c r="D58" s="431"/>
      <c r="F58" s="433"/>
    </row>
    <row r="59" spans="1:11" x14ac:dyDescent="0.2">
      <c r="C59" s="421" t="s">
        <v>87</v>
      </c>
      <c r="D59" s="421"/>
      <c r="F59" s="434" t="s">
        <v>85</v>
      </c>
    </row>
    <row r="60" spans="1:11" x14ac:dyDescent="0.2">
      <c r="F60" s="435"/>
    </row>
    <row r="62" spans="1:11" ht="12.75" customHeight="1" x14ac:dyDescent="0.2"/>
    <row r="63" spans="1:11" ht="13.5" thickBot="1" x14ac:dyDescent="0.25">
      <c r="F63" s="10"/>
    </row>
    <row r="64" spans="1:11" x14ac:dyDescent="0.2">
      <c r="C64" s="421" t="s">
        <v>84</v>
      </c>
      <c r="D64" s="421"/>
      <c r="F64" s="1" t="s">
        <v>0</v>
      </c>
    </row>
  </sheetData>
  <sheetProtection password="E7F0" sheet="1" objects="1" scenarios="1"/>
  <mergeCells count="37">
    <mergeCell ref="B2:G2"/>
    <mergeCell ref="B3:G3"/>
    <mergeCell ref="B12:G12"/>
    <mergeCell ref="D30:E30"/>
    <mergeCell ref="B24:G24"/>
    <mergeCell ref="C26:D26"/>
    <mergeCell ref="C27:D27"/>
    <mergeCell ref="C29:F29"/>
    <mergeCell ref="D19:E19"/>
    <mergeCell ref="D20:E20"/>
    <mergeCell ref="D21:E21"/>
    <mergeCell ref="C15:F15"/>
    <mergeCell ref="D16:E16"/>
    <mergeCell ref="D17:E17"/>
    <mergeCell ref="D18:E18"/>
    <mergeCell ref="C49:F49"/>
    <mergeCell ref="C37:F37"/>
    <mergeCell ref="D31:E31"/>
    <mergeCell ref="C47:D47"/>
    <mergeCell ref="C48:D48"/>
    <mergeCell ref="D40:E40"/>
    <mergeCell ref="D35:E35"/>
    <mergeCell ref="D32:E32"/>
    <mergeCell ref="D33:E33"/>
    <mergeCell ref="D34:E34"/>
    <mergeCell ref="D38:E38"/>
    <mergeCell ref="D39:E39"/>
    <mergeCell ref="D41:E41"/>
    <mergeCell ref="D42:E42"/>
    <mergeCell ref="C44:E44"/>
    <mergeCell ref="D43:E43"/>
    <mergeCell ref="C64:D64"/>
    <mergeCell ref="C59:D59"/>
    <mergeCell ref="C53:F54"/>
    <mergeCell ref="C57:D58"/>
    <mergeCell ref="F57:F58"/>
    <mergeCell ref="F59:F60"/>
  </mergeCells>
  <phoneticPr fontId="0" type="noConversion"/>
  <dataValidations count="3">
    <dataValidation allowBlank="1" showInputMessage="1" showErrorMessage="1" promptTitle="Quarterly Report - From Date" prompt="Enter the begin date for the period of this quarterly report.  Be sure to change the date for each quarterly report." sqref="D8"/>
    <dataValidation allowBlank="1" showInputMessage="1" showErrorMessage="1" promptTitle="Quarterly Report- To Date" prompt="Enter the end date for the period of this quarterly report.  Be sure to change the date for each quarterly report." sqref="F8"/>
    <dataValidation type="list" allowBlank="1" showInputMessage="1" showErrorMessage="1" promptTitle="Quarter Number" prompt="Select the appropriate Quarter Number from the drop-down list.  Be sure to change the number for each quarterly report." sqref="D9">
      <formula1>$J$6:$J$9</formula1>
    </dataValidation>
  </dataValidations>
  <printOptions horizontalCentered="1"/>
  <pageMargins left="0.75" right="0.75" top="0.55000000000000004" bottom="0.55000000000000004" header="0.17" footer="0.17"/>
  <pageSetup scale="73" orientation="portrait" r:id="rId1"/>
  <headerFooter alignWithMargins="0">
    <oddHeader>&amp;L&amp;8Texas Department of 
Aging and Disability Services&amp;R&amp;8Primary Home Care CDS Budget
Quarterly Report
September 2009</oddHeader>
    <oddFooter>&amp;R&amp;8Date and Time Created
&amp;D &amp;T</oddFooter>
  </headerFooter>
  <rowBreaks count="1" manualBreakCount="1">
    <brk id="6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75" workbookViewId="0">
      <selection activeCell="H2" sqref="H2"/>
    </sheetView>
  </sheetViews>
  <sheetFormatPr defaultRowHeight="12.75" x14ac:dyDescent="0.2"/>
  <cols>
    <col min="1" max="1" width="4.140625" style="161" customWidth="1"/>
    <col min="2" max="2" width="3" style="161" customWidth="1"/>
    <col min="3" max="3" width="39.85546875" style="161" customWidth="1"/>
    <col min="4" max="4" width="5.7109375" style="161" customWidth="1"/>
    <col min="5" max="5" width="3" style="161" customWidth="1"/>
    <col min="6" max="6" width="39.7109375" style="161" customWidth="1"/>
    <col min="7" max="7" width="4.140625" style="161" customWidth="1"/>
    <col min="8" max="8" width="14" style="161" customWidth="1"/>
    <col min="9" max="9" width="4" style="161" customWidth="1"/>
    <col min="10" max="16384" width="9.140625" style="161"/>
  </cols>
  <sheetData>
    <row r="1" spans="1:9" x14ac:dyDescent="0.2">
      <c r="A1" s="64"/>
      <c r="B1" s="156"/>
      <c r="C1" s="156"/>
      <c r="D1" s="156"/>
      <c r="E1" s="64"/>
      <c r="F1" s="64"/>
      <c r="G1" s="64"/>
      <c r="H1" s="64"/>
      <c r="I1" s="64"/>
    </row>
    <row r="2" spans="1:9" ht="60" customHeight="1" x14ac:dyDescent="0.2">
      <c r="B2" s="475" t="s">
        <v>130</v>
      </c>
      <c r="C2" s="475"/>
      <c r="D2" s="475"/>
      <c r="E2" s="475"/>
      <c r="F2" s="475"/>
    </row>
    <row r="3" spans="1:9" ht="15.75" x14ac:dyDescent="0.25">
      <c r="B3" s="473" t="s">
        <v>154</v>
      </c>
      <c r="C3" s="473"/>
      <c r="D3" s="473"/>
      <c r="E3" s="473"/>
      <c r="F3" s="473"/>
    </row>
    <row r="4" spans="1:9" ht="15.75" x14ac:dyDescent="0.25">
      <c r="B4" s="156"/>
      <c r="C4" s="212"/>
      <c r="D4" s="212"/>
    </row>
    <row r="5" spans="1:9" ht="15.75" x14ac:dyDescent="0.25">
      <c r="B5" s="476" t="s">
        <v>155</v>
      </c>
      <c r="C5" s="476"/>
      <c r="D5" s="476"/>
      <c r="E5" s="476"/>
      <c r="F5" s="476"/>
    </row>
    <row r="6" spans="1:9" ht="15.75" x14ac:dyDescent="0.25">
      <c r="B6" s="213"/>
      <c r="C6" s="213"/>
      <c r="D6" s="213"/>
      <c r="E6" s="213"/>
      <c r="F6" s="213"/>
    </row>
    <row r="7" spans="1:9" ht="15.75" x14ac:dyDescent="0.25">
      <c r="B7" s="213"/>
      <c r="C7" s="213"/>
      <c r="D7" s="213"/>
      <c r="E7" s="213"/>
      <c r="F7" s="213"/>
    </row>
    <row r="8" spans="1:9" ht="12.75" customHeight="1" x14ac:dyDescent="0.25">
      <c r="B8" s="213"/>
      <c r="C8" s="213"/>
      <c r="D8" s="213"/>
      <c r="E8" s="213"/>
      <c r="F8" s="213"/>
    </row>
    <row r="9" spans="1:9" ht="15.75" x14ac:dyDescent="0.25">
      <c r="B9" s="473" t="s">
        <v>156</v>
      </c>
      <c r="C9" s="473"/>
      <c r="D9" s="473"/>
      <c r="E9" s="473"/>
      <c r="F9" s="473"/>
    </row>
    <row r="10" spans="1:9" ht="9" customHeight="1" x14ac:dyDescent="0.2">
      <c r="B10" s="156"/>
      <c r="C10" s="156"/>
      <c r="D10" s="156"/>
      <c r="E10" s="214"/>
    </row>
    <row r="11" spans="1:9" x14ac:dyDescent="0.2">
      <c r="A11" s="215"/>
      <c r="B11" s="470" t="s">
        <v>157</v>
      </c>
      <c r="C11" s="470"/>
      <c r="D11" s="215"/>
      <c r="E11" s="470" t="s">
        <v>158</v>
      </c>
      <c r="F11" s="470"/>
      <c r="G11" s="215"/>
    </row>
    <row r="12" spans="1:9" x14ac:dyDescent="0.2">
      <c r="A12" s="215"/>
      <c r="B12" s="474" t="s">
        <v>159</v>
      </c>
      <c r="C12" s="474"/>
      <c r="D12" s="158"/>
      <c r="E12" s="468" t="s">
        <v>160</v>
      </c>
      <c r="F12" s="468"/>
      <c r="G12" s="215"/>
    </row>
    <row r="13" spans="1:9" x14ac:dyDescent="0.2">
      <c r="A13" s="215"/>
      <c r="B13" s="215"/>
      <c r="C13" s="215" t="s">
        <v>161</v>
      </c>
      <c r="D13" s="215"/>
      <c r="E13" s="215"/>
      <c r="F13" s="215" t="s">
        <v>162</v>
      </c>
      <c r="G13" s="215"/>
    </row>
    <row r="14" spans="1:9" x14ac:dyDescent="0.2">
      <c r="A14" s="215"/>
      <c r="B14" s="215"/>
      <c r="C14" s="215" t="s">
        <v>23</v>
      </c>
      <c r="D14" s="215"/>
      <c r="G14" s="215"/>
    </row>
    <row r="15" spans="1:9" x14ac:dyDescent="0.2">
      <c r="A15" s="215"/>
      <c r="B15" s="215"/>
      <c r="C15" s="215" t="s">
        <v>163</v>
      </c>
      <c r="D15" s="215"/>
      <c r="G15" s="215"/>
    </row>
    <row r="16" spans="1:9" x14ac:dyDescent="0.2">
      <c r="A16" s="215"/>
      <c r="B16" s="215"/>
      <c r="C16" s="215" t="s">
        <v>164</v>
      </c>
      <c r="D16" s="215"/>
      <c r="G16" s="215"/>
    </row>
    <row r="17" spans="1:7" x14ac:dyDescent="0.2">
      <c r="A17" s="215"/>
      <c r="B17" s="215"/>
      <c r="C17" s="215" t="s">
        <v>165</v>
      </c>
      <c r="D17" s="215"/>
      <c r="G17" s="215"/>
    </row>
    <row r="18" spans="1:7" x14ac:dyDescent="0.2">
      <c r="A18" s="215"/>
      <c r="B18" s="215"/>
      <c r="C18" s="215" t="s">
        <v>166</v>
      </c>
      <c r="D18" s="215"/>
      <c r="G18" s="215"/>
    </row>
    <row r="19" spans="1:7" x14ac:dyDescent="0.2">
      <c r="A19" s="215"/>
      <c r="B19" s="215"/>
      <c r="C19" s="215"/>
      <c r="D19" s="215"/>
      <c r="G19" s="215"/>
    </row>
    <row r="20" spans="1:7" x14ac:dyDescent="0.2">
      <c r="A20" s="215"/>
      <c r="B20" s="215"/>
      <c r="C20" s="215"/>
      <c r="D20" s="158"/>
      <c r="G20" s="215"/>
    </row>
    <row r="21" spans="1:7" x14ac:dyDescent="0.2">
      <c r="A21" s="215"/>
      <c r="B21" s="215"/>
      <c r="C21" s="215"/>
      <c r="D21" s="158"/>
      <c r="G21" s="215"/>
    </row>
    <row r="22" spans="1:7" ht="15.75" x14ac:dyDescent="0.25">
      <c r="B22" s="473" t="s">
        <v>167</v>
      </c>
      <c r="C22" s="473"/>
      <c r="D22" s="473"/>
      <c r="E22" s="473"/>
      <c r="F22" s="473"/>
    </row>
    <row r="23" spans="1:7" ht="9" customHeight="1" x14ac:dyDescent="0.2">
      <c r="A23" s="215"/>
      <c r="B23" s="215"/>
      <c r="C23" s="215"/>
      <c r="D23" s="158"/>
      <c r="G23" s="215"/>
    </row>
    <row r="24" spans="1:7" x14ac:dyDescent="0.2">
      <c r="A24" s="215"/>
      <c r="B24" s="471" t="s">
        <v>168</v>
      </c>
      <c r="C24" s="471"/>
      <c r="D24" s="215"/>
      <c r="E24" s="470" t="s">
        <v>158</v>
      </c>
      <c r="F24" s="470"/>
      <c r="G24" s="215"/>
    </row>
    <row r="25" spans="1:7" x14ac:dyDescent="0.2">
      <c r="A25" s="215"/>
      <c r="B25" s="215"/>
      <c r="C25" s="215" t="s">
        <v>169</v>
      </c>
      <c r="D25" s="215"/>
      <c r="E25" s="472" t="s">
        <v>170</v>
      </c>
      <c r="F25" s="472"/>
      <c r="G25" s="215"/>
    </row>
    <row r="26" spans="1:7" x14ac:dyDescent="0.2">
      <c r="A26" s="215"/>
      <c r="B26" s="215"/>
      <c r="C26" s="215" t="s">
        <v>171</v>
      </c>
      <c r="D26" s="215"/>
      <c r="E26" s="472" t="s">
        <v>172</v>
      </c>
      <c r="F26" s="472"/>
      <c r="G26" s="215"/>
    </row>
    <row r="27" spans="1:7" x14ac:dyDescent="0.2">
      <c r="A27" s="215"/>
      <c r="B27" s="215"/>
      <c r="C27" s="215" t="s">
        <v>173</v>
      </c>
      <c r="D27" s="215"/>
      <c r="E27" s="217"/>
      <c r="F27" s="215" t="s">
        <v>174</v>
      </c>
      <c r="G27" s="215"/>
    </row>
    <row r="28" spans="1:7" x14ac:dyDescent="0.2">
      <c r="A28" s="215"/>
      <c r="B28" s="215"/>
      <c r="C28" s="215" t="s">
        <v>175</v>
      </c>
      <c r="D28" s="215"/>
      <c r="E28" s="217"/>
      <c r="F28" s="215" t="s">
        <v>176</v>
      </c>
      <c r="G28" s="215"/>
    </row>
    <row r="29" spans="1:7" x14ac:dyDescent="0.2">
      <c r="A29" s="215"/>
      <c r="B29" s="215"/>
      <c r="C29" s="215" t="s">
        <v>177</v>
      </c>
      <c r="D29" s="215"/>
      <c r="E29" s="217"/>
      <c r="F29" s="215" t="s">
        <v>178</v>
      </c>
      <c r="G29" s="215"/>
    </row>
    <row r="30" spans="1:7" x14ac:dyDescent="0.2">
      <c r="A30" s="215"/>
      <c r="B30" s="215"/>
      <c r="C30" s="215" t="s">
        <v>179</v>
      </c>
      <c r="D30" s="215"/>
      <c r="E30" s="215"/>
      <c r="F30" s="215"/>
      <c r="G30" s="215"/>
    </row>
    <row r="31" spans="1:7" x14ac:dyDescent="0.2">
      <c r="A31" s="215"/>
      <c r="B31" s="215"/>
      <c r="C31" s="215" t="s">
        <v>180</v>
      </c>
      <c r="D31" s="215"/>
      <c r="E31" s="470" t="s">
        <v>181</v>
      </c>
      <c r="F31" s="470"/>
      <c r="G31" s="215"/>
    </row>
    <row r="32" spans="1:7" x14ac:dyDescent="0.2">
      <c r="A32" s="215"/>
      <c r="B32" s="215"/>
      <c r="C32" s="215" t="s">
        <v>182</v>
      </c>
      <c r="D32" s="215"/>
      <c r="F32" s="215" t="s">
        <v>183</v>
      </c>
      <c r="G32" s="215"/>
    </row>
    <row r="33" spans="1:7" ht="12.75" customHeight="1" x14ac:dyDescent="0.2">
      <c r="A33" s="215"/>
      <c r="B33" s="215"/>
      <c r="C33" s="215"/>
      <c r="D33" s="215"/>
      <c r="F33" s="215" t="s">
        <v>184</v>
      </c>
      <c r="G33" s="215"/>
    </row>
    <row r="34" spans="1:7" ht="12.75" customHeight="1" x14ac:dyDescent="0.2">
      <c r="A34" s="215"/>
      <c r="B34" s="470" t="s">
        <v>185</v>
      </c>
      <c r="C34" s="470"/>
      <c r="D34" s="215"/>
      <c r="F34" s="215" t="s">
        <v>186</v>
      </c>
      <c r="G34" s="215"/>
    </row>
    <row r="35" spans="1:7" ht="12.75" customHeight="1" x14ac:dyDescent="0.2">
      <c r="A35" s="215"/>
      <c r="C35" s="215" t="s">
        <v>187</v>
      </c>
      <c r="D35" s="215"/>
      <c r="F35" s="215" t="s">
        <v>188</v>
      </c>
      <c r="G35" s="215"/>
    </row>
    <row r="36" spans="1:7" ht="12.75" customHeight="1" x14ac:dyDescent="0.2">
      <c r="A36" s="215"/>
      <c r="C36" s="215" t="s">
        <v>189</v>
      </c>
      <c r="D36" s="215"/>
      <c r="G36" s="215"/>
    </row>
    <row r="37" spans="1:7" x14ac:dyDescent="0.2">
      <c r="A37" s="215"/>
      <c r="C37" s="215" t="s">
        <v>190</v>
      </c>
      <c r="D37" s="215"/>
      <c r="E37" s="469" t="s">
        <v>191</v>
      </c>
      <c r="F37" s="469"/>
      <c r="G37" s="215"/>
    </row>
    <row r="38" spans="1:7" ht="12.75" customHeight="1" x14ac:dyDescent="0.2">
      <c r="C38" s="215" t="s">
        <v>192</v>
      </c>
      <c r="D38" s="215"/>
      <c r="E38" s="468" t="s">
        <v>193</v>
      </c>
      <c r="F38" s="468"/>
      <c r="G38" s="215"/>
    </row>
    <row r="39" spans="1:7" ht="12.75" customHeight="1" x14ac:dyDescent="0.2">
      <c r="A39" s="215"/>
      <c r="B39" s="215"/>
      <c r="C39" s="215" t="s">
        <v>194</v>
      </c>
      <c r="D39" s="215"/>
      <c r="F39" s="161" t="s">
        <v>195</v>
      </c>
      <c r="G39" s="215"/>
    </row>
    <row r="40" spans="1:7" ht="12.75" customHeight="1" x14ac:dyDescent="0.2">
      <c r="A40" s="215"/>
      <c r="B40" s="217"/>
      <c r="C40" s="215"/>
      <c r="D40" s="215"/>
      <c r="F40" s="161" t="s">
        <v>196</v>
      </c>
      <c r="G40" s="215"/>
    </row>
    <row r="41" spans="1:7" ht="12.75" customHeight="1" x14ac:dyDescent="0.2">
      <c r="D41" s="215"/>
      <c r="G41" s="215"/>
    </row>
    <row r="42" spans="1:7" x14ac:dyDescent="0.2">
      <c r="C42" s="215"/>
      <c r="D42" s="215"/>
      <c r="F42" s="215"/>
      <c r="G42" s="215"/>
    </row>
    <row r="43" spans="1:7" x14ac:dyDescent="0.2">
      <c r="C43" s="215"/>
      <c r="D43" s="215"/>
      <c r="G43" s="215"/>
    </row>
    <row r="44" spans="1:7" x14ac:dyDescent="0.2">
      <c r="A44" s="215"/>
      <c r="B44" s="158"/>
      <c r="C44" s="158"/>
      <c r="D44" s="158"/>
      <c r="E44" s="158"/>
      <c r="F44" s="158"/>
      <c r="G44" s="215"/>
    </row>
    <row r="45" spans="1:7" x14ac:dyDescent="0.2">
      <c r="A45" s="215"/>
      <c r="B45" s="215"/>
      <c r="C45" s="215"/>
      <c r="E45" s="216"/>
      <c r="F45" s="218"/>
      <c r="G45" s="215"/>
    </row>
    <row r="46" spans="1:7" ht="12.75" customHeight="1" x14ac:dyDescent="0.2">
      <c r="D46" s="217"/>
      <c r="E46" s="217"/>
      <c r="F46" s="217"/>
      <c r="G46" s="215"/>
    </row>
    <row r="47" spans="1:7" ht="12.75" customHeight="1" x14ac:dyDescent="0.2">
      <c r="D47" s="217"/>
      <c r="E47" s="217"/>
      <c r="F47" s="217"/>
      <c r="G47" s="215"/>
    </row>
    <row r="48" spans="1:7" ht="12.75" customHeight="1" x14ac:dyDescent="0.2">
      <c r="D48" s="217"/>
      <c r="E48" s="217"/>
      <c r="F48" s="217"/>
      <c r="G48" s="215"/>
    </row>
    <row r="49" spans="1:7" x14ac:dyDescent="0.2">
      <c r="A49" s="217"/>
      <c r="D49" s="218"/>
      <c r="E49" s="218"/>
      <c r="F49" s="218"/>
      <c r="G49" s="215"/>
    </row>
    <row r="50" spans="1:7" x14ac:dyDescent="0.2">
      <c r="A50" s="217"/>
      <c r="D50" s="218"/>
      <c r="E50" s="218"/>
      <c r="F50" s="218"/>
      <c r="G50" s="215"/>
    </row>
    <row r="51" spans="1:7" x14ac:dyDescent="0.2">
      <c r="A51" s="217"/>
      <c r="D51" s="218"/>
      <c r="E51" s="218"/>
      <c r="F51" s="218"/>
      <c r="G51" s="215"/>
    </row>
    <row r="52" spans="1:7" x14ac:dyDescent="0.2">
      <c r="A52" s="217"/>
      <c r="B52" s="217"/>
      <c r="C52" s="215"/>
      <c r="D52" s="218"/>
      <c r="E52" s="218"/>
      <c r="F52" s="218"/>
      <c r="G52" s="215"/>
    </row>
    <row r="53" spans="1:7" x14ac:dyDescent="0.2">
      <c r="A53" s="217"/>
      <c r="B53" s="217"/>
      <c r="C53" s="215"/>
      <c r="D53" s="218"/>
      <c r="E53" s="218"/>
      <c r="F53" s="218"/>
      <c r="G53" s="215"/>
    </row>
    <row r="54" spans="1:7" x14ac:dyDescent="0.2">
      <c r="A54" s="217"/>
      <c r="B54" s="217"/>
      <c r="C54" s="215"/>
      <c r="D54" s="218"/>
      <c r="E54" s="218"/>
      <c r="F54" s="218"/>
      <c r="G54" s="215"/>
    </row>
    <row r="55" spans="1:7" x14ac:dyDescent="0.2">
      <c r="A55" s="219"/>
      <c r="B55" s="215"/>
      <c r="C55" s="215"/>
      <c r="D55" s="215"/>
      <c r="E55" s="215"/>
      <c r="F55" s="215"/>
      <c r="G55" s="215"/>
    </row>
    <row r="56" spans="1:7" x14ac:dyDescent="0.2">
      <c r="A56" s="215"/>
      <c r="B56" s="215"/>
      <c r="C56" s="215"/>
      <c r="D56" s="215"/>
      <c r="E56" s="215"/>
      <c r="F56" s="215"/>
      <c r="G56" s="215"/>
    </row>
    <row r="57" spans="1:7" x14ac:dyDescent="0.2">
      <c r="A57" s="215"/>
      <c r="B57" s="215"/>
      <c r="C57" s="215"/>
      <c r="D57" s="215"/>
      <c r="E57" s="215"/>
      <c r="F57" s="215"/>
      <c r="G57" s="215"/>
    </row>
    <row r="58" spans="1:7" x14ac:dyDescent="0.2">
      <c r="A58" s="219"/>
      <c r="B58" s="215"/>
      <c r="C58" s="215"/>
      <c r="D58" s="215"/>
      <c r="E58" s="215"/>
      <c r="F58" s="215"/>
      <c r="G58" s="215"/>
    </row>
    <row r="59" spans="1:7" x14ac:dyDescent="0.2">
      <c r="A59" s="215"/>
      <c r="B59" s="215"/>
      <c r="C59" s="158"/>
      <c r="D59" s="215"/>
      <c r="E59" s="215"/>
      <c r="F59" s="215"/>
      <c r="G59" s="215"/>
    </row>
    <row r="60" spans="1:7" x14ac:dyDescent="0.2">
      <c r="A60" s="215"/>
      <c r="B60" s="215"/>
      <c r="C60" s="215"/>
      <c r="D60" s="215"/>
      <c r="E60" s="215"/>
      <c r="F60" s="215"/>
      <c r="G60" s="215"/>
    </row>
    <row r="61" spans="1:7" x14ac:dyDescent="0.2">
      <c r="A61" s="215"/>
      <c r="B61" s="215"/>
      <c r="C61" s="215"/>
      <c r="D61" s="215"/>
      <c r="E61" s="215"/>
      <c r="F61" s="215"/>
      <c r="G61" s="215"/>
    </row>
    <row r="62" spans="1:7" x14ac:dyDescent="0.2">
      <c r="A62" s="215"/>
      <c r="B62" s="215"/>
      <c r="C62" s="215"/>
      <c r="D62" s="215"/>
      <c r="E62" s="215"/>
      <c r="F62" s="215"/>
      <c r="G62" s="215"/>
    </row>
    <row r="63" spans="1:7" x14ac:dyDescent="0.2">
      <c r="A63" s="215"/>
      <c r="B63" s="215"/>
      <c r="C63" s="215"/>
      <c r="D63" s="215"/>
      <c r="E63" s="216"/>
      <c r="F63" s="220"/>
      <c r="G63" s="215"/>
    </row>
    <row r="64" spans="1:7" x14ac:dyDescent="0.2">
      <c r="A64" s="215"/>
      <c r="B64" s="215"/>
      <c r="C64" s="215"/>
      <c r="D64" s="215"/>
      <c r="F64" s="215"/>
      <c r="G64" s="215"/>
    </row>
    <row r="65" spans="1:7" x14ac:dyDescent="0.2">
      <c r="A65" s="215"/>
      <c r="B65" s="215"/>
      <c r="C65" s="215"/>
      <c r="D65" s="215"/>
      <c r="F65" s="221"/>
      <c r="G65" s="215"/>
    </row>
    <row r="66" spans="1:7" x14ac:dyDescent="0.2">
      <c r="A66" s="215"/>
      <c r="B66" s="215"/>
      <c r="C66" s="215"/>
      <c r="D66" s="215"/>
      <c r="F66" s="215"/>
      <c r="G66" s="215"/>
    </row>
    <row r="67" spans="1:7" x14ac:dyDescent="0.2">
      <c r="A67" s="215"/>
      <c r="B67" s="215"/>
      <c r="C67" s="215"/>
      <c r="D67" s="215"/>
      <c r="F67" s="215"/>
      <c r="G67" s="215"/>
    </row>
    <row r="68" spans="1:7" x14ac:dyDescent="0.2">
      <c r="A68" s="215"/>
      <c r="B68" s="215"/>
      <c r="C68" s="215"/>
      <c r="D68" s="215"/>
      <c r="E68" s="215"/>
      <c r="F68" s="215"/>
      <c r="G68" s="215"/>
    </row>
    <row r="69" spans="1:7" x14ac:dyDescent="0.2">
      <c r="A69" s="215"/>
      <c r="B69" s="215"/>
      <c r="C69" s="215"/>
      <c r="D69" s="215"/>
      <c r="E69" s="215"/>
      <c r="F69" s="215"/>
      <c r="G69" s="215"/>
    </row>
  </sheetData>
  <sheetProtection password="E7F0" sheet="1" objects="1" scenarios="1"/>
  <mergeCells count="17">
    <mergeCell ref="B2:F2"/>
    <mergeCell ref="B3:F3"/>
    <mergeCell ref="B5:F5"/>
    <mergeCell ref="E11:F11"/>
    <mergeCell ref="B9:F9"/>
    <mergeCell ref="B11:C11"/>
    <mergeCell ref="E38:F38"/>
    <mergeCell ref="E37:F37"/>
    <mergeCell ref="B34:C34"/>
    <mergeCell ref="B24:C24"/>
    <mergeCell ref="E12:F12"/>
    <mergeCell ref="E24:F24"/>
    <mergeCell ref="E26:F26"/>
    <mergeCell ref="E31:F31"/>
    <mergeCell ref="B22:F22"/>
    <mergeCell ref="B12:C12"/>
    <mergeCell ref="E25:F25"/>
  </mergeCells>
  <phoneticPr fontId="0" type="noConversion"/>
  <dataValidations xWindow="502" yWindow="139" count="1">
    <dataValidation allowBlank="1" showErrorMessage="1" promptTitle="Information Only Page" prompt="This page is for Information only.  It is not a part of the Client's budget." sqref="B2"/>
  </dataValidations>
  <printOptions horizontalCentered="1"/>
  <pageMargins left="0.2" right="0.2" top="0.75" bottom="0.25" header="0" footer="0.25"/>
  <pageSetup orientation="portrait" r:id="rId1"/>
  <headerFooter alignWithMargins="0">
    <oddHeader>&amp;L&amp;8Texas Department of 
Aging and Disability Services&amp;R&amp;8Primary Home Care CDS Budget
September 2009</oddHeader>
    <oddFooter>&amp;R&amp;8Date and Time Created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General Information</vt:lpstr>
      <vt:lpstr>Consumer Information &amp; Approval</vt:lpstr>
      <vt:lpstr>Notes</vt:lpstr>
      <vt:lpstr>Authorized Units &amp; Budget</vt:lpstr>
      <vt:lpstr>ESS &amp; Non-Taxable</vt:lpstr>
      <vt:lpstr>Taxable Wage &amp; Compensation</vt:lpstr>
      <vt:lpstr>Quarterly Report</vt:lpstr>
      <vt:lpstr>Definitions</vt:lpstr>
      <vt:lpstr>Annual_Auth_Hours</vt:lpstr>
      <vt:lpstr>Budget_Balance</vt:lpstr>
      <vt:lpstr>Consumer_Name</vt:lpstr>
      <vt:lpstr>Days</vt:lpstr>
      <vt:lpstr>DR_LAR</vt:lpstr>
      <vt:lpstr>ESS_Purchases</vt:lpstr>
      <vt:lpstr>FICA</vt:lpstr>
      <vt:lpstr>From</vt:lpstr>
      <vt:lpstr>FUTA</vt:lpstr>
      <vt:lpstr>FUTA_Max</vt:lpstr>
      <vt:lpstr>Medicaid_Number</vt:lpstr>
      <vt:lpstr>Medicare</vt:lpstr>
      <vt:lpstr>Min_Compensation</vt:lpstr>
      <vt:lpstr>Min_Employee_Comp</vt:lpstr>
      <vt:lpstr>Min_Employee_Compensation</vt:lpstr>
      <vt:lpstr>Non_Taxable</vt:lpstr>
      <vt:lpstr>'Authorized Units &amp; Budget'!Print_Area</vt:lpstr>
      <vt:lpstr>'Consumer Information &amp; Approval'!Print_Area</vt:lpstr>
      <vt:lpstr>Definitions!Print_Area</vt:lpstr>
      <vt:lpstr>'ESS &amp; Non-Taxable'!Print_Area</vt:lpstr>
      <vt:lpstr>'General Information'!Print_Area</vt:lpstr>
      <vt:lpstr>Notes!Print_Area</vt:lpstr>
      <vt:lpstr>'Taxable Wage &amp; Compensation'!Print_Titles</vt:lpstr>
      <vt:lpstr>Service_Type</vt:lpstr>
      <vt:lpstr>SUTA_Max</vt:lpstr>
      <vt:lpstr>Taxable</vt:lpstr>
      <vt:lpstr>Taxable_Funds</vt:lpstr>
      <vt:lpstr>To</vt:lpstr>
      <vt:lpstr>Total_Budget</vt:lpstr>
      <vt:lpstr>Total_PAS_Dollars</vt:lpstr>
      <vt:lpstr>Total_Tax</vt:lpstr>
      <vt:lpstr>Weekly_Authorized_Supported_Home_Living_Hours</vt:lpstr>
      <vt:lpstr>Weeks</vt:lpstr>
    </vt:vector>
  </TitlesOfParts>
  <Company>Texas Department of Aging and Disability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DADS CDS Attendant Care Budget</dc:title>
  <dc:creator>Sarah E. Hambrick</dc:creator>
  <cp:lastModifiedBy>Rodriguez,Mario (DADS)</cp:lastModifiedBy>
  <cp:lastPrinted>2007-08-29T16:31:00Z</cp:lastPrinted>
  <dcterms:created xsi:type="dcterms:W3CDTF">2001-07-04T15:10:40Z</dcterms:created>
  <dcterms:modified xsi:type="dcterms:W3CDTF">2014-09-02T16:37:06Z</dcterms:modified>
  <cp:category>CDS</cp:category>
</cp:coreProperties>
</file>