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890" yWindow="330" windowWidth="15480" windowHeight="11640" tabRatio="857" activeTab="5"/>
  </bookViews>
  <sheets>
    <sheet name="General Information" sheetId="1" r:id="rId1"/>
    <sheet name="Consumer Information &amp; Approval" sheetId="14" r:id="rId2"/>
    <sheet name="Notes" sheetId="7" r:id="rId3"/>
    <sheet name="Authorized Units &amp; Budget" sheetId="3" r:id="rId4"/>
    <sheet name="ESS, OHR, &amp; Non-Taxable" sheetId="4" r:id="rId5"/>
    <sheet name="Taxable Wage &amp; Compensation" sheetId="5" r:id="rId6"/>
    <sheet name="Quarterly Report" sheetId="6" r:id="rId7"/>
    <sheet name="Definitions" sheetId="15" r:id="rId8"/>
  </sheets>
  <externalReferences>
    <externalReference r:id="rId9"/>
    <externalReference r:id="rId10"/>
    <externalReference r:id="rId11"/>
  </externalReferences>
  <definedNames>
    <definedName name="Admin">#REF!</definedName>
    <definedName name="Administrative_Percent" localSheetId="2">Notes!#REF!</definedName>
    <definedName name="Auth_SC_Amount">'ESS, OHR, &amp; Non-Taxable'!#REF!</definedName>
    <definedName name="Auth_SC_Amt">'ESS, OHR, &amp; Non-Taxable'!$J$31</definedName>
    <definedName name="Benefits">#REF!</definedName>
    <definedName name="Billing_Percent" localSheetId="2">Notes!#REF!</definedName>
    <definedName name="Budget_Balance">'Taxable Wage &amp; Compensation'!$L$11</definedName>
    <definedName name="Client">#REF!</definedName>
    <definedName name="Client_Name">#REF!</definedName>
    <definedName name="CMPAS_Rate">#REF!</definedName>
    <definedName name="Consumer_Name">'Consumer Information &amp; Approval'!$D$5</definedName>
    <definedName name="Days">'Consumer Information &amp; Approval'!$I$23</definedName>
    <definedName name="DR_LAR">'Consumer Information &amp; Approval'!$E$18</definedName>
    <definedName name="EADollars">'Authorized Units &amp; Budget'!$D$45</definedName>
    <definedName name="EAHours">'Authorized Units &amp; Budget'!$D$42</definedName>
    <definedName name="Employer_Tax">#REF!</definedName>
    <definedName name="ESS_Amount">'ESS, OHR, &amp; Non-Taxable'!$G$12</definedName>
    <definedName name="ESS_Purchases">'ESS, OHR, &amp; Non-Taxable'!$G$23</definedName>
    <definedName name="ESSforSC">'ESS, OHR, &amp; Non-Taxable'!$G$26</definedName>
    <definedName name="FICA" localSheetId="7">#REF!</definedName>
    <definedName name="FICA">'Taxable Wage &amp; Compensation'!$Q$13</definedName>
    <definedName name="From" localSheetId="7">#REF!</definedName>
    <definedName name="From">'Consumer Information &amp; Approval'!$D$23</definedName>
    <definedName name="FUTA" localSheetId="7">#REF!</definedName>
    <definedName name="FUTA">'Taxable Wage &amp; Compensation'!$Q$12</definedName>
    <definedName name="FUTA_Max" localSheetId="7">#REF!</definedName>
    <definedName name="FUTA_Max">'Taxable Wage &amp; Compensation'!$Q$9</definedName>
    <definedName name="Hab_Dollars">'Authorized Units &amp; Budget'!$D$18</definedName>
    <definedName name="HMO_Percentage" localSheetId="2">Notes!#REF!</definedName>
    <definedName name="Hourly">#REF!</definedName>
    <definedName name="Hourly_Back">#REF!</definedName>
    <definedName name="Hourly_Max">#REF!</definedName>
    <definedName name="Hourly_Min">#REF!</definedName>
    <definedName name="Hourly_Reg">#REF!</definedName>
    <definedName name="Hourly_Total">#REF!</definedName>
    <definedName name="IHR_Dollars">'Authorized Units &amp; Budget'!$D$28</definedName>
    <definedName name="Max_Admin" localSheetId="7">#REF!</definedName>
    <definedName name="Max_Admin" localSheetId="2">Notes!#REF!</definedName>
    <definedName name="Max_Admin">'[1]Admin &amp; Compensation'!$F$38</definedName>
    <definedName name="Medicaid_Number">'Consumer Information &amp; Approval'!$D$7</definedName>
    <definedName name="Medicare" localSheetId="7">#REF!</definedName>
    <definedName name="Medicare">'Taxable Wage &amp; Compensation'!$Q$14</definedName>
    <definedName name="Min_Compensation" localSheetId="7">#REF!</definedName>
    <definedName name="Min_Compensation" localSheetId="2">Notes!#REF!</definedName>
    <definedName name="Min_Compensation">'ESS, OHR, &amp; Non-Taxable'!$G$43</definedName>
    <definedName name="Min_Employee_Comp">'ESS, OHR, &amp; Non-Taxable'!$G$43</definedName>
    <definedName name="Name">#REF!</definedName>
    <definedName name="NegotiatedRate">'ESS, OHR, &amp; Non-Taxable'!$G$39</definedName>
    <definedName name="Non_Taxable">'ESS, OHR, &amp; Non-Taxable'!$G$49</definedName>
    <definedName name="NULHrs">'Authorized Units &amp; Budget'!#REF!</definedName>
    <definedName name="NULSHrs">'Authorized Units &amp; Budget'!#REF!</definedName>
    <definedName name="Number">#REF!</definedName>
    <definedName name="NURHrs">'Authorized Units &amp; Budget'!$D$21</definedName>
    <definedName name="NURSHrs">'Authorized Units &amp; Budget'!#REF!</definedName>
    <definedName name="Nursing_LVN_Dollars">'[2]Authorized Units &amp; Budget'!$D$62</definedName>
    <definedName name="Nursing_RN_Dollars">'[2]Authorized Units &amp; Budget'!$D$57</definedName>
    <definedName name="NursingLVNHrs">'[2]Authorized Units &amp; Budget'!$D$60</definedName>
    <definedName name="NursingRNHrs">'[2]Authorized Units &amp; Budget'!$D$55</definedName>
    <definedName name="OHR_Dollars">'Authorized Units &amp; Budget'!$D$33</definedName>
    <definedName name="OHR_Units">'[3]Authorized Units &amp; Budget'!$J$45</definedName>
    <definedName name="OT_Dollars">'[2]Authorized Units &amp; Budget'!$D$67</definedName>
    <definedName name="OTHrs">'Authorized Units &amp; Budget'!#REF!</definedName>
    <definedName name="PAS_Dollars">'[3]Authorized Units &amp; Budget'!$D$18</definedName>
    <definedName name="_xlnm.Print_Area" localSheetId="3">'Authorized Units &amp; Budget'!$A$1:$G$34</definedName>
    <definedName name="_xlnm.Print_Area" localSheetId="1">'Consumer Information &amp; Approval'!$A$1:$H$38</definedName>
    <definedName name="_xlnm.Print_Area" localSheetId="7">Definitions!$A$1:$G$43</definedName>
    <definedName name="_xlnm.Print_Area" localSheetId="4">'ESS, OHR, &amp; Non-Taxable'!$A$1:$H$62</definedName>
    <definedName name="_xlnm.Print_Area" localSheetId="0">'General Information'!$A$1:$E$30</definedName>
    <definedName name="_xlnm.Print_Area" localSheetId="2">Notes!$A$1:$G$52</definedName>
    <definedName name="Program">#REF!</definedName>
    <definedName name="PT_Dollars">'[2]Authorized Units &amp; Budget'!$D$72</definedName>
    <definedName name="PTHrs">'Authorized Units &amp; Budget'!#REF!</definedName>
    <definedName name="SC_funded_by_ESS">'ESS, OHR, &amp; Non-Taxable'!$G$29</definedName>
    <definedName name="SC_Funded_Outside_ESS">'ESS, OHR, &amp; Non-Taxable'!$G$30</definedName>
    <definedName name="SC_Units">'ESS, OHR, &amp; Non-Taxable'!$G$28</definedName>
    <definedName name="SCS_Rate">'ESS, OHR, &amp; Non-Taxable'!$J$30</definedName>
    <definedName name="SCTax">'ESS, OHR, &amp; Non-Taxable'!$G$32</definedName>
    <definedName name="SEDollars">'Authorized Units &amp; Budget'!$D$39</definedName>
    <definedName name="SEHours">'Authorized Units &amp; Budget'!$D$36</definedName>
    <definedName name="SP_Dollars">'[2]Authorized Units &amp; Budget'!$D$77</definedName>
    <definedName name="Specialized_Nursing_LVN_Dollars">'[2]Authorized Units &amp; Budget'!$D$87</definedName>
    <definedName name="Specialized_Nursing_RN_Dollars">'[2]Authorized Units &amp; Budget'!$D$82</definedName>
    <definedName name="SpecNursingLVNHrs">'[2]Authorized Units &amp; Budget'!$D$85</definedName>
    <definedName name="SpecNursingRNHrs">'[2]Authorized Units &amp; Budget'!$D$80</definedName>
    <definedName name="SPHrs">'Authorized Units &amp; Budget'!#REF!</definedName>
    <definedName name="Subtotal">'ESS, OHR, &amp; Non-Taxable'!$G$31</definedName>
    <definedName name="SUTA">'ESS, OHR, &amp; Non-Taxable'!$J$28</definedName>
    <definedName name="SUTA_Max" localSheetId="7">#REF!</definedName>
    <definedName name="SUTA_Max">'Taxable Wage &amp; Compensation'!$Q$10</definedName>
    <definedName name="Taxable">'ESS, OHR, &amp; Non-Taxable'!$G$51</definedName>
    <definedName name="Taxable_Funds">'ESS, OHR, &amp; Non-Taxable'!$G$51</definedName>
    <definedName name="To" localSheetId="7">#REF!</definedName>
    <definedName name="To">'Consumer Information &amp; Approval'!$F$23</definedName>
    <definedName name="Total_Budget">'Authorized Units &amp; Budget'!$D$10</definedName>
    <definedName name="TOTAL_ESS_SCS">'ESS, OHR, &amp; Non-Taxable'!$G$34</definedName>
    <definedName name="Total_Intervener_Dollars">'Authorized Units &amp; Budget'!$D$23</definedName>
    <definedName name="Total_Rate" localSheetId="2">Notes!#REF!</definedName>
    <definedName name="Total_SCS">'ESS, OHR, &amp; Non-Taxable'!$G$33</definedName>
    <definedName name="Total_Tax">'Taxable Wage &amp; Compensation'!$Q$15</definedName>
    <definedName name="TotalOHR">'ESS, OHR, &amp; Non-Taxable'!$G$40</definedName>
    <definedName name="Units" localSheetId="2">Notes!#REF!</definedName>
    <definedName name="Units">#REF!</definedName>
    <definedName name="Weeks" localSheetId="7">#REF!</definedName>
    <definedName name="Weeks">'Consumer Information &amp; Approval'!$J$23</definedName>
    <definedName name="Z_346F6C38_467E_4277_A934_45FBB069E11D_.wvu.PrintArea" localSheetId="3" hidden="1">'Authorized Units &amp; Budget'!$A$1:$G$13</definedName>
    <definedName name="Z_346F6C38_467E_4277_A934_45FBB069E11D_.wvu.PrintArea" localSheetId="4" hidden="1">'ESS, OHR, &amp; Non-Taxable'!$A$1:$H$62</definedName>
    <definedName name="Z_346F6C38_467E_4277_A934_45FBB069E11D_.wvu.PrintArea" localSheetId="0" hidden="1">'General Information'!$A$1:$E$30</definedName>
    <definedName name="Z_346F6C38_467E_4277_A934_45FBB069E11D_.wvu.PrintArea" localSheetId="2" hidden="1">Notes!$A$1:$G$11</definedName>
    <definedName name="Z_346F6C38_467E_4277_A934_45FBB069E11D_.wvu.PrintArea" localSheetId="5" hidden="1">'Taxable Wage &amp; Compensation'!#REF!</definedName>
    <definedName name="Z_454ECA60_FBCC_11D6_AB9B_00C04F5868C8_.wvu.PrintArea" localSheetId="3" hidden="1">'Authorized Units &amp; Budget'!$A$1:$G$13</definedName>
    <definedName name="Z_454ECA60_FBCC_11D6_AB9B_00C04F5868C8_.wvu.PrintArea" localSheetId="4" hidden="1">'ESS, OHR, &amp; Non-Taxable'!$A$1:$H$62</definedName>
    <definedName name="Z_454ECA60_FBCC_11D6_AB9B_00C04F5868C8_.wvu.PrintArea" localSheetId="0" hidden="1">'General Information'!$A$1:$E$30</definedName>
    <definedName name="Z_454ECA60_FBCC_11D6_AB9B_00C04F5868C8_.wvu.PrintArea" localSheetId="2" hidden="1">Notes!$A$1:$G$11</definedName>
    <definedName name="Z_454ECA60_FBCC_11D6_AB9B_00C04F5868C8_.wvu.PrintArea" localSheetId="5" hidden="1">'Taxable Wage &amp; Compensation'!#REF!</definedName>
  </definedNames>
  <calcPr calcId="145621"/>
  <customWorkbookViews>
    <customWorkbookView name="Tford - Personal View" guid="{346F6C38-467E-4277-A934-45FBB069E11D}" mergeInterval="0" personalView="1" maximized="1" windowWidth="987" windowHeight="566" tabRatio="764" activeSheetId="5"/>
    <customWorkbookView name="Sarah E. Hambrick - Personal View" guid="{454ECA60-FBCC-11D6-AB9B-00C04F5868C8}" mergeInterval="0" personalView="1" maximized="1" windowWidth="796" windowHeight="385" tabRatio="764" activeSheetId="2"/>
  </customWorkbookViews>
</workbook>
</file>

<file path=xl/calcChain.xml><?xml version="1.0" encoding="utf-8"?>
<calcChain xmlns="http://schemas.openxmlformats.org/spreadsheetml/2006/main">
  <c r="O315" i="5" l="1"/>
  <c r="P315" i="5" s="1"/>
  <c r="H315" i="5" s="1"/>
  <c r="I324" i="5" s="1"/>
  <c r="I319" i="5"/>
  <c r="K319" i="5" s="1"/>
  <c r="I320" i="5"/>
  <c r="K320" i="5" s="1"/>
  <c r="I321" i="5"/>
  <c r="K321" i="5"/>
  <c r="Q321" i="5"/>
  <c r="O321" i="5" s="1"/>
  <c r="I322" i="5"/>
  <c r="K322" i="5"/>
  <c r="I323" i="5"/>
  <c r="K323" i="5" s="1"/>
  <c r="O323" i="5"/>
  <c r="I329" i="5"/>
  <c r="I330" i="5"/>
  <c r="I331" i="5"/>
  <c r="I332" i="5"/>
  <c r="I333" i="5"/>
  <c r="O63" i="5"/>
  <c r="P63" i="5"/>
  <c r="H63" i="5" s="1"/>
  <c r="I72" i="5" s="1"/>
  <c r="K72" i="5" s="1"/>
  <c r="I67" i="5"/>
  <c r="K67" i="5"/>
  <c r="I68" i="5"/>
  <c r="K68" i="5"/>
  <c r="I69" i="5"/>
  <c r="K69" i="5" s="1"/>
  <c r="O69" i="5"/>
  <c r="Q69" i="5"/>
  <c r="O67" i="5" s="1"/>
  <c r="Q67" i="5" s="1"/>
  <c r="J72" i="5" s="1"/>
  <c r="I70" i="5"/>
  <c r="K70" i="5" s="1"/>
  <c r="O70" i="5"/>
  <c r="I71" i="5"/>
  <c r="K71" i="5"/>
  <c r="O71" i="5"/>
  <c r="I77" i="5"/>
  <c r="I78" i="5"/>
  <c r="I79" i="5"/>
  <c r="I80" i="5"/>
  <c r="I81" i="5"/>
  <c r="O84" i="5"/>
  <c r="P84" i="5"/>
  <c r="H84" i="5" s="1"/>
  <c r="I93" i="5" s="1"/>
  <c r="I88" i="5"/>
  <c r="K88" i="5"/>
  <c r="I89" i="5"/>
  <c r="K89" i="5"/>
  <c r="I90" i="5"/>
  <c r="K90" i="5" s="1"/>
  <c r="O90" i="5"/>
  <c r="Q90" i="5"/>
  <c r="O88" i="5" s="1"/>
  <c r="Q88" i="5" s="1"/>
  <c r="J93" i="5" s="1"/>
  <c r="I91" i="5"/>
  <c r="K91" i="5" s="1"/>
  <c r="O91" i="5"/>
  <c r="I92" i="5"/>
  <c r="K92" i="5"/>
  <c r="O92" i="5"/>
  <c r="I98" i="5"/>
  <c r="I99" i="5"/>
  <c r="I100" i="5"/>
  <c r="I101" i="5"/>
  <c r="I102" i="5"/>
  <c r="O105" i="5"/>
  <c r="P105" i="5"/>
  <c r="H105" i="5" s="1"/>
  <c r="I114" i="5" s="1"/>
  <c r="K114" i="5" s="1"/>
  <c r="I109" i="5"/>
  <c r="K109" i="5"/>
  <c r="I110" i="5"/>
  <c r="K110" i="5"/>
  <c r="I111" i="5"/>
  <c r="K111" i="5" s="1"/>
  <c r="O111" i="5"/>
  <c r="Q111" i="5"/>
  <c r="O109" i="5" s="1"/>
  <c r="Q109" i="5" s="1"/>
  <c r="J114" i="5" s="1"/>
  <c r="I112" i="5"/>
  <c r="K112" i="5" s="1"/>
  <c r="O112" i="5"/>
  <c r="I113" i="5"/>
  <c r="K113" i="5"/>
  <c r="O113" i="5"/>
  <c r="I119" i="5"/>
  <c r="I120" i="5"/>
  <c r="I121" i="5"/>
  <c r="I122" i="5"/>
  <c r="I123" i="5"/>
  <c r="O126" i="5"/>
  <c r="P126" i="5"/>
  <c r="H126" i="5" s="1"/>
  <c r="I135" i="5" s="1"/>
  <c r="I130" i="5"/>
  <c r="K130" i="5"/>
  <c r="I131" i="5"/>
  <c r="K131" i="5"/>
  <c r="I132" i="5"/>
  <c r="K132" i="5" s="1"/>
  <c r="O132" i="5"/>
  <c r="Q132" i="5"/>
  <c r="O130" i="5" s="1"/>
  <c r="Q130" i="5" s="1"/>
  <c r="J135" i="5" s="1"/>
  <c r="I133" i="5"/>
  <c r="K133" i="5" s="1"/>
  <c r="O133" i="5"/>
  <c r="I134" i="5"/>
  <c r="K134" i="5"/>
  <c r="O134" i="5"/>
  <c r="I140" i="5"/>
  <c r="I141" i="5"/>
  <c r="I142" i="5"/>
  <c r="I143" i="5"/>
  <c r="I144" i="5"/>
  <c r="O147" i="5"/>
  <c r="P147" i="5"/>
  <c r="H147" i="5" s="1"/>
  <c r="I156" i="5" s="1"/>
  <c r="K156" i="5" s="1"/>
  <c r="I151" i="5"/>
  <c r="K151" i="5"/>
  <c r="I152" i="5"/>
  <c r="K152" i="5"/>
  <c r="I153" i="5"/>
  <c r="K153" i="5" s="1"/>
  <c r="O153" i="5"/>
  <c r="Q153" i="5"/>
  <c r="O151" i="5" s="1"/>
  <c r="Q151" i="5" s="1"/>
  <c r="J156" i="5" s="1"/>
  <c r="I154" i="5"/>
  <c r="K154" i="5" s="1"/>
  <c r="O154" i="5"/>
  <c r="I155" i="5"/>
  <c r="K155" i="5"/>
  <c r="O155" i="5"/>
  <c r="I161" i="5"/>
  <c r="I162" i="5"/>
  <c r="I163" i="5"/>
  <c r="I164" i="5"/>
  <c r="I165" i="5"/>
  <c r="O168" i="5"/>
  <c r="P168" i="5"/>
  <c r="H168" i="5" s="1"/>
  <c r="I177" i="5" s="1"/>
  <c r="I172" i="5"/>
  <c r="K172" i="5"/>
  <c r="I173" i="5"/>
  <c r="K173" i="5"/>
  <c r="I174" i="5"/>
  <c r="K174" i="5" s="1"/>
  <c r="O174" i="5"/>
  <c r="Q174" i="5"/>
  <c r="O172" i="5" s="1"/>
  <c r="Q172" i="5" s="1"/>
  <c r="J177" i="5" s="1"/>
  <c r="I175" i="5"/>
  <c r="K175" i="5" s="1"/>
  <c r="O175" i="5"/>
  <c r="I176" i="5"/>
  <c r="K176" i="5"/>
  <c r="O176" i="5"/>
  <c r="I182" i="5"/>
  <c r="I183" i="5"/>
  <c r="I184" i="5"/>
  <c r="I185" i="5"/>
  <c r="I186" i="5"/>
  <c r="O189" i="5"/>
  <c r="P189" i="5"/>
  <c r="H189" i="5" s="1"/>
  <c r="I198" i="5" s="1"/>
  <c r="K198" i="5" s="1"/>
  <c r="I193" i="5"/>
  <c r="K193" i="5"/>
  <c r="I194" i="5"/>
  <c r="K194" i="5"/>
  <c r="I195" i="5"/>
  <c r="K195" i="5" s="1"/>
  <c r="O195" i="5"/>
  <c r="Q195" i="5"/>
  <c r="O193" i="5" s="1"/>
  <c r="Q193" i="5" s="1"/>
  <c r="J198" i="5" s="1"/>
  <c r="I196" i="5"/>
  <c r="K196" i="5" s="1"/>
  <c r="O196" i="5"/>
  <c r="I197" i="5"/>
  <c r="K197" i="5"/>
  <c r="O197" i="5"/>
  <c r="I203" i="5"/>
  <c r="I204" i="5"/>
  <c r="I205" i="5"/>
  <c r="I206" i="5"/>
  <c r="I207" i="5"/>
  <c r="O210" i="5"/>
  <c r="P210" i="5"/>
  <c r="H210" i="5" s="1"/>
  <c r="I219" i="5" s="1"/>
  <c r="I214" i="5"/>
  <c r="K214" i="5"/>
  <c r="I215" i="5"/>
  <c r="K215" i="5"/>
  <c r="I216" i="5"/>
  <c r="K216" i="5" s="1"/>
  <c r="O216" i="5"/>
  <c r="Q216" i="5"/>
  <c r="O214" i="5" s="1"/>
  <c r="Q214" i="5" s="1"/>
  <c r="J219" i="5" s="1"/>
  <c r="I217" i="5"/>
  <c r="K217" i="5" s="1"/>
  <c r="O217" i="5"/>
  <c r="I218" i="5"/>
  <c r="K218" i="5"/>
  <c r="O218" i="5"/>
  <c r="I224" i="5"/>
  <c r="I225" i="5"/>
  <c r="I226" i="5"/>
  <c r="I227" i="5"/>
  <c r="I228" i="5"/>
  <c r="O231" i="5"/>
  <c r="P231" i="5"/>
  <c r="H231" i="5" s="1"/>
  <c r="I240" i="5" s="1"/>
  <c r="K240" i="5" s="1"/>
  <c r="I235" i="5"/>
  <c r="K235" i="5"/>
  <c r="I236" i="5"/>
  <c r="K236" i="5"/>
  <c r="I237" i="5"/>
  <c r="K237" i="5" s="1"/>
  <c r="O237" i="5"/>
  <c r="Q237" i="5"/>
  <c r="O235" i="5" s="1"/>
  <c r="Q235" i="5" s="1"/>
  <c r="J240" i="5" s="1"/>
  <c r="I238" i="5"/>
  <c r="K238" i="5" s="1"/>
  <c r="O238" i="5"/>
  <c r="I239" i="5"/>
  <c r="K239" i="5"/>
  <c r="O239" i="5"/>
  <c r="I245" i="5"/>
  <c r="I246" i="5"/>
  <c r="I247" i="5"/>
  <c r="I248" i="5"/>
  <c r="I249" i="5"/>
  <c r="O252" i="5"/>
  <c r="P252" i="5"/>
  <c r="H252" i="5" s="1"/>
  <c r="I256" i="5"/>
  <c r="K256" i="5"/>
  <c r="I257" i="5"/>
  <c r="K257" i="5"/>
  <c r="I258" i="5"/>
  <c r="K258" i="5" s="1"/>
  <c r="O258" i="5"/>
  <c r="Q258" i="5"/>
  <c r="O256" i="5" s="1"/>
  <c r="Q256" i="5" s="1"/>
  <c r="J261" i="5" s="1"/>
  <c r="I259" i="5"/>
  <c r="K259" i="5" s="1"/>
  <c r="O259" i="5"/>
  <c r="I260" i="5"/>
  <c r="K260" i="5"/>
  <c r="O260" i="5"/>
  <c r="I261" i="5"/>
  <c r="K261" i="5" s="1"/>
  <c r="I266" i="5"/>
  <c r="I267" i="5"/>
  <c r="I268" i="5"/>
  <c r="I269" i="5"/>
  <c r="I270" i="5"/>
  <c r="O273" i="5"/>
  <c r="P273" i="5"/>
  <c r="H273" i="5" s="1"/>
  <c r="I282" i="5" s="1"/>
  <c r="I277" i="5"/>
  <c r="K277" i="5"/>
  <c r="I278" i="5"/>
  <c r="K278" i="5"/>
  <c r="I279" i="5"/>
  <c r="K279" i="5" s="1"/>
  <c r="O279" i="5"/>
  <c r="Q279" i="5"/>
  <c r="I280" i="5"/>
  <c r="K280" i="5" s="1"/>
  <c r="O280" i="5"/>
  <c r="I281" i="5"/>
  <c r="K281" i="5"/>
  <c r="O281" i="5"/>
  <c r="I287" i="5"/>
  <c r="I288" i="5"/>
  <c r="I289" i="5"/>
  <c r="I290" i="5"/>
  <c r="I291" i="5"/>
  <c r="O294" i="5"/>
  <c r="P294" i="5"/>
  <c r="H294" i="5" s="1"/>
  <c r="I303" i="5" s="1"/>
  <c r="I298" i="5"/>
  <c r="K298" i="5"/>
  <c r="I299" i="5"/>
  <c r="K299" i="5"/>
  <c r="I300" i="5"/>
  <c r="K300" i="5" s="1"/>
  <c r="O300" i="5"/>
  <c r="Q300" i="5"/>
  <c r="O298" i="5" s="1"/>
  <c r="Q298" i="5" s="1"/>
  <c r="J303" i="5" s="1"/>
  <c r="I301" i="5"/>
  <c r="K301" i="5" s="1"/>
  <c r="O301" i="5"/>
  <c r="I302" i="5"/>
  <c r="K302" i="5"/>
  <c r="O302" i="5"/>
  <c r="I308" i="5"/>
  <c r="I309" i="5"/>
  <c r="I310" i="5"/>
  <c r="I311" i="5"/>
  <c r="I312" i="5"/>
  <c r="O42" i="5"/>
  <c r="P42" i="5" s="1"/>
  <c r="H42" i="5" s="1"/>
  <c r="I51" i="5" s="1"/>
  <c r="Q48" i="5"/>
  <c r="O46" i="5" s="1"/>
  <c r="Q46" i="5" s="1"/>
  <c r="J51" i="5" s="1"/>
  <c r="O49" i="5"/>
  <c r="I56" i="5"/>
  <c r="I57" i="5"/>
  <c r="I58" i="5"/>
  <c r="I59" i="5"/>
  <c r="I60" i="5"/>
  <c r="Q15" i="5"/>
  <c r="O320" i="5" l="1"/>
  <c r="O319" i="5"/>
  <c r="Q319" i="5" s="1"/>
  <c r="J324" i="5" s="1"/>
  <c r="K324" i="5" s="1"/>
  <c r="J315" i="5" s="1"/>
  <c r="O322" i="5"/>
  <c r="K303" i="5"/>
  <c r="J294" i="5" s="1"/>
  <c r="J231" i="5"/>
  <c r="J189" i="5"/>
  <c r="J147" i="5"/>
  <c r="J105" i="5"/>
  <c r="J63" i="5"/>
  <c r="O299" i="5"/>
  <c r="O277" i="5"/>
  <c r="Q277" i="5" s="1"/>
  <c r="J282" i="5" s="1"/>
  <c r="K282" i="5" s="1"/>
  <c r="J273" i="5" s="1"/>
  <c r="O278" i="5"/>
  <c r="J252" i="5"/>
  <c r="J210" i="5"/>
  <c r="K219" i="5"/>
  <c r="J168" i="5"/>
  <c r="K177" i="5"/>
  <c r="J126" i="5"/>
  <c r="K135" i="5"/>
  <c r="J84" i="5"/>
  <c r="K93" i="5"/>
  <c r="O257" i="5"/>
  <c r="O236" i="5"/>
  <c r="O215" i="5"/>
  <c r="O194" i="5"/>
  <c r="O173" i="5"/>
  <c r="O152" i="5"/>
  <c r="O131" i="5"/>
  <c r="O110" i="5"/>
  <c r="O89" i="5"/>
  <c r="O68" i="5"/>
  <c r="O50" i="5"/>
  <c r="O48" i="5"/>
  <c r="K51" i="5"/>
  <c r="O47" i="5"/>
  <c r="Q317" i="5" l="1"/>
  <c r="L315" i="5"/>
  <c r="N315" i="5" s="1"/>
  <c r="Q316" i="5"/>
  <c r="L273" i="5"/>
  <c r="N273" i="5" s="1"/>
  <c r="Q274" i="5"/>
  <c r="Q275" i="5"/>
  <c r="K273" i="5" s="1"/>
  <c r="L294" i="5"/>
  <c r="N294" i="5" s="1"/>
  <c r="Q295" i="5"/>
  <c r="Q296" i="5"/>
  <c r="K294" i="5" s="1"/>
  <c r="Q86" i="5"/>
  <c r="L84" i="5"/>
  <c r="N84" i="5" s="1"/>
  <c r="Q85" i="5"/>
  <c r="Q128" i="5"/>
  <c r="L126" i="5"/>
  <c r="N126" i="5" s="1"/>
  <c r="Q127" i="5"/>
  <c r="Q170" i="5"/>
  <c r="L168" i="5"/>
  <c r="N168" i="5" s="1"/>
  <c r="Q169" i="5"/>
  <c r="Q212" i="5"/>
  <c r="L210" i="5"/>
  <c r="N210" i="5" s="1"/>
  <c r="Q211" i="5"/>
  <c r="Q107" i="5"/>
  <c r="L105" i="5"/>
  <c r="N105" i="5" s="1"/>
  <c r="Q106" i="5"/>
  <c r="Q191" i="5"/>
  <c r="L189" i="5"/>
  <c r="N189" i="5" s="1"/>
  <c r="Q190" i="5"/>
  <c r="Q254" i="5"/>
  <c r="L252" i="5"/>
  <c r="N252" i="5" s="1"/>
  <c r="Q253" i="5"/>
  <c r="Q65" i="5"/>
  <c r="L63" i="5"/>
  <c r="N63" i="5" s="1"/>
  <c r="Q64" i="5"/>
  <c r="Q149" i="5"/>
  <c r="L147" i="5"/>
  <c r="N147" i="5" s="1"/>
  <c r="Q148" i="5"/>
  <c r="Q233" i="5"/>
  <c r="L231" i="5"/>
  <c r="N231" i="5" s="1"/>
  <c r="Q232" i="5"/>
  <c r="K315" i="5" l="1"/>
  <c r="K252" i="5"/>
  <c r="K231" i="5"/>
  <c r="K210" i="5"/>
  <c r="K189" i="5"/>
  <c r="K168" i="5"/>
  <c r="K147" i="5"/>
  <c r="K126" i="5"/>
  <c r="K105" i="5"/>
  <c r="K84" i="5"/>
  <c r="K63" i="5"/>
  <c r="Q27" i="5"/>
  <c r="O28" i="5" s="1"/>
  <c r="D76" i="6"/>
  <c r="D77" i="6"/>
  <c r="D78" i="6"/>
  <c r="D75" i="6"/>
  <c r="D79" i="6" s="1"/>
  <c r="D67" i="6"/>
  <c r="D68" i="6"/>
  <c r="D69" i="6"/>
  <c r="D66" i="6"/>
  <c r="D70" i="6" s="1"/>
  <c r="F79" i="6"/>
  <c r="H79" i="6"/>
  <c r="F70" i="6"/>
  <c r="H70" i="6"/>
  <c r="D43" i="3"/>
  <c r="D37" i="3"/>
  <c r="D39" i="3"/>
  <c r="G69" i="6" s="1"/>
  <c r="D45" i="3"/>
  <c r="G76" i="6" s="1"/>
  <c r="O29" i="5" l="1"/>
  <c r="O27" i="5"/>
  <c r="G66" i="6"/>
  <c r="G67" i="6"/>
  <c r="G68" i="6"/>
  <c r="G75" i="6"/>
  <c r="G77" i="6"/>
  <c r="G78" i="6"/>
  <c r="F80" i="6"/>
  <c r="G79" i="6"/>
  <c r="H80" i="6" s="1"/>
  <c r="F71" i="6"/>
  <c r="G70" i="6"/>
  <c r="H71" i="6" s="1"/>
  <c r="D10" i="3"/>
  <c r="L10" i="5" s="1"/>
  <c r="D22" i="3"/>
  <c r="D23" i="3"/>
  <c r="G40" i="6"/>
  <c r="G42" i="6"/>
  <c r="D49" i="6"/>
  <c r="D50" i="6"/>
  <c r="D51" i="6"/>
  <c r="D48" i="6"/>
  <c r="D42" i="6"/>
  <c r="D40" i="6"/>
  <c r="D41" i="6"/>
  <c r="D39" i="6"/>
  <c r="I23" i="14"/>
  <c r="J23" i="14"/>
  <c r="D18" i="3"/>
  <c r="D27" i="3"/>
  <c r="D28" i="3"/>
  <c r="D32" i="3"/>
  <c r="D33" i="3"/>
  <c r="J31" i="4"/>
  <c r="K32" i="4"/>
  <c r="K33" i="4"/>
  <c r="K35" i="4"/>
  <c r="K38" i="4"/>
  <c r="K36" i="4"/>
  <c r="I39" i="5"/>
  <c r="I38" i="5"/>
  <c r="I37" i="5"/>
  <c r="I36" i="5"/>
  <c r="I35" i="5"/>
  <c r="O21" i="5"/>
  <c r="P21" i="5" s="1"/>
  <c r="H21" i="5" s="1"/>
  <c r="O25" i="5"/>
  <c r="K39" i="4"/>
  <c r="J7" i="5"/>
  <c r="G7" i="5"/>
  <c r="K4" i="5"/>
  <c r="C4" i="5"/>
  <c r="G88" i="6"/>
  <c r="G25" i="6"/>
  <c r="G96" i="6"/>
  <c r="G23" i="4"/>
  <c r="G49" i="4"/>
  <c r="G40" i="4"/>
  <c r="H52" i="6"/>
  <c r="F52" i="6"/>
  <c r="D85" i="6"/>
  <c r="D87" i="6"/>
  <c r="G5" i="6"/>
  <c r="C5" i="6"/>
  <c r="D58" i="6"/>
  <c r="D59" i="6"/>
  <c r="D60" i="6"/>
  <c r="D57" i="6"/>
  <c r="G58" i="6"/>
  <c r="G59" i="6"/>
  <c r="G60" i="6"/>
  <c r="G57" i="6"/>
  <c r="G31" i="6"/>
  <c r="G32" i="6"/>
  <c r="G33" i="6"/>
  <c r="G30" i="6"/>
  <c r="D31" i="6"/>
  <c r="D32" i="6"/>
  <c r="D33" i="6"/>
  <c r="D30" i="6"/>
  <c r="H61" i="6"/>
  <c r="F61" i="6"/>
  <c r="H43" i="6"/>
  <c r="F43" i="6"/>
  <c r="H34" i="6"/>
  <c r="F34" i="6"/>
  <c r="E5" i="7"/>
  <c r="E5" i="4"/>
  <c r="E5" i="3"/>
  <c r="C5" i="3"/>
  <c r="D8" i="3"/>
  <c r="F8" i="3"/>
  <c r="B5" i="4"/>
  <c r="D8" i="4"/>
  <c r="F8" i="4"/>
  <c r="C5" i="7"/>
  <c r="D8" i="7"/>
  <c r="F8" i="7"/>
  <c r="J27" i="4"/>
  <c r="D86" i="6"/>
  <c r="D84" i="6"/>
  <c r="G49" i="6"/>
  <c r="G51" i="6"/>
  <c r="G50" i="6"/>
  <c r="G48" i="6"/>
  <c r="G12" i="4"/>
  <c r="G26" i="4" s="1"/>
  <c r="G41" i="6"/>
  <c r="G39" i="6"/>
  <c r="I46" i="5" l="1"/>
  <c r="K46" i="5" s="1"/>
  <c r="I47" i="5"/>
  <c r="K47" i="5" s="1"/>
  <c r="I48" i="5"/>
  <c r="K48" i="5" s="1"/>
  <c r="I49" i="5"/>
  <c r="K49" i="5" s="1"/>
  <c r="I50" i="5"/>
  <c r="K50" i="5" s="1"/>
  <c r="G17" i="6"/>
  <c r="G102" i="6"/>
  <c r="J102" i="6" s="1"/>
  <c r="G103" i="6" s="1"/>
  <c r="I27" i="5"/>
  <c r="K27" i="5" s="1"/>
  <c r="I29" i="5"/>
  <c r="K29" i="5" s="1"/>
  <c r="I28" i="5"/>
  <c r="K28" i="5" s="1"/>
  <c r="I30" i="5"/>
  <c r="I25" i="5"/>
  <c r="K25" i="5" s="1"/>
  <c r="I26" i="5"/>
  <c r="K26" i="5" s="1"/>
  <c r="O26" i="5"/>
  <c r="Q25" i="5" s="1"/>
  <c r="J30" i="5" s="1"/>
  <c r="D43" i="6"/>
  <c r="F44" i="6" s="1"/>
  <c r="D61" i="6"/>
  <c r="F62" i="6" s="1"/>
  <c r="D52" i="6"/>
  <c r="F53" i="6" s="1"/>
  <c r="G61" i="6"/>
  <c r="H62" i="6" s="1"/>
  <c r="G52" i="6"/>
  <c r="H53" i="6" s="1"/>
  <c r="D88" i="6"/>
  <c r="G34" i="6"/>
  <c r="H35" i="6" s="1"/>
  <c r="D34" i="6"/>
  <c r="F35" i="6" s="1"/>
  <c r="G43" i="6"/>
  <c r="H44" i="6" s="1"/>
  <c r="G30" i="4"/>
  <c r="G29" i="4"/>
  <c r="G27" i="4"/>
  <c r="G10" i="4"/>
  <c r="G15" i="4" s="1"/>
  <c r="J42" i="5" l="1"/>
  <c r="K30" i="5"/>
  <c r="J21" i="5" s="1"/>
  <c r="G31" i="4"/>
  <c r="G32" i="4" s="1"/>
  <c r="G33" i="4" s="1"/>
  <c r="Q43" i="5" l="1"/>
  <c r="L42" i="5"/>
  <c r="N42" i="5" s="1"/>
  <c r="Q44" i="5"/>
  <c r="K42" i="5" s="1"/>
  <c r="Q23" i="5"/>
  <c r="Q22" i="5"/>
  <c r="D93" i="6"/>
  <c r="D95" i="6"/>
  <c r="D92" i="6"/>
  <c r="G34" i="4"/>
  <c r="D94" i="6"/>
  <c r="K21" i="5" l="1"/>
  <c r="L21" i="5" s="1"/>
  <c r="N21" i="5" s="1"/>
  <c r="G11" i="5" s="1"/>
  <c r="F25" i="14" s="1"/>
  <c r="G43" i="4"/>
  <c r="G51" i="4"/>
  <c r="D96" i="6"/>
  <c r="L14" i="5" l="1"/>
  <c r="D22" i="6"/>
  <c r="D23" i="6"/>
  <c r="D21" i="6"/>
  <c r="D24" i="6"/>
  <c r="G10" i="5"/>
  <c r="L11" i="5" l="1"/>
  <c r="L16" i="5" s="1"/>
  <c r="G16" i="6"/>
  <c r="D25" i="6"/>
</calcChain>
</file>

<file path=xl/sharedStrings.xml><?xml version="1.0" encoding="utf-8"?>
<sst xmlns="http://schemas.openxmlformats.org/spreadsheetml/2006/main" count="848" uniqueCount="249">
  <si>
    <t>Date</t>
  </si>
  <si>
    <t>Designated Responsible Party (If Applicable)</t>
  </si>
  <si>
    <t xml:space="preserve">Advertising  </t>
  </si>
  <si>
    <t xml:space="preserve">Criminal History Check </t>
  </si>
  <si>
    <t>Worker's comp or liability insurance</t>
  </si>
  <si>
    <t>Other - Specify</t>
  </si>
  <si>
    <t>Coverage Period From:</t>
  </si>
  <si>
    <t>To:</t>
  </si>
  <si>
    <t>*</t>
  </si>
  <si>
    <t>Change in Administrative Costs</t>
  </si>
  <si>
    <t>Change in Reimbursement Rate</t>
  </si>
  <si>
    <t>Change in Payment Option back to Agency Option</t>
  </si>
  <si>
    <t>General Information and Instructions for Use of Workbook</t>
  </si>
  <si>
    <t>Be sure to read any error messages carefully.  They give you instructions on how to correct data entry errors.</t>
  </si>
  <si>
    <t>Enter the appropriate information in the "Blue" cells (the cells with "dashed" lines around them).  Be sure the information you enter is accurate, as the budget calculations are based on the entries made in these cells.</t>
  </si>
  <si>
    <t>F.I.C.A.:</t>
  </si>
  <si>
    <t>Medicare:</t>
  </si>
  <si>
    <t xml:space="preserve">Equipment &amp; Supplies </t>
  </si>
  <si>
    <t xml:space="preserve">Copies &amp; Mailing </t>
  </si>
  <si>
    <t>Amount:</t>
  </si>
  <si>
    <t>Comments:</t>
  </si>
  <si>
    <t>CDS Agency Representative</t>
  </si>
  <si>
    <t>Initially and at Annual Reassessment</t>
  </si>
  <si>
    <t>Health Insurance Premium(s)</t>
  </si>
  <si>
    <t>Overtime</t>
  </si>
  <si>
    <t>Paid Holidays</t>
  </si>
  <si>
    <t>Vacation Pay</t>
  </si>
  <si>
    <t>Sick Leave</t>
  </si>
  <si>
    <t>Bonuses</t>
  </si>
  <si>
    <t>Termination of Services</t>
  </si>
  <si>
    <t>Consumer Name:</t>
  </si>
  <si>
    <t>Consumer Medicaid Number:</t>
  </si>
  <si>
    <r>
      <t xml:space="preserve">Effective / Coverage Period </t>
    </r>
    <r>
      <rPr>
        <b/>
        <sz val="8"/>
        <rFont val="Arial"/>
        <family val="2"/>
      </rPr>
      <t>(This does not guarantee eligibility for the entire period)</t>
    </r>
    <r>
      <rPr>
        <b/>
        <sz val="12"/>
        <rFont val="Arial"/>
        <family val="2"/>
      </rPr>
      <t>:</t>
    </r>
  </si>
  <si>
    <t>Use the "TAB" key to move between the "Blue" cells.  Entries may only be made in the "Blue" cells; all other cells are locked.</t>
  </si>
  <si>
    <t>Anytime Other Time Required by Program Policy</t>
  </si>
  <si>
    <t>Complete the Quarterly Report at least Quarterly (more frequently if required by Program Policy)</t>
  </si>
  <si>
    <t>Watch for "Pop-Up" information windows for many of the cells.  If the "Pop-Up" windows are covering the body of the budget, you may "drag and drop" them to a different area.</t>
  </si>
  <si>
    <t>Consumer Name</t>
  </si>
  <si>
    <t>Medicaid Number</t>
  </si>
  <si>
    <t>Dollars Needed to Meet Minimum Compensation:</t>
  </si>
  <si>
    <t>Available Amounts</t>
  </si>
  <si>
    <t>Pay Rate</t>
  </si>
  <si>
    <t>Wages</t>
  </si>
  <si>
    <t>Total Annual Wages</t>
  </si>
  <si>
    <t>Annual Taxes</t>
  </si>
  <si>
    <t>Annual Total</t>
  </si>
  <si>
    <t>Weeks</t>
  </si>
  <si>
    <t>Begin Date</t>
  </si>
  <si>
    <t>End Date</t>
  </si>
  <si>
    <t>Hours per Week</t>
  </si>
  <si>
    <t>Amount</t>
  </si>
  <si>
    <t>OT Pay Rate</t>
  </si>
  <si>
    <t>Other -Specify</t>
  </si>
  <si>
    <t>S.U.T.A. Rate</t>
  </si>
  <si>
    <t>Hourly Pay</t>
  </si>
  <si>
    <t>Other Compensation</t>
  </si>
  <si>
    <t>Number of Payments</t>
  </si>
  <si>
    <t>Notes</t>
  </si>
  <si>
    <t>Dollars Left in Budget:</t>
  </si>
  <si>
    <t>Within Total Budget for Consumer?</t>
  </si>
  <si>
    <t>THIS PAGE IS NOT CONSIDERED PART OF THE BUDGET</t>
  </si>
  <si>
    <t>You can use the keyboard to move between the pages in the workbook.  Press "CTRL" and "Page Down" at the same time to move to the next worksheet; Press "CTRL" and "Page Up" at the same time to move to the previous worksheet.</t>
  </si>
  <si>
    <t>Budget Calculations are:</t>
  </si>
  <si>
    <t>Funds Available for Taxable Compensation Costs</t>
  </si>
  <si>
    <t>Total Estimated Non-Taxable Compensation Costs:</t>
  </si>
  <si>
    <t>Total Available for Taxable Compensation:</t>
  </si>
  <si>
    <t>Total Taxable Compensation:</t>
  </si>
  <si>
    <t>Quarterly Report</t>
  </si>
  <si>
    <t>Quarterly Report Coverage Period From:</t>
  </si>
  <si>
    <t>Quarter Number:</t>
  </si>
  <si>
    <t>Budgeted</t>
  </si>
  <si>
    <t>Actual</t>
  </si>
  <si>
    <t>Quarter 1 Dollars</t>
  </si>
  <si>
    <t>Quarter 2 Dollars</t>
  </si>
  <si>
    <t>Quarter 3 Dollars</t>
  </si>
  <si>
    <t>Quarter 4 Dollars</t>
  </si>
  <si>
    <t>Quarter 1 Units</t>
  </si>
  <si>
    <t>Quarter 2 Units</t>
  </si>
  <si>
    <t>Quarter 3 Units</t>
  </si>
  <si>
    <t>Quarter 4 Units</t>
  </si>
  <si>
    <t>NOTE - All Budgeted Amounts on the Quarterly Report are Estimates</t>
  </si>
  <si>
    <t>CDS Agency Representative Signature</t>
  </si>
  <si>
    <t>Phone Number (with Area Code)</t>
  </si>
  <si>
    <t>CERTIFICATION:  By signature below I certify that the numbers entered into this quarterly report are accurate as reported to me.</t>
  </si>
  <si>
    <t>CDS Agency Representative Printed Name</t>
  </si>
  <si>
    <t>F.U.T.A. Max Wage:</t>
  </si>
  <si>
    <t>F.U.T.A.:</t>
  </si>
  <si>
    <t>Taxable Wage and Compensation Validation</t>
  </si>
  <si>
    <t>S.U.T.A. Max Wage:</t>
  </si>
  <si>
    <t>Change in Number of Authorized Units for Hourly Services</t>
  </si>
  <si>
    <t>Use of Respite Services</t>
  </si>
  <si>
    <t>Region:</t>
  </si>
  <si>
    <t>Consumer's Address:</t>
  </si>
  <si>
    <t>Consumer's City, State, Zip Code:</t>
  </si>
  <si>
    <t>Consumer's Telephone Number:</t>
  </si>
  <si>
    <t>In-Home Respite</t>
  </si>
  <si>
    <t>Yes</t>
  </si>
  <si>
    <t>No</t>
  </si>
  <si>
    <t>Employer (Consumer or Legally Authorized Representative)</t>
  </si>
  <si>
    <t>Service</t>
  </si>
  <si>
    <t>Rate</t>
  </si>
  <si>
    <t>Out-of-Home Respite</t>
  </si>
  <si>
    <t>Total Annual CDS Budget</t>
  </si>
  <si>
    <t>Region 7</t>
  </si>
  <si>
    <t>Region 1</t>
  </si>
  <si>
    <t>Region 2</t>
  </si>
  <si>
    <t>Region 3</t>
  </si>
  <si>
    <t>Region 4</t>
  </si>
  <si>
    <t>Region 5</t>
  </si>
  <si>
    <t>Region 6</t>
  </si>
  <si>
    <t>Region 8</t>
  </si>
  <si>
    <t>Region 9</t>
  </si>
  <si>
    <t>Region 10</t>
  </si>
  <si>
    <t>Region 11</t>
  </si>
  <si>
    <t>Total  Annual CDS Budget:</t>
  </si>
  <si>
    <t>Total Estimated Employer Support Services Costs:</t>
  </si>
  <si>
    <t>Habilitation</t>
  </si>
  <si>
    <r>
      <t>Maximum</t>
    </r>
    <r>
      <rPr>
        <sz val="10"/>
        <rFont val="Arial"/>
        <family val="2"/>
      </rPr>
      <t xml:space="preserve"> Amount Available for Employer Support Services Costs:</t>
    </r>
  </si>
  <si>
    <t>Weeks Employed</t>
  </si>
  <si>
    <t>Out of Home Respite Costs</t>
  </si>
  <si>
    <t>Facility Name</t>
  </si>
  <si>
    <t>Total Out of Home Respite Costs:</t>
  </si>
  <si>
    <t>Do the Total Employee Compensation Costs Fall Within the Required Parameters for Employee Compensation?</t>
  </si>
  <si>
    <t>Above Minimum Amount for Employee Compensation Costs?</t>
  </si>
  <si>
    <t>Amount Available for Employee Compensation Costs:</t>
  </si>
  <si>
    <t>Non-Taxable Employee Compensation Costs</t>
  </si>
  <si>
    <t>Complete the entire Workbook for each Consumer at the following times (and when required by program policy):</t>
  </si>
  <si>
    <t>Number of Units Used</t>
  </si>
  <si>
    <t>Rate Negotiated with Out-of-Home Respite Provider</t>
  </si>
  <si>
    <t>CERTIFICATION:  By signature below I acknowledge that all calculations must fall within the allowable budget, and that all budget calculations are VALID, as indicated above. I acknowledge these budget calculations are not exact, and may need adjustment throughout the budget period. I also acknowledge receipt of a copy of the CDS Budget.  I agree to remain within the boundaries of the budget set forth.  I understand that failure to follow this budget may result in removal from the CDS Option and I accept personal liability for expenses that may be incurred due to my failure to follow the budget or program requirements.  The budget does not imply eligibility for the entire budget period.</t>
  </si>
  <si>
    <t>Total Tax:</t>
  </si>
  <si>
    <t>Submit a copy of the current Budget Workbook to the appropriate Case Manager/Service Coordinator initially, annually, and as required by program policy.</t>
  </si>
  <si>
    <t>DR's Name:</t>
  </si>
  <si>
    <t>LAR's Name:</t>
  </si>
  <si>
    <t>Weekly Authorized Habilitation Hours</t>
  </si>
  <si>
    <t>Consumer Information &amp; Budget Approval</t>
  </si>
  <si>
    <t>Authorized Units and Budget Calculations</t>
  </si>
  <si>
    <t>Annual Authorized Habilitation Hours</t>
  </si>
  <si>
    <t>Units of In-Home Respite Utilized</t>
  </si>
  <si>
    <t>Total In-Home Respite Dollars</t>
  </si>
  <si>
    <t>Total Habilitation Dollars</t>
  </si>
  <si>
    <t>Units of Out-of-Home Respite Utilized</t>
  </si>
  <si>
    <t>Total Out-of-Home Respite Dollars</t>
  </si>
  <si>
    <t>Taxable Wage and Compensation Costs</t>
  </si>
  <si>
    <t>Employer Support Services, Out of Home Respite Costs, &amp; Non-Taxable Costs</t>
  </si>
  <si>
    <t>NOTE - The consumer must not develop a regular employee schedule that contains fewer than or more than the weekly authorized units.</t>
  </si>
  <si>
    <t>Taxable and Non-Taxable Employee Compensation</t>
  </si>
  <si>
    <t>THIS PAGE IS NOT CONSIDERED PART OF CLIENT BUDGET</t>
  </si>
  <si>
    <t>TAXABLE EMPLOYEE COMPENSATION</t>
  </si>
  <si>
    <t>SALARIES/WAGES</t>
  </si>
  <si>
    <t>MILEAGE (MAXIMUM IS 48.5¢ PER MILE)</t>
  </si>
  <si>
    <t>(Includes Employee-Paid Payroll Taxes:)</t>
  </si>
  <si>
    <t>(Not Directly Related to Client Care)</t>
  </si>
  <si>
    <t>Regular Time</t>
  </si>
  <si>
    <t>Communiting Costs &amp; Assistance</t>
  </si>
  <si>
    <t>Bonus</t>
  </si>
  <si>
    <t>Paid Vacation Leave</t>
  </si>
  <si>
    <t>Paid Sick Leave</t>
  </si>
  <si>
    <t>Paid Other Leave (Jury Duty, Funeral, etc.)</t>
  </si>
  <si>
    <t>NON-TAXABLE EMPLOYEE COMPENSATION</t>
  </si>
  <si>
    <t>EMPLOYEE BENEFITS/INSURANCE</t>
  </si>
  <si>
    <t>Insurance Premiums and Paid Claims,</t>
  </si>
  <si>
    <t>(Use of Employee's Personal Car Directly Related</t>
  </si>
  <si>
    <t xml:space="preserve">     Including Health/Medical/Dental/Disability</t>
  </si>
  <si>
    <t>Related to Client Care)</t>
  </si>
  <si>
    <t>Life Insurance Premiums</t>
  </si>
  <si>
    <t>Client Appointments</t>
  </si>
  <si>
    <t>Employer-Paid Contributions to:</t>
  </si>
  <si>
    <t>Shopping</t>
  </si>
  <si>
    <t xml:space="preserve">     Deferred Compensation Plans</t>
  </si>
  <si>
    <t>Escort</t>
  </si>
  <si>
    <t xml:space="preserve">     Retirement &amp; Pension Plans</t>
  </si>
  <si>
    <t xml:space="preserve">     Child Day Care</t>
  </si>
  <si>
    <t>WORKERS' COMPENSATION COSTS</t>
  </si>
  <si>
    <t xml:space="preserve">     Accrued Leave</t>
  </si>
  <si>
    <t>Premium Costs</t>
  </si>
  <si>
    <t>Paid Claims</t>
  </si>
  <si>
    <t>PAYROLL TAXES  (EMPLOYER-PAID)</t>
  </si>
  <si>
    <t xml:space="preserve">Other Premium/Claims for Employee </t>
  </si>
  <si>
    <t>FICA</t>
  </si>
  <si>
    <t>Work-Related Injury/Illness Coverage</t>
  </si>
  <si>
    <t>MEDICARE</t>
  </si>
  <si>
    <t>SUTA</t>
  </si>
  <si>
    <t>CONTRACTED SERVICE FEE</t>
  </si>
  <si>
    <t>FUTA</t>
  </si>
  <si>
    <t>(When Contracted With an Agency)</t>
  </si>
  <si>
    <t>Other as applicable</t>
  </si>
  <si>
    <t>Back-Up PAS</t>
  </si>
  <si>
    <t>Change in employee</t>
  </si>
  <si>
    <t>Change in Number of Hours employee Works, Rate of Pay, Bonus, or Benefits</t>
  </si>
  <si>
    <t xml:space="preserve">Change in employee Pay Rate or Benefits </t>
  </si>
  <si>
    <t>Be sure both the Employer (Consumer or Legal Guardian), Designated Representative (if applicable), and the CDS Agency Representative sign Consumer Information &amp; Budget Approval Page of the workbook, and that the budget Calculations are listed as "VALID".</t>
  </si>
  <si>
    <t>Does the Consumer Have a  Designated Representative (DR) or Legally Authorized Representative (LAR)?</t>
  </si>
  <si>
    <t>Minimum employee Compensation %</t>
  </si>
  <si>
    <t>Employee Hours, Pay Rates and Other Compensation</t>
  </si>
  <si>
    <t>Employee Name</t>
  </si>
  <si>
    <t>Annual Dollars Budgeted for Employee Compensation:</t>
  </si>
  <si>
    <t>Minimum Dollars Required for Employee Compensation:</t>
  </si>
  <si>
    <t>Employee Compensation Totals (Dollars):</t>
  </si>
  <si>
    <t>Employee Compensation Totals (Units):</t>
  </si>
  <si>
    <t>Employee Compensation</t>
  </si>
  <si>
    <t>Total Dollars</t>
  </si>
  <si>
    <t>Authorized Units</t>
  </si>
  <si>
    <t>Actual Units</t>
  </si>
  <si>
    <t>Authorized Dollars</t>
  </si>
  <si>
    <t>Actual Dollars</t>
  </si>
  <si>
    <t>Remaining:</t>
  </si>
  <si>
    <t>Dollars Remaining 
(negative indicates the consumer has overspent):</t>
  </si>
  <si>
    <t>Employer Support Services</t>
  </si>
  <si>
    <t>Annual Authorized Hours</t>
  </si>
  <si>
    <t>Estimated Support Consultation Services Costs</t>
  </si>
  <si>
    <t>Amount of ESS Available for Support Consultation:</t>
  </si>
  <si>
    <t>Available Support Consultation Services Hours:</t>
  </si>
  <si>
    <t>Support Consultation Services Hours Authorized by the IDT:</t>
  </si>
  <si>
    <t>Support Consultation Services Funded through ESS:</t>
  </si>
  <si>
    <t>Payment for Support Consultation Services above the 10% (if required by the IDT):</t>
  </si>
  <si>
    <t>Total Support Consultation Services Costs:</t>
  </si>
  <si>
    <t>Total Costs for ESS and Support Consultation Services:</t>
  </si>
  <si>
    <t>SCS Rate</t>
  </si>
  <si>
    <t>Auth SC Amt</t>
  </si>
  <si>
    <t>Subtotal</t>
  </si>
  <si>
    <t>Tax</t>
  </si>
  <si>
    <t>Support Consultation Services</t>
  </si>
  <si>
    <r>
      <t>Amount Available for all Estimated 
Employer Support Services Costs</t>
    </r>
    <r>
      <rPr>
        <b/>
        <sz val="10"/>
        <rFont val="Arial"/>
        <family val="2"/>
      </rPr>
      <t>:</t>
    </r>
  </si>
  <si>
    <t>Estimated Employer Related Support Services Purchases</t>
  </si>
  <si>
    <r>
      <t xml:space="preserve">Deaf-Blind with Multiple Disabilities Waiver
</t>
    </r>
    <r>
      <rPr>
        <sz val="12"/>
        <rFont val="Arial"/>
        <family val="2"/>
      </rPr>
      <t>Consumer Directed Services Budget</t>
    </r>
  </si>
  <si>
    <r>
      <t xml:space="preserve">Deaf-Blind Multiple Disabilities Waiver
</t>
    </r>
    <r>
      <rPr>
        <sz val="12"/>
        <rFont val="Arial"/>
        <family val="2"/>
      </rPr>
      <t>Consumer Directed Services Budget</t>
    </r>
  </si>
  <si>
    <t>Intervener</t>
  </si>
  <si>
    <t>Intervener I</t>
  </si>
  <si>
    <t>Intervener II</t>
  </si>
  <si>
    <t>Intervener III</t>
  </si>
  <si>
    <t>Select Intervener</t>
  </si>
  <si>
    <t>Total Intervener Dollars</t>
  </si>
  <si>
    <t>Supported Employment</t>
  </si>
  <si>
    <t>Employment Assistance</t>
  </si>
  <si>
    <t>Total Supported Employment Dollars</t>
  </si>
  <si>
    <t>Authorized Supported Employment Hours</t>
  </si>
  <si>
    <t>Weekly Authorized Supported Employment Hours</t>
  </si>
  <si>
    <t>Authorized Employment Assistance Hours</t>
  </si>
  <si>
    <t>Weekly Authorized Employment Assistance Hours</t>
  </si>
  <si>
    <t>Total Emplopyment Assistance Dollars</t>
  </si>
  <si>
    <t>Employee Assistance</t>
  </si>
  <si>
    <t>Percent of Budgeted Dollars Spent:</t>
  </si>
  <si>
    <t>Family Exemption</t>
  </si>
  <si>
    <t>Not exempt</t>
  </si>
  <si>
    <t>Family Member?</t>
  </si>
  <si>
    <t>Exempt all taxes</t>
  </si>
  <si>
    <t>Exempt SUTA and FUTA</t>
  </si>
  <si>
    <t>Household exemption eligible?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</si>
</sst>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65" formatCode="0.0000%"/>
  </numFmts>
  <fonts count="25" x14ac:knownFonts="1">
    <font>
      <sz val="10"/>
      <name val="Arial"/>
    </font>
    <font>
      <b/>
      <sz val="10"/>
      <name val="Arial"/>
      <family val="2"/>
    </font>
    <font>
      <sz val="10"/>
      <name val="Arial"/>
      <family val="2"/>
    </font>
    <font>
      <b/>
      <i/>
      <sz val="10"/>
      <name val="Arial"/>
      <family val="2"/>
    </font>
    <font>
      <b/>
      <i/>
      <sz val="9"/>
      <name val="Arial"/>
      <family val="2"/>
    </font>
    <font>
      <b/>
      <sz val="16"/>
      <name val="Arial"/>
      <family val="2"/>
    </font>
    <font>
      <b/>
      <sz val="12"/>
      <name val="Arial"/>
      <family val="2"/>
    </font>
    <font>
      <sz val="11"/>
      <name val="Arial"/>
      <family val="2"/>
    </font>
    <font>
      <b/>
      <sz val="11"/>
      <name val="Arial"/>
      <family val="2"/>
    </font>
    <font>
      <b/>
      <i/>
      <sz val="14"/>
      <name val="Arial"/>
      <family val="2"/>
    </font>
    <font>
      <b/>
      <u/>
      <sz val="12"/>
      <name val="Arial"/>
      <family val="2"/>
    </font>
    <font>
      <sz val="8"/>
      <name val="Arial"/>
      <family val="2"/>
    </font>
    <font>
      <sz val="12"/>
      <name val="Arial"/>
      <family val="2"/>
    </font>
    <font>
      <sz val="14"/>
      <name val="Arial"/>
      <family val="2"/>
    </font>
    <font>
      <b/>
      <sz val="8"/>
      <name val="Arial"/>
      <family val="2"/>
    </font>
    <font>
      <sz val="9"/>
      <name val="Arial"/>
      <family val="2"/>
    </font>
    <font>
      <b/>
      <sz val="10"/>
      <color indexed="10"/>
      <name val="Arial"/>
      <family val="2"/>
    </font>
    <font>
      <sz val="8"/>
      <name val="Arial"/>
      <family val="2"/>
    </font>
    <font>
      <sz val="11"/>
      <name val="Arial"/>
      <family val="2"/>
    </font>
    <font>
      <i/>
      <sz val="9"/>
      <name val="Arial"/>
      <family val="2"/>
    </font>
    <font>
      <i/>
      <sz val="10"/>
      <name val="Arial"/>
      <family val="2"/>
    </font>
    <font>
      <b/>
      <i/>
      <sz val="12"/>
      <name val="Arial"/>
      <family val="2"/>
    </font>
    <font>
      <b/>
      <i/>
      <sz val="11"/>
      <name val="Arial"/>
      <family val="2"/>
    </font>
    <font>
      <b/>
      <sz val="14"/>
      <name val="Arial"/>
      <family val="2"/>
    </font>
    <font>
      <sz val="10"/>
      <name val="Arial"/>
      <family val="2"/>
    </font>
  </fonts>
  <fills count="8">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lightUp">
        <bgColor indexed="9"/>
      </patternFill>
    </fill>
    <fill>
      <patternFill patternType="solid">
        <fgColor indexed="65"/>
        <bgColor indexed="64"/>
      </patternFill>
    </fill>
    <fill>
      <patternFill patternType="solid">
        <fgColor indexed="22"/>
        <bgColor indexed="64"/>
      </patternFill>
    </fill>
    <fill>
      <patternFill patternType="solid">
        <fgColor indexed="42"/>
        <bgColor indexed="64"/>
      </patternFill>
    </fill>
  </fills>
  <borders count="123">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DashDot">
        <color indexed="64"/>
      </left>
      <right style="mediumDashDot">
        <color indexed="64"/>
      </right>
      <top style="mediumDashDot">
        <color indexed="64"/>
      </top>
      <bottom style="mediumDashDot">
        <color indexed="64"/>
      </bottom>
      <diagonal/>
    </border>
    <border>
      <left style="medium">
        <color indexed="64"/>
      </left>
      <right style="thin">
        <color indexed="64"/>
      </right>
      <top style="mediumDashDot">
        <color indexed="64"/>
      </top>
      <bottom style="mediumDashDot">
        <color indexed="64"/>
      </bottom>
      <diagonal/>
    </border>
    <border>
      <left style="medium">
        <color indexed="64"/>
      </left>
      <right style="thin">
        <color indexed="64"/>
      </right>
      <top style="mediumDashDot">
        <color indexed="64"/>
      </top>
      <bottom/>
      <diagonal/>
    </border>
    <border>
      <left style="medium">
        <color indexed="64"/>
      </left>
      <right style="thin">
        <color indexed="64"/>
      </right>
      <top/>
      <bottom style="mediumDashDot">
        <color indexed="64"/>
      </bottom>
      <diagonal/>
    </border>
    <border>
      <left style="medium">
        <color indexed="64"/>
      </left>
      <right style="thin">
        <color indexed="64"/>
      </right>
      <top style="medium">
        <color indexed="64"/>
      </top>
      <bottom style="mediumDashDot">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DashDot">
        <color indexed="64"/>
      </left>
      <right style="thin">
        <color indexed="64"/>
      </right>
      <top style="mediumDashDot">
        <color indexed="64"/>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DashDot">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DashDot">
        <color indexed="64"/>
      </left>
      <right/>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style="mediumDashDot">
        <color indexed="64"/>
      </right>
      <top/>
      <bottom style="mediumDashDot">
        <color indexed="64"/>
      </bottom>
      <diagonal/>
    </border>
    <border>
      <left/>
      <right style="mediumDashDot">
        <color indexed="64"/>
      </right>
      <top/>
      <bottom style="mediumDashDot">
        <color indexed="64"/>
      </bottom>
      <diagonal/>
    </border>
    <border>
      <left/>
      <right style="mediumDashDot">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right/>
      <top/>
      <bottom style="mediumDashDot">
        <color indexed="64"/>
      </bottom>
      <diagonal/>
    </border>
    <border>
      <left/>
      <right style="medium">
        <color indexed="64"/>
      </right>
      <top/>
      <bottom style="mediumDashDot">
        <color indexed="64"/>
      </bottom>
      <diagonal/>
    </border>
    <border>
      <left style="medium">
        <color indexed="64"/>
      </left>
      <right style="thin">
        <color indexed="64"/>
      </right>
      <top style="mediumDashDot">
        <color indexed="64"/>
      </top>
      <bottom style="medium">
        <color indexed="64"/>
      </bottom>
      <diagonal/>
    </border>
    <border>
      <left style="mediumDashDot">
        <color indexed="64"/>
      </left>
      <right style="mediumDashDot">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8"/>
      </left>
      <right style="thin">
        <color indexed="64"/>
      </right>
      <top style="medium">
        <color indexed="8"/>
      </top>
      <bottom/>
      <diagonal/>
    </border>
    <border>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DashDot">
        <color indexed="64"/>
      </left>
      <right/>
      <top style="mediumDashDot">
        <color indexed="64"/>
      </top>
      <bottom style="mediumDashDot">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DashDot">
        <color indexed="64"/>
      </left>
      <right/>
      <top style="mediumDashDot">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Dot">
        <color indexed="64"/>
      </left>
      <right style="mediumDashDot">
        <color indexed="64"/>
      </right>
      <top style="mediumDashDot">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DashDot">
        <color indexed="64"/>
      </top>
      <bottom style="mediumDashDot">
        <color indexed="64"/>
      </bottom>
      <diagonal/>
    </border>
    <border>
      <left/>
      <right style="medium">
        <color indexed="64"/>
      </right>
      <top style="mediumDashDot">
        <color indexed="64"/>
      </top>
      <bottom style="mediumDashDot">
        <color indexed="64"/>
      </bottom>
      <diagonal/>
    </border>
    <border>
      <left style="thin">
        <color indexed="64"/>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thin">
        <color indexed="64"/>
      </left>
      <right/>
      <top style="mediumDashDot">
        <color indexed="64"/>
      </top>
      <bottom/>
      <diagonal/>
    </border>
    <border>
      <left/>
      <right style="medium">
        <color indexed="64"/>
      </right>
      <top style="mediumDashDot">
        <color indexed="64"/>
      </top>
      <bottom/>
      <diagonal/>
    </border>
    <border>
      <left style="thin">
        <color indexed="64"/>
      </left>
      <right/>
      <top style="mediumDashDot">
        <color indexed="64"/>
      </top>
      <bottom style="medium">
        <color indexed="64"/>
      </bottom>
      <diagonal/>
    </border>
    <border>
      <left/>
      <right style="medium">
        <color indexed="64"/>
      </right>
      <top style="mediumDashDot">
        <color indexed="64"/>
      </top>
      <bottom style="medium">
        <color indexed="64"/>
      </bottom>
      <diagonal/>
    </border>
    <border>
      <left/>
      <right style="mediumDashDot">
        <color indexed="64"/>
      </right>
      <top style="medium">
        <color indexed="64"/>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style="mediumDashDot">
        <color indexed="64"/>
      </bottom>
      <diagonal/>
    </border>
    <border>
      <left style="medium">
        <color indexed="64"/>
      </left>
      <right/>
      <top style="mediumDashDot">
        <color indexed="64"/>
      </top>
      <bottom style="thin">
        <color indexed="64"/>
      </bottom>
      <diagonal/>
    </border>
    <border>
      <left/>
      <right/>
      <top style="mediumDashDot">
        <color indexed="64"/>
      </top>
      <bottom style="thin">
        <color indexed="64"/>
      </bottom>
      <diagonal/>
    </border>
    <border>
      <left/>
      <right style="medium">
        <color indexed="64"/>
      </right>
      <top style="mediumDashDot">
        <color indexed="64"/>
      </top>
      <bottom style="thin">
        <color indexed="64"/>
      </bottom>
      <diagonal/>
    </border>
    <border>
      <left style="thin">
        <color indexed="64"/>
      </left>
      <right/>
      <top style="thin">
        <color indexed="64"/>
      </top>
      <bottom style="mediumDashDot">
        <color indexed="64"/>
      </bottom>
      <diagonal/>
    </border>
    <border>
      <left/>
      <right/>
      <top style="thin">
        <color indexed="64"/>
      </top>
      <bottom style="mediumDashDot">
        <color indexed="64"/>
      </bottom>
      <diagonal/>
    </border>
    <border>
      <left/>
      <right style="medium">
        <color indexed="64"/>
      </right>
      <top style="thin">
        <color indexed="64"/>
      </top>
      <bottom style="mediumDashDot">
        <color indexed="64"/>
      </bottom>
      <diagonal/>
    </border>
    <border>
      <left/>
      <right style="mediumDashDot">
        <color indexed="64"/>
      </right>
      <top style="thin">
        <color indexed="64"/>
      </top>
      <bottom style="thin">
        <color indexed="64"/>
      </bottom>
      <diagonal/>
    </border>
    <border>
      <left/>
      <right style="mediumDashDot">
        <color indexed="64"/>
      </right>
      <top style="thin">
        <color indexed="64"/>
      </top>
      <bottom style="mediumDashDot">
        <color indexed="64"/>
      </bottom>
      <diagonal/>
    </border>
    <border>
      <left style="medium">
        <color indexed="64"/>
      </left>
      <right/>
      <top/>
      <bottom style="thin">
        <color indexed="64"/>
      </bottom>
      <diagonal/>
    </border>
    <border>
      <left/>
      <right/>
      <top style="thin">
        <color indexed="64"/>
      </top>
      <bottom style="medium">
        <color indexed="64"/>
      </bottom>
      <diagonal/>
    </border>
    <border>
      <left/>
      <right/>
      <top/>
      <bottom style="thin">
        <color indexed="64"/>
      </bottom>
      <diagonal/>
    </border>
    <border>
      <left style="mediumDashDot">
        <color indexed="64"/>
      </left>
      <right/>
      <top style="mediumDashDot">
        <color indexed="64"/>
      </top>
      <bottom style="thin">
        <color indexed="64"/>
      </bottom>
      <diagonal/>
    </border>
    <border>
      <left/>
      <right style="thin">
        <color indexed="64"/>
      </right>
      <top style="mediumDashDot">
        <color indexed="64"/>
      </top>
      <bottom style="thin">
        <color indexed="64"/>
      </bottom>
      <diagonal/>
    </border>
    <border>
      <left style="medium">
        <color indexed="64"/>
      </left>
      <right/>
      <top style="thin">
        <color indexed="64"/>
      </top>
      <bottom style="mediumDashDot">
        <color indexed="64"/>
      </bottom>
      <diagonal/>
    </border>
    <border>
      <left style="medium">
        <color indexed="64"/>
      </left>
      <right/>
      <top style="mediumDashDot">
        <color indexed="64"/>
      </top>
      <bottom style="medium">
        <color indexed="64"/>
      </bottom>
      <diagonal/>
    </border>
    <border>
      <left/>
      <right/>
      <top style="mediumDashDot">
        <color indexed="64"/>
      </top>
      <bottom style="medium">
        <color indexed="64"/>
      </bottom>
      <diagonal/>
    </border>
    <border>
      <left style="mediumDashDot">
        <color indexed="64"/>
      </left>
      <right/>
      <top style="thin">
        <color indexed="64"/>
      </top>
      <bottom style="mediumDashDot">
        <color indexed="64"/>
      </bottom>
      <diagonal/>
    </border>
    <border>
      <left/>
      <right style="thin">
        <color indexed="64"/>
      </right>
      <top style="thin">
        <color indexed="64"/>
      </top>
      <bottom style="mediumDashDot">
        <color indexed="64"/>
      </bottom>
      <diagonal/>
    </border>
    <border>
      <left/>
      <right style="thin">
        <color indexed="64"/>
      </right>
      <top/>
      <bottom/>
      <diagonal/>
    </border>
    <border>
      <left style="thin">
        <color indexed="64"/>
      </left>
      <right/>
      <top style="mediumDashDot">
        <color indexed="64"/>
      </top>
      <bottom style="thin">
        <color indexed="64"/>
      </bottom>
      <diagonal/>
    </border>
    <border>
      <left/>
      <right style="mediumDashDot">
        <color indexed="64"/>
      </right>
      <top style="mediumDashDot">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DashDot">
        <color indexed="64"/>
      </left>
      <right/>
      <top style="mediumDashDot">
        <color indexed="64"/>
      </top>
      <bottom style="medium">
        <color indexed="64"/>
      </bottom>
      <diagonal/>
    </border>
    <border>
      <left/>
      <right style="mediumDashDot">
        <color indexed="8"/>
      </right>
      <top style="mediumDashDot">
        <color indexed="64"/>
      </top>
      <bottom style="medium">
        <color indexed="64"/>
      </bottom>
      <diagonal/>
    </border>
    <border>
      <left/>
      <right style="medium">
        <color indexed="8"/>
      </right>
      <top/>
      <bottom style="medium">
        <color indexed="64"/>
      </bottom>
      <diagonal/>
    </border>
    <border>
      <left/>
      <right style="mediumDashDot">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DashDot">
        <color indexed="64"/>
      </top>
      <bottom/>
      <diagonal/>
    </border>
    <border>
      <left style="thin">
        <color indexed="64"/>
      </left>
      <right style="medium">
        <color indexed="64"/>
      </right>
      <top style="mediumDashDot">
        <color indexed="64"/>
      </top>
      <bottom/>
      <diagonal/>
    </border>
    <border>
      <left/>
      <right style="thin">
        <color indexed="64"/>
      </right>
      <top style="mediumDashDot">
        <color indexed="64"/>
      </top>
      <bottom style="mediumDashDot">
        <color indexed="64"/>
      </bottom>
      <diagonal/>
    </border>
    <border>
      <left style="thin">
        <color indexed="64"/>
      </left>
      <right style="medium">
        <color indexed="64"/>
      </right>
      <top style="mediumDashDot">
        <color indexed="64"/>
      </top>
      <bottom style="mediumDashDot">
        <color indexed="64"/>
      </bottom>
      <diagonal/>
    </border>
    <border>
      <left style="mediumDashDot">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9" fontId="24" fillId="0" borderId="0" applyFont="0" applyFill="0" applyBorder="0" applyAlignment="0" applyProtection="0"/>
  </cellStyleXfs>
  <cellXfs count="569">
    <xf numFmtId="0" fontId="0" fillId="0" borderId="0" xfId="0"/>
    <xf numFmtId="0" fontId="0" fillId="0" borderId="0" xfId="0" applyProtection="1"/>
    <xf numFmtId="0" fontId="5" fillId="0" borderId="0" xfId="0" applyFont="1" applyAlignment="1" applyProtection="1">
      <alignment horizontal="center"/>
    </xf>
    <xf numFmtId="0" fontId="6" fillId="0" borderId="0" xfId="0" applyFont="1" applyAlignment="1" applyProtection="1">
      <alignment horizontal="center"/>
    </xf>
    <xf numFmtId="0" fontId="0" fillId="0" borderId="0" xfId="0" applyBorder="1" applyProtection="1"/>
    <xf numFmtId="0" fontId="0" fillId="0" borderId="0" xfId="0" applyBorder="1" applyAlignment="1" applyProtection="1">
      <alignment horizontal="right"/>
    </xf>
    <xf numFmtId="0" fontId="0" fillId="0" borderId="0" xfId="0" applyFill="1" applyBorder="1" applyAlignment="1" applyProtection="1">
      <alignment horizontal="left"/>
    </xf>
    <xf numFmtId="0" fontId="0" fillId="0" borderId="0" xfId="0" applyBorder="1" applyAlignment="1" applyProtection="1">
      <alignment horizontal="left"/>
    </xf>
    <xf numFmtId="0" fontId="6" fillId="0" borderId="1" xfId="0" applyFont="1" applyFill="1" applyBorder="1" applyAlignment="1" applyProtection="1">
      <alignment horizontal="right"/>
    </xf>
    <xf numFmtId="0" fontId="0" fillId="0" borderId="2" xfId="0" applyBorder="1" applyProtection="1"/>
    <xf numFmtId="0" fontId="2" fillId="0" borderId="0" xfId="0" applyFont="1" applyProtection="1"/>
    <xf numFmtId="0" fontId="2" fillId="0" borderId="0" xfId="0" applyFont="1" applyBorder="1" applyProtection="1"/>
    <xf numFmtId="0" fontId="2" fillId="0" borderId="0" xfId="0" applyFont="1" applyBorder="1" applyAlignment="1" applyProtection="1">
      <alignment horizontal="right"/>
    </xf>
    <xf numFmtId="0" fontId="1" fillId="0" borderId="0" xfId="0" applyFont="1" applyProtection="1"/>
    <xf numFmtId="0" fontId="3" fillId="0" borderId="0" xfId="0" applyFont="1" applyProtection="1"/>
    <xf numFmtId="0" fontId="4" fillId="0" borderId="0" xfId="0" applyFont="1" applyProtection="1"/>
    <xf numFmtId="0" fontId="2" fillId="0" borderId="0" xfId="0" applyFont="1" applyAlignment="1" applyProtection="1">
      <alignment wrapText="1"/>
    </xf>
    <xf numFmtId="164" fontId="0" fillId="0" borderId="0" xfId="0" applyNumberFormat="1" applyAlignment="1" applyProtection="1">
      <alignment horizontal="center"/>
    </xf>
    <xf numFmtId="0" fontId="3" fillId="0" borderId="0" xfId="0" applyFont="1" applyBorder="1" applyAlignment="1" applyProtection="1">
      <alignment horizontal="center" wrapText="1"/>
    </xf>
    <xf numFmtId="0" fontId="8" fillId="0" borderId="0" xfId="0" applyFont="1" applyAlignment="1" applyProtection="1">
      <alignment horizontal="center"/>
    </xf>
    <xf numFmtId="0" fontId="8" fillId="0" borderId="2" xfId="0" applyFont="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right"/>
    </xf>
    <xf numFmtId="14" fontId="8" fillId="0" borderId="0" xfId="0" applyNumberFormat="1" applyFont="1" applyBorder="1" applyAlignment="1" applyProtection="1">
      <alignment horizontal="center"/>
    </xf>
    <xf numFmtId="0" fontId="0" fillId="0" borderId="3" xfId="0" applyBorder="1" applyProtection="1"/>
    <xf numFmtId="0" fontId="0" fillId="0" borderId="0" xfId="0" applyAlignment="1" applyProtection="1">
      <alignment horizontal="right"/>
    </xf>
    <xf numFmtId="0" fontId="8" fillId="0" borderId="0" xfId="0" applyFont="1" applyBorder="1" applyAlignment="1" applyProtection="1">
      <alignment horizontal="center"/>
    </xf>
    <xf numFmtId="0" fontId="7" fillId="0" borderId="1" xfId="0" applyFont="1" applyBorder="1" applyAlignment="1" applyProtection="1">
      <alignment horizontal="center"/>
    </xf>
    <xf numFmtId="0" fontId="7" fillId="0" borderId="0" xfId="0" applyFont="1" applyBorder="1" applyAlignment="1" applyProtection="1">
      <alignment horizontal="center"/>
    </xf>
    <xf numFmtId="164" fontId="0" fillId="0" borderId="0" xfId="0" applyNumberFormat="1" applyBorder="1" applyProtection="1"/>
    <xf numFmtId="164" fontId="1" fillId="0" borderId="0" xfId="0" applyNumberFormat="1" applyFont="1" applyFill="1" applyBorder="1" applyProtection="1"/>
    <xf numFmtId="0" fontId="1" fillId="0" borderId="0" xfId="0" applyFont="1" applyFill="1" applyBorder="1" applyProtection="1"/>
    <xf numFmtId="164" fontId="3" fillId="0" borderId="0" xfId="0" applyNumberFormat="1" applyFont="1" applyFill="1" applyBorder="1" applyProtection="1"/>
    <xf numFmtId="14" fontId="6" fillId="2" borderId="4" xfId="0" applyNumberFormat="1"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14" fontId="8" fillId="0" borderId="2" xfId="0" applyNumberFormat="1" applyFont="1" applyBorder="1" applyAlignment="1" applyProtection="1">
      <alignment horizontal="center"/>
    </xf>
    <xf numFmtId="0" fontId="2" fillId="0" borderId="0" xfId="0" applyFont="1" applyFill="1" applyBorder="1" applyAlignment="1" applyProtection="1">
      <alignment horizontal="right"/>
    </xf>
    <xf numFmtId="0" fontId="6" fillId="0" borderId="0" xfId="0" applyFont="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wrapText="1"/>
    </xf>
    <xf numFmtId="0" fontId="1" fillId="0" borderId="8" xfId="0" applyFont="1" applyBorder="1" applyAlignment="1">
      <alignment horizontal="center" vertical="center" wrapText="1"/>
    </xf>
    <xf numFmtId="164" fontId="6" fillId="0" borderId="9" xfId="0" applyNumberFormat="1" applyFont="1" applyBorder="1" applyAlignment="1" applyProtection="1">
      <alignment horizontal="right"/>
    </xf>
    <xf numFmtId="0" fontId="12" fillId="0" borderId="0" xfId="0" applyFont="1" applyProtection="1"/>
    <xf numFmtId="0" fontId="6" fillId="0" borderId="0" xfId="0" applyFont="1" applyFill="1" applyBorder="1" applyAlignment="1" applyProtection="1">
      <alignment horizontal="center"/>
    </xf>
    <xf numFmtId="0" fontId="11" fillId="0" borderId="0" xfId="0" applyFont="1" applyBorder="1" applyProtection="1"/>
    <xf numFmtId="164" fontId="6" fillId="0" borderId="10" xfId="0" applyNumberFormat="1" applyFont="1" applyBorder="1" applyAlignment="1" applyProtection="1">
      <alignment horizontal="right"/>
    </xf>
    <xf numFmtId="164" fontId="6" fillId="0" borderId="10" xfId="0" applyNumberFormat="1" applyFont="1" applyBorder="1" applyProtection="1"/>
    <xf numFmtId="164" fontId="0" fillId="2" borderId="11" xfId="0" applyNumberFormat="1" applyFill="1" applyBorder="1" applyProtection="1">
      <protection locked="0"/>
    </xf>
    <xf numFmtId="164" fontId="0" fillId="2" borderId="12" xfId="0" applyNumberFormat="1" applyFill="1" applyBorder="1" applyProtection="1">
      <protection locked="0"/>
    </xf>
    <xf numFmtId="0" fontId="0" fillId="0" borderId="13" xfId="0" applyBorder="1" applyAlignment="1" applyProtection="1">
      <alignment horizontal="right"/>
    </xf>
    <xf numFmtId="164" fontId="0" fillId="2" borderId="12"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164" fontId="0" fillId="2" borderId="15" xfId="0" applyNumberFormat="1" applyFill="1" applyBorder="1" applyAlignment="1" applyProtection="1">
      <alignment horizontal="right"/>
      <protection locked="0"/>
    </xf>
    <xf numFmtId="0" fontId="12" fillId="0" borderId="0" xfId="0" applyFont="1" applyAlignment="1">
      <alignment horizontal="center"/>
    </xf>
    <xf numFmtId="0" fontId="0" fillId="0" borderId="0" xfId="0" applyAlignment="1" applyProtection="1">
      <alignment wrapText="1"/>
    </xf>
    <xf numFmtId="0" fontId="5" fillId="0" borderId="0" xfId="0" applyFont="1" applyAlignment="1" applyProtection="1">
      <alignment horizontal="center" wrapText="1"/>
    </xf>
    <xf numFmtId="0" fontId="1" fillId="0" borderId="0" xfId="0" applyFont="1" applyBorder="1" applyAlignment="1">
      <alignment horizontal="center" vertical="center"/>
    </xf>
    <xf numFmtId="0" fontId="1" fillId="0" borderId="0" xfId="0" applyFont="1" applyBorder="1" applyAlignment="1">
      <alignment wrapText="1"/>
    </xf>
    <xf numFmtId="0" fontId="6" fillId="0" borderId="0" xfId="0" applyFont="1" applyFill="1" applyBorder="1" applyProtection="1"/>
    <xf numFmtId="0" fontId="6" fillId="0" borderId="0" xfId="0" applyFont="1" applyBorder="1" applyProtection="1"/>
    <xf numFmtId="0" fontId="0" fillId="0" borderId="0" xfId="0" applyFill="1" applyProtection="1"/>
    <xf numFmtId="0" fontId="0" fillId="0" borderId="0" xfId="0" applyFill="1" applyAlignment="1" applyProtection="1">
      <alignment horizontal="right"/>
    </xf>
    <xf numFmtId="49" fontId="0" fillId="0" borderId="0" xfId="0" applyNumberFormat="1" applyFill="1" applyAlignment="1" applyProtection="1"/>
    <xf numFmtId="164" fontId="6" fillId="0" borderId="16" xfId="0" applyNumberFormat="1" applyFont="1" applyBorder="1" applyAlignment="1" applyProtection="1"/>
    <xf numFmtId="164" fontId="2" fillId="0" borderId="0" xfId="0" applyNumberFormat="1" applyFont="1" applyFill="1" applyBorder="1" applyProtection="1"/>
    <xf numFmtId="165" fontId="2" fillId="0" borderId="0" xfId="0" applyNumberFormat="1" applyFont="1" applyFill="1" applyBorder="1" applyProtection="1"/>
    <xf numFmtId="165" fontId="2" fillId="0" borderId="0" xfId="0" applyNumberFormat="1" applyFont="1" applyFill="1" applyBorder="1" applyAlignment="1" applyProtection="1">
      <alignment horizontal="right"/>
    </xf>
    <xf numFmtId="0" fontId="6" fillId="0" borderId="0" xfId="0" applyFont="1" applyProtection="1"/>
    <xf numFmtId="2" fontId="0" fillId="2" borderId="4" xfId="0" applyNumberFormat="1" applyFill="1" applyBorder="1" applyProtection="1">
      <protection locked="0"/>
    </xf>
    <xf numFmtId="164" fontId="0" fillId="0" borderId="17" xfId="0" applyNumberFormat="1" applyBorder="1" applyProtection="1"/>
    <xf numFmtId="0" fontId="0" fillId="0" borderId="0" xfId="0" applyAlignment="1" applyProtection="1">
      <alignment horizontal="left"/>
    </xf>
    <xf numFmtId="4" fontId="0" fillId="0" borderId="0" xfId="0" applyNumberFormat="1" applyFill="1" applyProtection="1"/>
    <xf numFmtId="1" fontId="0" fillId="0" borderId="0" xfId="0" applyNumberFormat="1" applyProtection="1"/>
    <xf numFmtId="2" fontId="0" fillId="0" borderId="0" xfId="0" applyNumberFormat="1" applyProtection="1"/>
    <xf numFmtId="164" fontId="0" fillId="0" borderId="0" xfId="0" applyNumberFormat="1" applyProtection="1"/>
    <xf numFmtId="164" fontId="2" fillId="0" borderId="18" xfId="0" applyNumberFormat="1" applyFont="1" applyFill="1" applyBorder="1" applyAlignment="1" applyProtection="1">
      <alignment horizontal="left"/>
    </xf>
    <xf numFmtId="4" fontId="0" fillId="0" borderId="0" xfId="0" applyNumberFormat="1" applyFill="1" applyAlignment="1" applyProtection="1"/>
    <xf numFmtId="164" fontId="2" fillId="0" borderId="19" xfId="0" applyNumberFormat="1" applyFont="1" applyFill="1" applyBorder="1" applyAlignment="1" applyProtection="1">
      <alignment horizontal="center"/>
    </xf>
    <xf numFmtId="0" fontId="6" fillId="0" borderId="0" xfId="0" applyFont="1" applyFill="1" applyAlignment="1" applyProtection="1">
      <alignment horizontal="right"/>
    </xf>
    <xf numFmtId="0" fontId="7" fillId="0" borderId="20" xfId="0" applyFont="1" applyBorder="1" applyAlignment="1" applyProtection="1">
      <alignment horizontal="right" vertical="center"/>
    </xf>
    <xf numFmtId="164" fontId="7" fillId="0" borderId="21" xfId="0" applyNumberFormat="1" applyFont="1" applyBorder="1" applyAlignment="1" applyProtection="1">
      <alignment horizontal="left"/>
    </xf>
    <xf numFmtId="0" fontId="7" fillId="0" borderId="0" xfId="0" applyFont="1" applyBorder="1" applyAlignment="1" applyProtection="1">
      <alignment horizontal="right" vertical="center"/>
    </xf>
    <xf numFmtId="164" fontId="7" fillId="0" borderId="0" xfId="0" applyNumberFormat="1" applyFont="1" applyBorder="1" applyAlignment="1" applyProtection="1">
      <alignment horizontal="left"/>
    </xf>
    <xf numFmtId="0" fontId="8" fillId="0" borderId="22" xfId="0" applyFont="1" applyBorder="1" applyAlignment="1" applyProtection="1">
      <alignment horizontal="right"/>
    </xf>
    <xf numFmtId="0" fontId="8" fillId="0" borderId="0" xfId="0" applyFont="1" applyBorder="1" applyAlignment="1" applyProtection="1">
      <alignment horizontal="right"/>
    </xf>
    <xf numFmtId="164" fontId="8" fillId="0" borderId="0" xfId="0" applyNumberFormat="1" applyFont="1" applyBorder="1" applyProtection="1"/>
    <xf numFmtId="164" fontId="8" fillId="0" borderId="0" xfId="0" applyNumberFormat="1" applyFont="1" applyFill="1" applyBorder="1" applyProtection="1"/>
    <xf numFmtId="0" fontId="7" fillId="0" borderId="3" xfId="0" applyFont="1" applyBorder="1" applyAlignment="1" applyProtection="1">
      <alignment horizontal="right"/>
    </xf>
    <xf numFmtId="0" fontId="6" fillId="0" borderId="0" xfId="0" applyFont="1" applyBorder="1" applyAlignment="1" applyProtection="1">
      <alignment horizontal="right"/>
    </xf>
    <xf numFmtId="0" fontId="6" fillId="0" borderId="0" xfId="0" applyFont="1" applyFill="1" applyBorder="1" applyAlignment="1" applyProtection="1">
      <alignment horizontal="center"/>
      <protection locked="0"/>
    </xf>
    <xf numFmtId="0" fontId="6" fillId="0" borderId="0" xfId="0" applyFont="1" applyBorder="1" applyAlignment="1" applyProtection="1">
      <alignment horizontal="center" wrapText="1"/>
    </xf>
    <xf numFmtId="0" fontId="6" fillId="0" borderId="23" xfId="0" applyFont="1" applyFill="1" applyBorder="1" applyAlignment="1" applyProtection="1">
      <alignment horizontal="center"/>
    </xf>
    <xf numFmtId="1" fontId="2" fillId="0" borderId="0" xfId="0" applyNumberFormat="1" applyFont="1" applyFill="1" applyBorder="1" applyProtection="1"/>
    <xf numFmtId="164" fontId="0" fillId="0" borderId="0" xfId="0" applyNumberFormat="1" applyFill="1" applyAlignment="1" applyProtection="1">
      <alignment horizontal="right"/>
    </xf>
    <xf numFmtId="164" fontId="0" fillId="0" borderId="0" xfId="0" applyNumberFormat="1" applyFill="1" applyProtection="1"/>
    <xf numFmtId="164" fontId="6" fillId="0" borderId="9" xfId="0" applyNumberFormat="1" applyFont="1" applyBorder="1" applyProtection="1"/>
    <xf numFmtId="164" fontId="9" fillId="0" borderId="24" xfId="0" applyNumberFormat="1" applyFont="1" applyBorder="1" applyAlignment="1" applyProtection="1">
      <alignment horizontal="center"/>
    </xf>
    <xf numFmtId="0" fontId="5" fillId="0" borderId="0" xfId="0" applyFont="1" applyAlignment="1">
      <alignment horizontal="center" vertical="center" wrapText="1"/>
    </xf>
    <xf numFmtId="3" fontId="0" fillId="0" borderId="0" xfId="0" applyNumberFormat="1" applyFill="1" applyProtection="1"/>
    <xf numFmtId="164" fontId="0" fillId="0" borderId="25" xfId="0" applyNumberFormat="1" applyFill="1" applyBorder="1" applyAlignment="1" applyProtection="1">
      <alignment horizontal="center"/>
    </xf>
    <xf numFmtId="0" fontId="9" fillId="0" borderId="0" xfId="0" applyFont="1" applyBorder="1" applyAlignment="1" applyProtection="1">
      <alignment horizontal="center"/>
    </xf>
    <xf numFmtId="164" fontId="6" fillId="0" borderId="0" xfId="0" applyNumberFormat="1" applyFont="1" applyBorder="1" applyAlignment="1" applyProtection="1"/>
    <xf numFmtId="0" fontId="2" fillId="0" borderId="0" xfId="0" applyFont="1" applyBorder="1" applyAlignment="1" applyProtection="1">
      <alignment horizontal="center" wrapText="1"/>
    </xf>
    <xf numFmtId="0" fontId="1" fillId="0" borderId="0" xfId="0" applyFont="1" applyBorder="1" applyAlignment="1" applyProtection="1">
      <alignment horizontal="center"/>
    </xf>
    <xf numFmtId="14" fontId="0" fillId="3" borderId="26" xfId="0" applyNumberFormat="1" applyFill="1" applyBorder="1" applyProtection="1">
      <protection locked="0"/>
    </xf>
    <xf numFmtId="14" fontId="0" fillId="3" borderId="4" xfId="0" applyNumberFormat="1" applyFill="1" applyBorder="1" applyProtection="1">
      <protection locked="0"/>
    </xf>
    <xf numFmtId="165" fontId="0" fillId="3" borderId="4" xfId="0" applyNumberFormat="1" applyFill="1" applyBorder="1" applyProtection="1">
      <protection locked="0"/>
    </xf>
    <xf numFmtId="164" fontId="0" fillId="3" borderId="4" xfId="0" applyNumberFormat="1" applyFill="1" applyBorder="1" applyProtection="1">
      <protection locked="0"/>
    </xf>
    <xf numFmtId="0" fontId="0" fillId="3" borderId="27" xfId="0" applyFill="1" applyBorder="1" applyProtection="1">
      <protection locked="0"/>
    </xf>
    <xf numFmtId="164" fontId="0" fillId="3" borderId="28" xfId="0" applyNumberFormat="1" applyFill="1" applyBorder="1" applyProtection="1">
      <protection locked="0"/>
    </xf>
    <xf numFmtId="0" fontId="0" fillId="3" borderId="29" xfId="0" applyFill="1" applyBorder="1" applyProtection="1">
      <protection locked="0"/>
    </xf>
    <xf numFmtId="164" fontId="0" fillId="3" borderId="30" xfId="0" applyNumberFormat="1" applyFill="1" applyBorder="1" applyProtection="1">
      <protection locked="0"/>
    </xf>
    <xf numFmtId="0" fontId="0" fillId="3" borderId="30" xfId="0" applyFill="1" applyBorder="1" applyProtection="1">
      <protection locked="0"/>
    </xf>
    <xf numFmtId="0" fontId="2" fillId="0" borderId="31" xfId="0" applyFont="1" applyBorder="1" applyAlignment="1" applyProtection="1"/>
    <xf numFmtId="0" fontId="2" fillId="0" borderId="32" xfId="0" applyFont="1" applyBorder="1" applyAlignment="1" applyProtection="1"/>
    <xf numFmtId="164" fontId="6" fillId="0" borderId="33" xfId="0" applyNumberFormat="1" applyFont="1" applyBorder="1" applyAlignment="1" applyProtection="1">
      <alignment horizontal="right"/>
    </xf>
    <xf numFmtId="164" fontId="0" fillId="2" borderId="14" xfId="0" applyNumberFormat="1" applyFill="1" applyBorder="1" applyProtection="1">
      <protection locked="0"/>
    </xf>
    <xf numFmtId="164" fontId="0" fillId="2" borderId="15" xfId="0" applyNumberFormat="1" applyFill="1" applyBorder="1" applyProtection="1">
      <protection locked="0"/>
    </xf>
    <xf numFmtId="10" fontId="2" fillId="0" borderId="0" xfId="0" applyNumberFormat="1" applyFont="1" applyBorder="1" applyProtection="1"/>
    <xf numFmtId="165" fontId="0" fillId="0" borderId="0" xfId="0" applyNumberFormat="1" applyProtection="1"/>
    <xf numFmtId="0" fontId="18" fillId="0" borderId="34" xfId="0" applyFont="1" applyBorder="1" applyAlignment="1" applyProtection="1">
      <alignment horizontal="right"/>
    </xf>
    <xf numFmtId="0" fontId="18" fillId="0" borderId="31" xfId="0" applyFont="1" applyBorder="1" applyAlignment="1" applyProtection="1">
      <alignment horizontal="right"/>
    </xf>
    <xf numFmtId="0" fontId="18" fillId="0" borderId="35" xfId="0" applyFont="1" applyBorder="1" applyAlignment="1" applyProtection="1">
      <alignment horizontal="right"/>
    </xf>
    <xf numFmtId="2" fontId="8" fillId="0" borderId="0" xfId="0" applyNumberFormat="1" applyFont="1" applyBorder="1" applyProtection="1"/>
    <xf numFmtId="2" fontId="8" fillId="0" borderId="0" xfId="0" applyNumberFormat="1" applyFont="1" applyFill="1" applyBorder="1" applyProtection="1"/>
    <xf numFmtId="0" fontId="0" fillId="0" borderId="3" xfId="0" applyBorder="1" applyAlignment="1" applyProtection="1">
      <alignment horizontal="right"/>
    </xf>
    <xf numFmtId="0" fontId="0" fillId="0" borderId="1" xfId="0" applyBorder="1" applyAlignment="1" applyProtection="1">
      <alignment wrapText="1"/>
    </xf>
    <xf numFmtId="0" fontId="0" fillId="0" borderId="1" xfId="0" applyBorder="1" applyAlignment="1" applyProtection="1">
      <alignment horizontal="center" wrapText="1"/>
    </xf>
    <xf numFmtId="0" fontId="1" fillId="0" borderId="6" xfId="0" applyFont="1" applyFill="1" applyBorder="1" applyAlignment="1">
      <alignment horizontal="center" vertical="center"/>
    </xf>
    <xf numFmtId="0" fontId="0" fillId="0" borderId="0" xfId="0" applyFill="1"/>
    <xf numFmtId="0" fontId="1" fillId="0" borderId="36" xfId="0" applyFont="1" applyFill="1" applyBorder="1" applyAlignment="1">
      <alignment horizontal="center" vertical="center"/>
    </xf>
    <xf numFmtId="0" fontId="1" fillId="0" borderId="0" xfId="0" applyFont="1" applyFill="1" applyBorder="1"/>
    <xf numFmtId="0" fontId="1" fillId="0" borderId="21" xfId="0" applyFont="1" applyFill="1" applyBorder="1"/>
    <xf numFmtId="0" fontId="0" fillId="0" borderId="36" xfId="0" applyFill="1" applyBorder="1" applyAlignment="1">
      <alignment horizontal="center" vertical="center"/>
    </xf>
    <xf numFmtId="0" fontId="0" fillId="0" borderId="0" xfId="0" applyFill="1" applyBorder="1"/>
    <xf numFmtId="0" fontId="0" fillId="0" borderId="7" xfId="0" applyFill="1" applyBorder="1" applyAlignment="1">
      <alignment horizontal="center" vertical="center"/>
    </xf>
    <xf numFmtId="0" fontId="0" fillId="0" borderId="37" xfId="0" applyFill="1" applyBorder="1"/>
    <xf numFmtId="0" fontId="1" fillId="0" borderId="38" xfId="0" applyFont="1" applyFill="1" applyBorder="1"/>
    <xf numFmtId="0" fontId="1" fillId="0" borderId="39" xfId="0" applyFont="1" applyFill="1" applyBorder="1" applyAlignment="1">
      <alignment horizontal="center" vertical="center"/>
    </xf>
    <xf numFmtId="2" fontId="8" fillId="0" borderId="0" xfId="0" applyNumberFormat="1" applyFont="1" applyFill="1" applyBorder="1" applyAlignment="1" applyProtection="1">
      <alignment horizontal="right"/>
    </xf>
    <xf numFmtId="0" fontId="5" fillId="0" borderId="0" xfId="0" applyFont="1" applyAlignment="1" applyProtection="1">
      <alignment horizontal="center" vertical="center" wrapText="1"/>
    </xf>
    <xf numFmtId="164" fontId="0" fillId="0" borderId="21" xfId="0" applyNumberFormat="1" applyBorder="1" applyProtection="1"/>
    <xf numFmtId="0" fontId="0" fillId="0" borderId="15" xfId="0" applyBorder="1" applyAlignment="1" applyProtection="1">
      <alignment horizontal="right"/>
    </xf>
    <xf numFmtId="1" fontId="6" fillId="2" borderId="40" xfId="0" applyNumberFormat="1" applyFont="1" applyFill="1" applyBorder="1" applyAlignment="1" applyProtection="1">
      <protection locked="0"/>
    </xf>
    <xf numFmtId="164" fontId="6" fillId="2" borderId="28" xfId="0" applyNumberFormat="1" applyFont="1" applyFill="1" applyBorder="1" applyAlignment="1" applyProtection="1">
      <protection locked="0"/>
    </xf>
    <xf numFmtId="164" fontId="0" fillId="0" borderId="0" xfId="0" applyNumberFormat="1" applyFill="1" applyBorder="1" applyProtection="1"/>
    <xf numFmtId="0" fontId="0" fillId="0" borderId="0" xfId="0" applyAlignment="1" applyProtection="1">
      <alignment horizontal="center"/>
    </xf>
    <xf numFmtId="0" fontId="0" fillId="0" borderId="20" xfId="0" applyBorder="1" applyAlignment="1" applyProtection="1">
      <alignment horizontal="center" wrapText="1"/>
    </xf>
    <xf numFmtId="0" fontId="0" fillId="0" borderId="41" xfId="0" applyBorder="1" applyAlignment="1" applyProtection="1">
      <alignment horizontal="center" wrapText="1"/>
    </xf>
    <xf numFmtId="0" fontId="2" fillId="0" borderId="42" xfId="0" applyFont="1" applyBorder="1" applyAlignment="1" applyProtection="1">
      <alignment horizontal="center" wrapText="1"/>
    </xf>
    <xf numFmtId="0" fontId="0" fillId="0" borderId="42" xfId="0" applyBorder="1" applyAlignment="1" applyProtection="1">
      <alignment horizontal="center" wrapText="1"/>
    </xf>
    <xf numFmtId="0" fontId="0" fillId="0" borderId="24" xfId="0" applyBorder="1" applyAlignment="1" applyProtection="1">
      <alignment horizontal="center" wrapText="1"/>
    </xf>
    <xf numFmtId="2" fontId="0" fillId="0" borderId="43" xfId="0" applyNumberFormat="1" applyBorder="1" applyProtection="1"/>
    <xf numFmtId="164" fontId="0" fillId="0" borderId="44" xfId="0" applyNumberFormat="1" applyBorder="1" applyProtection="1"/>
    <xf numFmtId="164" fontId="0" fillId="0" borderId="44" xfId="0" applyNumberFormat="1" applyBorder="1" applyAlignment="1" applyProtection="1">
      <alignment horizontal="right"/>
    </xf>
    <xf numFmtId="164" fontId="0" fillId="0" borderId="16" xfId="0" applyNumberFormat="1" applyBorder="1" applyAlignment="1" applyProtection="1">
      <alignment horizontal="right"/>
    </xf>
    <xf numFmtId="165" fontId="0" fillId="0" borderId="0" xfId="0" applyNumberFormat="1" applyFill="1" applyBorder="1" applyProtection="1"/>
    <xf numFmtId="164" fontId="0" fillId="0" borderId="0" xfId="0" applyNumberFormat="1" applyBorder="1" applyAlignment="1" applyProtection="1">
      <alignment horizontal="right"/>
    </xf>
    <xf numFmtId="164" fontId="0" fillId="0" borderId="21" xfId="0" applyNumberFormat="1" applyBorder="1" applyAlignment="1" applyProtection="1">
      <alignment horizontal="right"/>
    </xf>
    <xf numFmtId="0" fontId="6" fillId="0" borderId="3" xfId="0" applyFont="1" applyBorder="1" applyProtection="1"/>
    <xf numFmtId="0" fontId="0" fillId="0" borderId="45" xfId="0" applyBorder="1" applyAlignment="1" applyProtection="1">
      <alignment horizontal="center" wrapText="1"/>
    </xf>
    <xf numFmtId="0" fontId="0" fillId="0" borderId="46" xfId="0" applyBorder="1" applyProtection="1"/>
    <xf numFmtId="0" fontId="0" fillId="0" borderId="47" xfId="0" applyBorder="1" applyAlignment="1" applyProtection="1">
      <alignment horizontal="center" wrapText="1"/>
    </xf>
    <xf numFmtId="0" fontId="0" fillId="0" borderId="48" xfId="0" applyBorder="1" applyAlignment="1" applyProtection="1">
      <alignment horizontal="center"/>
    </xf>
    <xf numFmtId="2" fontId="0" fillId="0" borderId="49" xfId="0" applyNumberFormat="1" applyFill="1" applyBorder="1" applyProtection="1"/>
    <xf numFmtId="0" fontId="0" fillId="4" borderId="50" xfId="0" applyFill="1" applyBorder="1" applyProtection="1"/>
    <xf numFmtId="164" fontId="0" fillId="0" borderId="51" xfId="0" applyNumberFormat="1" applyFill="1" applyBorder="1" applyProtection="1"/>
    <xf numFmtId="2" fontId="0" fillId="0" borderId="52" xfId="0" applyNumberFormat="1" applyFill="1" applyBorder="1" applyProtection="1"/>
    <xf numFmtId="164" fontId="0" fillId="0" borderId="52" xfId="0" applyNumberFormat="1" applyFill="1" applyBorder="1" applyProtection="1"/>
    <xf numFmtId="164" fontId="0" fillId="0" borderId="53" xfId="0" applyNumberFormat="1" applyFill="1" applyBorder="1" applyProtection="1"/>
    <xf numFmtId="0" fontId="16" fillId="0" borderId="21" xfId="0" applyFont="1" applyBorder="1" applyAlignment="1" applyProtection="1">
      <alignment horizontal="center"/>
    </xf>
    <xf numFmtId="0" fontId="16" fillId="0" borderId="3" xfId="0" applyFont="1" applyBorder="1" applyAlignment="1" applyProtection="1">
      <alignment horizontal="center"/>
    </xf>
    <xf numFmtId="0" fontId="0" fillId="0" borderId="21" xfId="0" applyBorder="1" applyAlignment="1" applyProtection="1">
      <alignment horizontal="right"/>
    </xf>
    <xf numFmtId="0" fontId="0" fillId="5" borderId="41" xfId="0" applyFill="1" applyBorder="1" applyAlignment="1" applyProtection="1">
      <alignment horizontal="center"/>
    </xf>
    <xf numFmtId="0" fontId="0" fillId="5" borderId="41" xfId="0" applyFill="1" applyBorder="1" applyAlignment="1" applyProtection="1">
      <alignment horizontal="center" wrapText="1"/>
    </xf>
    <xf numFmtId="0" fontId="0" fillId="0" borderId="24" xfId="0" applyBorder="1" applyAlignment="1" applyProtection="1">
      <alignment horizontal="center"/>
    </xf>
    <xf numFmtId="0" fontId="0" fillId="0" borderId="54" xfId="0" applyBorder="1" applyAlignment="1" applyProtection="1">
      <alignment horizontal="right"/>
    </xf>
    <xf numFmtId="164" fontId="0" fillId="0" borderId="16" xfId="0" applyNumberFormat="1" applyBorder="1" applyProtection="1"/>
    <xf numFmtId="164" fontId="0" fillId="0" borderId="2" xfId="0" applyNumberFormat="1" applyBorder="1" applyAlignment="1" applyProtection="1">
      <alignment horizontal="right"/>
    </xf>
    <xf numFmtId="164" fontId="0" fillId="2" borderId="4" xfId="0" applyNumberFormat="1" applyFill="1" applyBorder="1" applyProtection="1">
      <protection locked="0"/>
    </xf>
    <xf numFmtId="0" fontId="6" fillId="0" borderId="0" xfId="0" applyFont="1" applyFill="1" applyAlignment="1">
      <alignment horizontal="center"/>
    </xf>
    <xf numFmtId="0" fontId="10" fillId="0" borderId="0" xfId="0" applyFont="1" applyFill="1" applyAlignment="1">
      <alignment horizontal="center"/>
    </xf>
    <xf numFmtId="0" fontId="0" fillId="0" borderId="0" xfId="0" applyFill="1" applyBorder="1" applyAlignment="1">
      <alignment horizontal="center"/>
    </xf>
    <xf numFmtId="0" fontId="2"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2" fillId="0" borderId="0" xfId="0" applyFont="1" applyFill="1" applyBorder="1" applyAlignment="1">
      <alignment horizontal="right"/>
    </xf>
    <xf numFmtId="0" fontId="1" fillId="0" borderId="0" xfId="0" applyFont="1" applyFill="1" applyBorder="1" applyAlignment="1">
      <alignment horizontal="center"/>
    </xf>
    <xf numFmtId="0" fontId="2" fillId="0" borderId="0" xfId="0" applyFont="1" applyFill="1" applyBorder="1" applyAlignment="1">
      <alignment horizontal="left"/>
    </xf>
    <xf numFmtId="2" fontId="7" fillId="2" borderId="55" xfId="0" applyNumberFormat="1" applyFont="1" applyFill="1" applyBorder="1" applyAlignment="1" applyProtection="1">
      <alignment horizontal="right"/>
      <protection locked="0"/>
    </xf>
    <xf numFmtId="0" fontId="9" fillId="0" borderId="43" xfId="0" applyFont="1" applyBorder="1" applyAlignment="1" applyProtection="1">
      <alignment horizontal="center"/>
    </xf>
    <xf numFmtId="164" fontId="7" fillId="0" borderId="56" xfId="0" applyNumberFormat="1" applyFont="1" applyBorder="1" applyProtection="1"/>
    <xf numFmtId="0" fontId="7" fillId="0" borderId="3" xfId="0" applyFont="1" applyFill="1" applyBorder="1" applyAlignment="1" applyProtection="1">
      <alignment horizontal="right"/>
    </xf>
    <xf numFmtId="164" fontId="7" fillId="0" borderId="0" xfId="0" applyNumberFormat="1" applyFont="1" applyFill="1" applyBorder="1" applyAlignment="1" applyProtection="1">
      <alignment horizontal="center"/>
    </xf>
    <xf numFmtId="0" fontId="7" fillId="0" borderId="57" xfId="0" applyFont="1" applyBorder="1" applyAlignment="1" applyProtection="1">
      <alignment horizontal="center"/>
    </xf>
    <xf numFmtId="0" fontId="7" fillId="0" borderId="58" xfId="0" applyFont="1" applyBorder="1" applyAlignment="1" applyProtection="1">
      <alignment horizontal="center"/>
    </xf>
    <xf numFmtId="2" fontId="7" fillId="2" borderId="59" xfId="0" applyNumberFormat="1" applyFont="1" applyFill="1" applyBorder="1" applyAlignment="1" applyProtection="1">
      <alignment horizontal="right"/>
      <protection locked="0"/>
    </xf>
    <xf numFmtId="0" fontId="8" fillId="0" borderId="20" xfId="0" applyFont="1" applyFill="1" applyBorder="1" applyAlignment="1" applyProtection="1">
      <alignment horizontal="right"/>
    </xf>
    <xf numFmtId="2" fontId="8" fillId="0" borderId="1" xfId="0" applyNumberFormat="1" applyFont="1" applyFill="1" applyBorder="1" applyProtection="1"/>
    <xf numFmtId="164" fontId="0" fillId="0" borderId="60" xfId="0" applyNumberFormat="1" applyBorder="1" applyProtection="1"/>
    <xf numFmtId="164" fontId="0" fillId="0" borderId="61" xfId="0" applyNumberFormat="1" applyBorder="1" applyProtection="1"/>
    <xf numFmtId="2" fontId="8" fillId="0" borderId="62" xfId="0" applyNumberFormat="1" applyFont="1" applyFill="1" applyBorder="1" applyProtection="1"/>
    <xf numFmtId="164" fontId="0" fillId="6" borderId="62" xfId="0" applyNumberFormat="1" applyFill="1" applyBorder="1" applyProtection="1"/>
    <xf numFmtId="164" fontId="0" fillId="0" borderId="63" xfId="0" applyNumberFormat="1" applyBorder="1" applyProtection="1"/>
    <xf numFmtId="0" fontId="8" fillId="0" borderId="0" xfId="0" applyFont="1" applyFill="1" applyBorder="1" applyAlignment="1" applyProtection="1">
      <alignment horizontal="right"/>
    </xf>
    <xf numFmtId="0" fontId="7" fillId="0" borderId="0" xfId="0" applyFont="1" applyBorder="1" applyProtection="1"/>
    <xf numFmtId="0" fontId="0" fillId="0" borderId="0" xfId="0" applyBorder="1" applyAlignment="1" applyProtection="1">
      <alignment wrapText="1"/>
    </xf>
    <xf numFmtId="0" fontId="6" fillId="0" borderId="0" xfId="0" applyFont="1" applyFill="1" applyBorder="1" applyAlignment="1" applyProtection="1">
      <alignment horizontal="right"/>
    </xf>
    <xf numFmtId="164" fontId="6" fillId="0" borderId="0" xfId="0" applyNumberFormat="1" applyFont="1" applyFill="1" applyBorder="1" applyAlignment="1" applyProtection="1">
      <alignment horizontal="right"/>
    </xf>
    <xf numFmtId="164" fontId="7" fillId="2" borderId="4" xfId="0" applyNumberFormat="1" applyFont="1" applyFill="1" applyBorder="1" applyProtection="1">
      <protection locked="0"/>
    </xf>
    <xf numFmtId="164" fontId="7" fillId="2" borderId="64" xfId="0" applyNumberFormat="1" applyFont="1" applyFill="1" applyBorder="1" applyProtection="1">
      <protection locked="0"/>
    </xf>
    <xf numFmtId="164" fontId="0" fillId="4" borderId="44" xfId="0" applyNumberFormat="1" applyFill="1" applyBorder="1" applyProtection="1"/>
    <xf numFmtId="0" fontId="0" fillId="4" borderId="57" xfId="0" applyFill="1" applyBorder="1" applyProtection="1"/>
    <xf numFmtId="0" fontId="18" fillId="0" borderId="34" xfId="0" applyFont="1" applyFill="1" applyBorder="1" applyAlignment="1" applyProtection="1">
      <alignment horizontal="right"/>
    </xf>
    <xf numFmtId="0" fontId="18" fillId="0" borderId="31" xfId="0" applyFont="1" applyFill="1" applyBorder="1" applyAlignment="1" applyProtection="1">
      <alignment horizontal="right"/>
    </xf>
    <xf numFmtId="0" fontId="18" fillId="0" borderId="35" xfId="0" applyFont="1" applyFill="1" applyBorder="1" applyAlignment="1" applyProtection="1">
      <alignment horizontal="right"/>
    </xf>
    <xf numFmtId="0" fontId="7" fillId="0" borderId="34" xfId="0" applyFont="1" applyFill="1" applyBorder="1" applyAlignment="1" applyProtection="1">
      <alignment horizontal="right"/>
    </xf>
    <xf numFmtId="0" fontId="7" fillId="0" borderId="34" xfId="0" applyFont="1" applyBorder="1" applyAlignment="1" applyProtection="1">
      <alignment horizontal="right"/>
    </xf>
    <xf numFmtId="0" fontId="8" fillId="0" borderId="1" xfId="0" applyFont="1" applyFill="1" applyBorder="1" applyAlignment="1" applyProtection="1">
      <alignment horizontal="right"/>
    </xf>
    <xf numFmtId="164" fontId="0" fillId="0" borderId="1" xfId="0" applyNumberFormat="1" applyFill="1" applyBorder="1" applyProtection="1"/>
    <xf numFmtId="164" fontId="0" fillId="0" borderId="1" xfId="0" applyNumberFormat="1" applyBorder="1" applyProtection="1"/>
    <xf numFmtId="164" fontId="18" fillId="0" borderId="60" xfId="0" applyNumberFormat="1" applyFont="1" applyBorder="1" applyProtection="1"/>
    <xf numFmtId="164" fontId="18" fillId="0" borderId="61" xfId="0" applyNumberFormat="1" applyFont="1" applyBorder="1" applyProtection="1"/>
    <xf numFmtId="164" fontId="18" fillId="6" borderId="62" xfId="0" applyNumberFormat="1" applyFont="1" applyFill="1" applyBorder="1" applyProtection="1"/>
    <xf numFmtId="164" fontId="18" fillId="0" borderId="63" xfId="0" applyNumberFormat="1" applyFont="1" applyBorder="1" applyProtection="1"/>
    <xf numFmtId="164" fontId="6" fillId="0" borderId="0" xfId="0" applyNumberFormat="1" applyFont="1" applyBorder="1" applyAlignment="1" applyProtection="1">
      <alignment horizontal="right"/>
    </xf>
    <xf numFmtId="4" fontId="6" fillId="2" borderId="4" xfId="0" applyNumberFormat="1" applyFont="1" applyFill="1" applyBorder="1" applyAlignment="1" applyProtection="1">
      <alignment horizontal="right"/>
      <protection locked="0"/>
    </xf>
    <xf numFmtId="164" fontId="8" fillId="0" borderId="10" xfId="0" applyNumberFormat="1" applyFont="1" applyBorder="1" applyProtection="1"/>
    <xf numFmtId="164" fontId="22" fillId="0" borderId="9" xfId="0" applyNumberFormat="1" applyFont="1" applyFill="1" applyBorder="1" applyAlignment="1" applyProtection="1">
      <alignment horizontal="right"/>
    </xf>
    <xf numFmtId="164" fontId="8" fillId="0" borderId="9" xfId="0" applyNumberFormat="1" applyFont="1" applyBorder="1" applyAlignment="1" applyProtection="1">
      <alignment horizontal="right"/>
    </xf>
    <xf numFmtId="164" fontId="6" fillId="0" borderId="65" xfId="0" applyNumberFormat="1" applyFont="1" applyFill="1" applyBorder="1" applyAlignment="1" applyProtection="1">
      <alignment horizontal="right"/>
    </xf>
    <xf numFmtId="4" fontId="6" fillId="0" borderId="66" xfId="0" applyNumberFormat="1" applyFont="1" applyFill="1" applyBorder="1" applyAlignment="1" applyProtection="1">
      <alignment horizontal="right"/>
    </xf>
    <xf numFmtId="8" fontId="0" fillId="0" borderId="0" xfId="0" applyNumberFormat="1" applyProtection="1"/>
    <xf numFmtId="164" fontId="22" fillId="0" borderId="10" xfId="0" applyNumberFormat="1" applyFont="1" applyFill="1" applyBorder="1" applyAlignment="1" applyProtection="1">
      <alignment horizontal="right"/>
    </xf>
    <xf numFmtId="10" fontId="0" fillId="0" borderId="0" xfId="0" applyNumberFormat="1" applyProtection="1"/>
    <xf numFmtId="164" fontId="8" fillId="0" borderId="0" xfId="0" applyNumberFormat="1" applyFont="1" applyBorder="1" applyAlignment="1" applyProtection="1">
      <alignment horizontal="center"/>
    </xf>
    <xf numFmtId="164" fontId="8" fillId="0" borderId="0" xfId="0" applyNumberFormat="1" applyFont="1" applyFill="1" applyBorder="1" applyAlignment="1" applyProtection="1">
      <alignment horizontal="center"/>
    </xf>
    <xf numFmtId="0" fontId="0" fillId="0" borderId="0" xfId="0" applyNumberFormat="1" applyFill="1" applyProtection="1"/>
    <xf numFmtId="2" fontId="0" fillId="0" borderId="0" xfId="0" applyNumberFormat="1" applyFill="1" applyProtection="1"/>
    <xf numFmtId="164" fontId="1" fillId="0" borderId="0" xfId="0" applyNumberFormat="1" applyFont="1" applyBorder="1" applyAlignment="1" applyProtection="1">
      <alignment horizontal="center"/>
    </xf>
    <xf numFmtId="2" fontId="0" fillId="0" borderId="0" xfId="0" applyNumberFormat="1" applyBorder="1" applyProtection="1"/>
    <xf numFmtId="0" fontId="18" fillId="0" borderId="0" xfId="0" applyFont="1" applyBorder="1" applyAlignment="1" applyProtection="1">
      <alignment horizontal="right"/>
    </xf>
    <xf numFmtId="164" fontId="18" fillId="0" borderId="0" xfId="0" applyNumberFormat="1" applyFont="1" applyBorder="1" applyAlignment="1" applyProtection="1">
      <alignment horizontal="center"/>
    </xf>
    <xf numFmtId="0" fontId="8" fillId="0" borderId="0" xfId="0" applyFont="1" applyAlignment="1" applyProtection="1"/>
    <xf numFmtId="0" fontId="0" fillId="0" borderId="3" xfId="0" applyBorder="1" applyProtection="1"/>
    <xf numFmtId="0" fontId="0" fillId="0" borderId="0" xfId="0" applyBorder="1" applyProtection="1"/>
    <xf numFmtId="0" fontId="0" fillId="0" borderId="3" xfId="0" applyBorder="1" applyAlignment="1" applyProtection="1">
      <alignment horizontal="right"/>
    </xf>
    <xf numFmtId="0" fontId="0" fillId="0" borderId="3" xfId="0" applyBorder="1" applyProtection="1"/>
    <xf numFmtId="0" fontId="0" fillId="0" borderId="0" xfId="0" applyBorder="1" applyProtection="1"/>
    <xf numFmtId="0" fontId="0" fillId="0" borderId="2" xfId="0" applyBorder="1" applyProtection="1"/>
    <xf numFmtId="0" fontId="0" fillId="0" borderId="1" xfId="0" applyBorder="1" applyAlignment="1" applyProtection="1">
      <alignment horizontal="center" wrapText="1"/>
    </xf>
    <xf numFmtId="0" fontId="0" fillId="0" borderId="24" xfId="0" applyBorder="1" applyAlignment="1" applyProtection="1">
      <alignment horizontal="center" wrapText="1"/>
    </xf>
    <xf numFmtId="0" fontId="7" fillId="0" borderId="35" xfId="0" applyFont="1" applyBorder="1" applyAlignment="1" applyProtection="1">
      <alignment horizontal="right"/>
    </xf>
    <xf numFmtId="0" fontId="7" fillId="0" borderId="31" xfId="0" applyFont="1" applyBorder="1" applyAlignment="1" applyProtection="1">
      <alignment horizontal="right"/>
    </xf>
    <xf numFmtId="0" fontId="0" fillId="4" borderId="58" xfId="0" applyFill="1" applyBorder="1" applyProtection="1"/>
    <xf numFmtId="0" fontId="0" fillId="0" borderId="43" xfId="0" applyFill="1" applyBorder="1" applyAlignment="1" applyProtection="1">
      <alignment horizontal="right" vertical="top"/>
    </xf>
    <xf numFmtId="0" fontId="0" fillId="0" borderId="43" xfId="0" applyFill="1" applyBorder="1" applyAlignment="1" applyProtection="1">
      <alignment horizontal="right"/>
    </xf>
    <xf numFmtId="0" fontId="0" fillId="0" borderId="43" xfId="0" applyFill="1" applyBorder="1" applyProtection="1"/>
    <xf numFmtId="0" fontId="0" fillId="0" borderId="43" xfId="0" applyFill="1" applyBorder="1" applyAlignment="1" applyProtection="1">
      <alignment horizontal="right"/>
      <protection locked="0"/>
    </xf>
    <xf numFmtId="164" fontId="0" fillId="0" borderId="43" xfId="0" applyNumberFormat="1" applyFill="1" applyBorder="1" applyProtection="1">
      <protection locked="0"/>
    </xf>
    <xf numFmtId="0" fontId="0" fillId="0" borderId="43" xfId="0" applyFill="1" applyBorder="1" applyProtection="1">
      <protection locked="0"/>
    </xf>
    <xf numFmtId="164" fontId="0" fillId="0" borderId="43" xfId="0" applyNumberFormat="1" applyFill="1" applyBorder="1" applyProtection="1"/>
    <xf numFmtId="164" fontId="0" fillId="0" borderId="43" xfId="0" applyNumberFormat="1" applyFill="1" applyBorder="1" applyAlignment="1" applyProtection="1">
      <alignment horizontal="right"/>
    </xf>
    <xf numFmtId="0" fontId="2" fillId="0" borderId="0" xfId="0" applyFont="1" applyFill="1" applyProtection="1"/>
    <xf numFmtId="0" fontId="1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center"/>
    </xf>
    <xf numFmtId="0" fontId="1" fillId="0" borderId="67" xfId="0" applyFont="1" applyBorder="1" applyAlignment="1">
      <alignment wrapText="1"/>
    </xf>
    <xf numFmtId="0" fontId="1" fillId="0" borderId="68" xfId="0" applyFont="1" applyBorder="1" applyAlignment="1">
      <alignment wrapText="1"/>
    </xf>
    <xf numFmtId="0" fontId="10" fillId="0" borderId="0" xfId="0" applyFont="1" applyAlignment="1">
      <alignment horizontal="center"/>
    </xf>
    <xf numFmtId="0" fontId="1" fillId="0" borderId="69" xfId="0" applyFont="1" applyBorder="1" applyAlignment="1">
      <alignment wrapText="1"/>
    </xf>
    <xf numFmtId="0" fontId="1" fillId="0" borderId="70" xfId="0" applyFont="1" applyBorder="1" applyAlignment="1">
      <alignment wrapText="1"/>
    </xf>
    <xf numFmtId="0" fontId="1" fillId="0" borderId="71" xfId="0" applyFont="1" applyFill="1" applyBorder="1" applyAlignment="1">
      <alignment wrapText="1"/>
    </xf>
    <xf numFmtId="0" fontId="1" fillId="0" borderId="72" xfId="0" applyFont="1" applyFill="1" applyBorder="1" applyAlignment="1">
      <alignment wrapText="1"/>
    </xf>
    <xf numFmtId="0" fontId="1" fillId="0" borderId="73" xfId="0" applyFont="1" applyFill="1" applyBorder="1" applyAlignment="1">
      <alignment wrapText="1"/>
    </xf>
    <xf numFmtId="0" fontId="1" fillId="0" borderId="74" xfId="0" applyFont="1" applyFill="1" applyBorder="1" applyAlignment="1">
      <alignment wrapText="1"/>
    </xf>
    <xf numFmtId="0" fontId="5" fillId="0" borderId="0" xfId="0" applyFont="1" applyAlignment="1" applyProtection="1">
      <alignment horizontal="center" vertical="center" wrapText="1"/>
    </xf>
    <xf numFmtId="0" fontId="6" fillId="0" borderId="0" xfId="0" applyFont="1" applyAlignment="1" applyProtection="1">
      <alignment horizontal="center"/>
    </xf>
    <xf numFmtId="0" fontId="6" fillId="0" borderId="22" xfId="0" applyFont="1" applyBorder="1" applyAlignment="1" applyProtection="1">
      <alignment horizontal="right"/>
    </xf>
    <xf numFmtId="0" fontId="6" fillId="0" borderId="75" xfId="0" applyFont="1" applyBorder="1" applyAlignment="1" applyProtection="1">
      <alignment horizontal="right"/>
    </xf>
    <xf numFmtId="0" fontId="6" fillId="2" borderId="55" xfId="0" applyFont="1" applyFill="1" applyBorder="1" applyAlignment="1" applyProtection="1">
      <alignment horizontal="center" wrapText="1"/>
      <protection locked="0"/>
    </xf>
    <xf numFmtId="0" fontId="6" fillId="2" borderId="26" xfId="0" applyFont="1" applyFill="1" applyBorder="1" applyAlignment="1" applyProtection="1">
      <alignment horizontal="center" wrapText="1"/>
      <protection locked="0"/>
    </xf>
    <xf numFmtId="0" fontId="6" fillId="2" borderId="27" xfId="0" applyFont="1" applyFill="1" applyBorder="1" applyAlignment="1" applyProtection="1">
      <alignment horizontal="center" wrapText="1"/>
      <protection locked="0"/>
    </xf>
    <xf numFmtId="0" fontId="6" fillId="2" borderId="55" xfId="0" applyFont="1" applyFill="1" applyBorder="1" applyAlignment="1" applyProtection="1">
      <alignment horizontal="center"/>
      <protection locked="0"/>
    </xf>
    <xf numFmtId="0" fontId="6" fillId="2" borderId="26" xfId="0" applyFont="1" applyFill="1" applyBorder="1" applyAlignment="1" applyProtection="1">
      <alignment horizontal="center"/>
      <protection locked="0"/>
    </xf>
    <xf numFmtId="0" fontId="6" fillId="2" borderId="27" xfId="0" applyFont="1" applyFill="1" applyBorder="1" applyAlignment="1" applyProtection="1">
      <alignment horizontal="center"/>
      <protection locked="0"/>
    </xf>
    <xf numFmtId="0" fontId="6" fillId="0" borderId="43" xfId="0" applyFont="1" applyBorder="1" applyAlignment="1" applyProtection="1">
      <alignment horizontal="right"/>
    </xf>
    <xf numFmtId="0" fontId="6" fillId="0" borderId="20" xfId="0" applyFont="1" applyBorder="1" applyAlignment="1" applyProtection="1">
      <alignment horizontal="right" wrapText="1"/>
    </xf>
    <xf numFmtId="0" fontId="6" fillId="0" borderId="1" xfId="0" applyFont="1" applyBorder="1" applyAlignment="1" applyProtection="1">
      <alignment horizontal="right" wrapText="1"/>
    </xf>
    <xf numFmtId="0" fontId="6" fillId="0" borderId="18" xfId="0" applyFont="1" applyBorder="1" applyAlignment="1" applyProtection="1">
      <alignment horizontal="right" wrapText="1"/>
    </xf>
    <xf numFmtId="0" fontId="6" fillId="0" borderId="54" xfId="0" applyFont="1" applyBorder="1" applyAlignment="1" applyProtection="1">
      <alignment horizontal="right" wrapText="1"/>
    </xf>
    <xf numFmtId="0" fontId="6" fillId="0" borderId="2" xfId="0" applyFont="1" applyBorder="1" applyAlignment="1" applyProtection="1">
      <alignment horizontal="right" wrapText="1"/>
    </xf>
    <xf numFmtId="0" fontId="6" fillId="0" borderId="22" xfId="0" applyFont="1" applyBorder="1" applyAlignment="1" applyProtection="1">
      <alignment horizontal="right" wrapText="1"/>
    </xf>
    <xf numFmtId="0" fontId="6" fillId="0" borderId="43" xfId="0" applyFont="1" applyBorder="1" applyAlignment="1" applyProtection="1">
      <alignment horizontal="right" wrapText="1"/>
    </xf>
    <xf numFmtId="0" fontId="11" fillId="0" borderId="22" xfId="0" applyFont="1" applyFill="1" applyBorder="1" applyAlignment="1" applyProtection="1">
      <alignment vertical="center" wrapText="1"/>
    </xf>
    <xf numFmtId="0" fontId="11" fillId="0" borderId="43" xfId="0" applyFont="1" applyFill="1" applyBorder="1" applyAlignment="1" applyProtection="1">
      <alignment vertical="center" wrapText="1"/>
    </xf>
    <xf numFmtId="0" fontId="11" fillId="0" borderId="24" xfId="0" applyFont="1" applyFill="1" applyBorder="1" applyAlignment="1" applyProtection="1">
      <alignment vertical="center" wrapText="1"/>
    </xf>
    <xf numFmtId="0" fontId="6" fillId="7" borderId="22" xfId="0" applyFont="1" applyFill="1" applyBorder="1" applyAlignment="1" applyProtection="1">
      <alignment horizontal="center"/>
    </xf>
    <xf numFmtId="0" fontId="6" fillId="7" borderId="24" xfId="0" applyFont="1" applyFill="1" applyBorder="1" applyAlignment="1" applyProtection="1">
      <alignment horizontal="center"/>
    </xf>
    <xf numFmtId="0" fontId="6" fillId="0" borderId="75" xfId="0" applyFont="1" applyBorder="1" applyAlignment="1" applyProtection="1">
      <alignment horizontal="right" wrapText="1"/>
    </xf>
    <xf numFmtId="14" fontId="6" fillId="2" borderId="55" xfId="0" applyNumberFormat="1" applyFont="1" applyFill="1" applyBorder="1" applyAlignment="1" applyProtection="1">
      <alignment horizontal="center"/>
      <protection locked="0"/>
    </xf>
    <xf numFmtId="14" fontId="6" fillId="2" borderId="27" xfId="0" applyNumberFormat="1" applyFont="1" applyFill="1" applyBorder="1" applyAlignment="1" applyProtection="1">
      <alignment horizontal="center"/>
      <protection locked="0"/>
    </xf>
    <xf numFmtId="0" fontId="8" fillId="0" borderId="2" xfId="0" applyFont="1" applyBorder="1" applyAlignment="1" applyProtection="1">
      <alignment horizontal="center"/>
    </xf>
    <xf numFmtId="0" fontId="7" fillId="0" borderId="0" xfId="0" applyFont="1" applyAlignment="1" applyProtection="1">
      <alignment horizontal="center"/>
    </xf>
    <xf numFmtId="0" fontId="2" fillId="2" borderId="59" xfId="0" applyFont="1" applyFill="1" applyBorder="1" applyAlignment="1" applyProtection="1">
      <alignment horizontal="center" vertical="top" wrapText="1"/>
      <protection locked="0"/>
    </xf>
    <xf numFmtId="0" fontId="2" fillId="2" borderId="76" xfId="0" applyFont="1" applyFill="1" applyBorder="1" applyAlignment="1" applyProtection="1">
      <alignment horizontal="center" vertical="top" wrapText="1"/>
      <protection locked="0"/>
    </xf>
    <xf numFmtId="0" fontId="2" fillId="2" borderId="77" xfId="0" applyFont="1" applyFill="1" applyBorder="1" applyAlignment="1" applyProtection="1">
      <alignment horizontal="center" vertical="top" wrapText="1"/>
      <protection locked="0"/>
    </xf>
    <xf numFmtId="0" fontId="2" fillId="2" borderId="23"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top" wrapText="1"/>
      <protection locked="0"/>
    </xf>
    <xf numFmtId="0" fontId="2" fillId="2" borderId="78" xfId="0" applyFont="1" applyFill="1" applyBorder="1" applyAlignment="1" applyProtection="1">
      <alignment horizontal="center" vertical="top" wrapText="1"/>
      <protection locked="0"/>
    </xf>
    <xf numFmtId="0" fontId="2" fillId="2" borderId="79" xfId="0" applyFont="1" applyFill="1" applyBorder="1" applyAlignment="1" applyProtection="1">
      <alignment horizontal="center" vertical="top" wrapText="1"/>
      <protection locked="0"/>
    </xf>
    <xf numFmtId="0" fontId="2" fillId="2" borderId="37" xfId="0" applyFont="1" applyFill="1" applyBorder="1" applyAlignment="1" applyProtection="1">
      <alignment horizontal="center" vertical="top" wrapText="1"/>
      <protection locked="0"/>
    </xf>
    <xf numFmtId="0" fontId="2" fillId="2" borderId="29" xfId="0" applyFont="1" applyFill="1" applyBorder="1" applyAlignment="1" applyProtection="1">
      <alignment horizontal="center" vertical="top" wrapText="1"/>
      <protection locked="0"/>
    </xf>
    <xf numFmtId="164" fontId="18" fillId="0" borderId="54" xfId="0" applyNumberFormat="1" applyFont="1" applyBorder="1" applyAlignment="1" applyProtection="1">
      <alignment horizontal="center"/>
    </xf>
    <xf numFmtId="164" fontId="18" fillId="0" borderId="2" xfId="0" applyNumberFormat="1" applyFont="1" applyBorder="1" applyAlignment="1" applyProtection="1">
      <alignment horizontal="center"/>
    </xf>
    <xf numFmtId="164" fontId="18" fillId="0" borderId="16" xfId="0" applyNumberFormat="1" applyFont="1" applyBorder="1" applyAlignment="1" applyProtection="1">
      <alignment horizontal="center"/>
    </xf>
    <xf numFmtId="164" fontId="18" fillId="0" borderId="80" xfId="0" applyNumberFormat="1" applyFont="1" applyBorder="1" applyAlignment="1" applyProtection="1">
      <alignment horizontal="center"/>
    </xf>
    <xf numFmtId="164" fontId="18" fillId="0" borderId="81" xfId="0" applyNumberFormat="1" applyFont="1" applyBorder="1" applyAlignment="1" applyProtection="1">
      <alignment horizontal="center"/>
    </xf>
    <xf numFmtId="164" fontId="18" fillId="0" borderId="82" xfId="0" applyNumberFormat="1" applyFont="1" applyBorder="1" applyAlignment="1" applyProtection="1">
      <alignment horizontal="center"/>
    </xf>
    <xf numFmtId="0" fontId="18" fillId="2" borderId="55" xfId="0" applyFont="1" applyFill="1" applyBorder="1" applyAlignment="1" applyProtection="1">
      <alignment horizontal="center"/>
      <protection locked="0"/>
    </xf>
    <xf numFmtId="0" fontId="18" fillId="2" borderId="26" xfId="0" applyFont="1" applyFill="1" applyBorder="1" applyAlignment="1" applyProtection="1">
      <alignment horizontal="center"/>
      <protection locked="0"/>
    </xf>
    <xf numFmtId="0" fontId="18" fillId="2" borderId="27" xfId="0" applyFont="1" applyFill="1" applyBorder="1" applyAlignment="1" applyProtection="1">
      <alignment horizontal="center"/>
      <protection locked="0"/>
    </xf>
    <xf numFmtId="4" fontId="18" fillId="0" borderId="20" xfId="0" applyNumberFormat="1" applyFont="1" applyBorder="1" applyAlignment="1" applyProtection="1">
      <alignment horizontal="center"/>
    </xf>
    <xf numFmtId="4" fontId="18" fillId="0" borderId="1" xfId="0" applyNumberFormat="1" applyFont="1" applyBorder="1" applyAlignment="1" applyProtection="1">
      <alignment horizontal="center"/>
    </xf>
    <xf numFmtId="4" fontId="18" fillId="0" borderId="18" xfId="0" applyNumberFormat="1" applyFont="1" applyBorder="1" applyAlignment="1" applyProtection="1">
      <alignment horizontal="center"/>
    </xf>
    <xf numFmtId="0" fontId="18" fillId="0" borderId="20" xfId="0" applyFont="1" applyBorder="1" applyAlignment="1" applyProtection="1">
      <alignment horizontal="center"/>
    </xf>
    <xf numFmtId="0" fontId="18" fillId="0" borderId="1" xfId="0" applyFont="1" applyBorder="1" applyAlignment="1" applyProtection="1">
      <alignment horizontal="center"/>
    </xf>
    <xf numFmtId="0" fontId="18" fillId="0" borderId="18" xfId="0" applyFont="1" applyBorder="1" applyAlignment="1" applyProtection="1">
      <alignment horizontal="center"/>
    </xf>
    <xf numFmtId="2" fontId="7" fillId="2" borderId="55" xfId="0" applyNumberFormat="1" applyFont="1" applyFill="1" applyBorder="1" applyAlignment="1" applyProtection="1">
      <alignment horizontal="center"/>
      <protection locked="0"/>
    </xf>
    <xf numFmtId="2" fontId="7" fillId="2" borderId="26" xfId="0" applyNumberFormat="1" applyFont="1" applyFill="1" applyBorder="1" applyAlignment="1" applyProtection="1">
      <alignment horizontal="center"/>
      <protection locked="0"/>
    </xf>
    <xf numFmtId="2" fontId="7" fillId="2" borderId="27" xfId="0" applyNumberFormat="1" applyFont="1" applyFill="1" applyBorder="1" applyAlignment="1" applyProtection="1">
      <alignment horizontal="center"/>
      <protection locked="0"/>
    </xf>
    <xf numFmtId="164" fontId="18" fillId="0" borderId="88" xfId="0" applyNumberFormat="1" applyFont="1" applyBorder="1" applyAlignment="1" applyProtection="1">
      <alignment horizontal="center"/>
    </xf>
    <xf numFmtId="164" fontId="18" fillId="0" borderId="90" xfId="0" applyNumberFormat="1" applyFont="1" applyBorder="1" applyAlignment="1" applyProtection="1">
      <alignment horizontal="center"/>
    </xf>
    <xf numFmtId="164" fontId="18" fillId="0" borderId="17" xfId="0" applyNumberFormat="1" applyFont="1" applyBorder="1" applyAlignment="1" applyProtection="1">
      <alignment horizontal="center"/>
    </xf>
    <xf numFmtId="0" fontId="7" fillId="0" borderId="20" xfId="0" applyFont="1" applyBorder="1" applyAlignment="1" applyProtection="1">
      <alignment horizontal="center"/>
    </xf>
    <xf numFmtId="0" fontId="18" fillId="0" borderId="57" xfId="0" applyFont="1" applyFill="1" applyBorder="1" applyAlignment="1" applyProtection="1">
      <alignment horizontal="center"/>
      <protection locked="0"/>
    </xf>
    <xf numFmtId="0" fontId="18" fillId="0" borderId="99" xfId="0" applyFont="1" applyFill="1" applyBorder="1" applyAlignment="1" applyProtection="1">
      <alignment horizontal="center"/>
      <protection locked="0"/>
    </xf>
    <xf numFmtId="0" fontId="18" fillId="0" borderId="81" xfId="0" applyFont="1" applyFill="1" applyBorder="1" applyAlignment="1" applyProtection="1">
      <alignment horizontal="center"/>
      <protection locked="0"/>
    </xf>
    <xf numFmtId="0" fontId="18" fillId="0" borderId="92" xfId="0" applyFont="1" applyFill="1" applyBorder="1" applyAlignment="1" applyProtection="1">
      <alignment horizontal="center"/>
      <protection locked="0"/>
    </xf>
    <xf numFmtId="0" fontId="6" fillId="2" borderId="77" xfId="0" applyFont="1" applyFill="1" applyBorder="1" applyAlignment="1" applyProtection="1">
      <alignment horizontal="center"/>
      <protection locked="0"/>
    </xf>
    <xf numFmtId="0" fontId="2" fillId="0" borderId="31" xfId="0" applyFont="1" applyBorder="1" applyAlignment="1" applyProtection="1">
      <alignment horizontal="left"/>
    </xf>
    <xf numFmtId="0" fontId="2" fillId="0" borderId="32" xfId="0" applyFont="1" applyBorder="1" applyAlignment="1" applyProtection="1">
      <alignment horizontal="left"/>
    </xf>
    <xf numFmtId="0" fontId="2" fillId="0" borderId="90" xfId="0" applyFont="1" applyBorder="1" applyAlignment="1" applyProtection="1">
      <alignment horizontal="left"/>
    </xf>
    <xf numFmtId="0" fontId="20" fillId="0" borderId="22" xfId="0" applyFont="1" applyFill="1" applyBorder="1" applyAlignment="1" applyProtection="1">
      <alignment horizontal="right"/>
    </xf>
    <xf numFmtId="0" fontId="20" fillId="0" borderId="43" xfId="0" applyFont="1" applyFill="1" applyBorder="1" applyAlignment="1" applyProtection="1">
      <alignment horizontal="right"/>
    </xf>
    <xf numFmtId="0" fontId="20" fillId="0" borderId="24" xfId="0" applyFont="1" applyFill="1" applyBorder="1" applyAlignment="1" applyProtection="1">
      <alignment horizontal="right"/>
    </xf>
    <xf numFmtId="0" fontId="8" fillId="0" borderId="22" xfId="0" applyFont="1" applyBorder="1" applyAlignment="1" applyProtection="1">
      <alignment horizontal="right"/>
    </xf>
    <xf numFmtId="0" fontId="8" fillId="0" borderId="43" xfId="0" applyFont="1" applyBorder="1" applyAlignment="1" applyProtection="1">
      <alignment horizontal="right"/>
    </xf>
    <xf numFmtId="0" fontId="8" fillId="0" borderId="24" xfId="0" applyFont="1" applyBorder="1" applyAlignment="1" applyProtection="1">
      <alignment horizontal="right"/>
    </xf>
    <xf numFmtId="14" fontId="8" fillId="0" borderId="2" xfId="0" applyNumberFormat="1" applyFont="1" applyBorder="1" applyAlignment="1" applyProtection="1">
      <alignment horizontal="center"/>
    </xf>
    <xf numFmtId="0" fontId="0" fillId="2" borderId="56" xfId="0" applyFill="1" applyBorder="1" applyProtection="1">
      <protection locked="0"/>
    </xf>
    <xf numFmtId="0" fontId="0" fillId="2" borderId="32" xfId="0" applyFill="1" applyBorder="1" applyProtection="1">
      <protection locked="0"/>
    </xf>
    <xf numFmtId="0" fontId="0" fillId="2" borderId="86" xfId="0" applyFill="1" applyBorder="1" applyProtection="1">
      <protection locked="0"/>
    </xf>
    <xf numFmtId="0" fontId="0" fillId="2" borderId="91" xfId="0" applyFill="1" applyBorder="1" applyProtection="1">
      <protection locked="0"/>
    </xf>
    <xf numFmtId="0" fontId="0" fillId="2" borderId="92" xfId="0" applyFill="1" applyBorder="1" applyProtection="1">
      <protection locked="0"/>
    </xf>
    <xf numFmtId="0" fontId="0" fillId="0" borderId="93" xfId="0" applyBorder="1" applyProtection="1"/>
    <xf numFmtId="0" fontId="0" fillId="0" borderId="87" xfId="0" applyBorder="1" applyProtection="1"/>
    <xf numFmtId="0" fontId="9" fillId="0" borderId="22" xfId="0" applyFont="1" applyBorder="1" applyAlignment="1" applyProtection="1">
      <alignment horizontal="center"/>
    </xf>
    <xf numFmtId="0" fontId="9" fillId="0" borderId="43" xfId="0" applyFont="1" applyBorder="1" applyAlignment="1" applyProtection="1">
      <alignment horizontal="center"/>
    </xf>
    <xf numFmtId="0" fontId="6" fillId="0" borderId="94" xfId="0" applyFont="1" applyBorder="1" applyAlignment="1" applyProtection="1">
      <alignment horizontal="right"/>
    </xf>
    <xf numFmtId="0" fontId="6" fillId="0" borderId="95" xfId="0" applyFont="1" applyBorder="1" applyAlignment="1" applyProtection="1">
      <alignment horizontal="right"/>
    </xf>
    <xf numFmtId="0" fontId="6" fillId="0" borderId="74" xfId="0" applyFont="1" applyBorder="1" applyAlignment="1" applyProtection="1">
      <alignment horizontal="right"/>
    </xf>
    <xf numFmtId="0" fontId="0" fillId="2" borderId="96" xfId="0" applyFill="1" applyBorder="1" applyProtection="1">
      <protection locked="0"/>
    </xf>
    <xf numFmtId="0" fontId="0" fillId="2" borderId="97" xfId="0" applyFill="1" applyBorder="1" applyProtection="1">
      <protection locked="0"/>
    </xf>
    <xf numFmtId="0" fontId="0" fillId="2" borderId="83" xfId="0" applyFill="1" applyBorder="1" applyProtection="1">
      <protection locked="0"/>
    </xf>
    <xf numFmtId="0" fontId="0" fillId="2" borderId="84" xfId="0" applyFill="1" applyBorder="1" applyProtection="1">
      <protection locked="0"/>
    </xf>
    <xf numFmtId="0" fontId="0" fillId="2" borderId="87" xfId="0" applyFill="1" applyBorder="1" applyProtection="1">
      <protection locked="0"/>
    </xf>
    <xf numFmtId="164" fontId="0" fillId="0" borderId="83" xfId="0" applyNumberFormat="1" applyFill="1" applyBorder="1" applyAlignment="1" applyProtection="1">
      <alignment horizontal="right"/>
    </xf>
    <xf numFmtId="164" fontId="0" fillId="0" borderId="84" xfId="0" applyNumberFormat="1" applyFill="1" applyBorder="1" applyAlignment="1" applyProtection="1">
      <alignment horizontal="right"/>
    </xf>
    <xf numFmtId="164" fontId="0" fillId="0" borderId="85" xfId="0" applyNumberFormat="1" applyFill="1" applyBorder="1" applyAlignment="1" applyProtection="1">
      <alignment horizontal="right"/>
    </xf>
    <xf numFmtId="0" fontId="6" fillId="0" borderId="54" xfId="0" applyFont="1" applyBorder="1" applyAlignment="1" applyProtection="1">
      <alignment horizontal="right"/>
    </xf>
    <xf numFmtId="0" fontId="6" fillId="0" borderId="2" xfId="0" applyFont="1" applyBorder="1" applyAlignment="1" applyProtection="1">
      <alignment horizontal="right"/>
    </xf>
    <xf numFmtId="0" fontId="6" fillId="0" borderId="16" xfId="0" applyFont="1" applyBorder="1" applyAlignment="1" applyProtection="1">
      <alignment horizontal="right"/>
    </xf>
    <xf numFmtId="0" fontId="0" fillId="0" borderId="88" xfId="0" applyBorder="1" applyAlignment="1" applyProtection="1">
      <alignment horizontal="right"/>
    </xf>
    <xf numFmtId="0" fontId="0" fillId="0" borderId="25" xfId="0" applyBorder="1" applyAlignment="1" applyProtection="1">
      <alignment horizontal="right"/>
    </xf>
    <xf numFmtId="0" fontId="9" fillId="0" borderId="1" xfId="0" applyFont="1" applyBorder="1" applyAlignment="1" applyProtection="1">
      <alignment horizontal="center"/>
    </xf>
    <xf numFmtId="0" fontId="9" fillId="0" borderId="18" xfId="0" applyFont="1" applyBorder="1" applyAlignment="1" applyProtection="1">
      <alignment horizontal="center"/>
    </xf>
    <xf numFmtId="0" fontId="6" fillId="0" borderId="35" xfId="0" applyFont="1" applyBorder="1" applyAlignment="1" applyProtection="1">
      <alignment horizontal="right"/>
    </xf>
    <xf numFmtId="0" fontId="6" fillId="0" borderId="89" xfId="0" applyFont="1" applyBorder="1" applyAlignment="1" applyProtection="1">
      <alignment horizontal="right"/>
    </xf>
    <xf numFmtId="0" fontId="6" fillId="0" borderId="19" xfId="0" applyFont="1" applyBorder="1" applyAlignment="1" applyProtection="1">
      <alignment horizontal="right"/>
    </xf>
    <xf numFmtId="0" fontId="5" fillId="0" borderId="0" xfId="0" applyFont="1" applyFill="1" applyAlignment="1" applyProtection="1">
      <alignment horizontal="center" vertical="center" wrapText="1"/>
    </xf>
    <xf numFmtId="0" fontId="7" fillId="0" borderId="1" xfId="0" applyFont="1" applyBorder="1" applyAlignment="1" applyProtection="1">
      <alignment horizontal="center"/>
    </xf>
    <xf numFmtId="0" fontId="0" fillId="2" borderId="99" xfId="0" applyFill="1" applyBorder="1" applyProtection="1">
      <protection locked="0"/>
    </xf>
    <xf numFmtId="0" fontId="0" fillId="2" borderId="81" xfId="0" applyFill="1" applyBorder="1" applyProtection="1">
      <protection locked="0"/>
    </xf>
    <xf numFmtId="0" fontId="0" fillId="2" borderId="100" xfId="0" applyFill="1" applyBorder="1" applyProtection="1">
      <protection locked="0"/>
    </xf>
    <xf numFmtId="0" fontId="0" fillId="2" borderId="80" xfId="0" applyFill="1" applyBorder="1" applyProtection="1">
      <protection locked="0"/>
    </xf>
    <xf numFmtId="0" fontId="9" fillId="0" borderId="22" xfId="0" applyFont="1" applyFill="1" applyBorder="1" applyAlignment="1" applyProtection="1">
      <alignment horizontal="center"/>
    </xf>
    <xf numFmtId="0" fontId="9" fillId="0" borderId="43" xfId="0" applyFont="1" applyFill="1" applyBorder="1" applyAlignment="1" applyProtection="1">
      <alignment horizontal="center"/>
    </xf>
    <xf numFmtId="0" fontId="9" fillId="0" borderId="24" xfId="0" applyFont="1" applyFill="1" applyBorder="1" applyAlignment="1" applyProtection="1">
      <alignment horizontal="center"/>
    </xf>
    <xf numFmtId="0" fontId="0" fillId="2" borderId="93" xfId="0" applyFill="1" applyBorder="1" applyProtection="1">
      <protection locked="0"/>
    </xf>
    <xf numFmtId="0" fontId="0" fillId="0" borderId="31" xfId="0" applyBorder="1" applyProtection="1"/>
    <xf numFmtId="0" fontId="0" fillId="0" borderId="86" xfId="0" applyBorder="1" applyProtection="1"/>
    <xf numFmtId="0" fontId="15" fillId="0" borderId="20" xfId="0" applyFont="1" applyFill="1" applyBorder="1" applyAlignment="1" applyProtection="1">
      <alignment horizontal="right"/>
    </xf>
    <xf numFmtId="0" fontId="15" fillId="0" borderId="1" xfId="0" applyFont="1" applyFill="1" applyBorder="1" applyAlignment="1" applyProtection="1">
      <alignment horizontal="right"/>
    </xf>
    <xf numFmtId="0" fontId="21" fillId="0" borderId="101" xfId="0" applyFont="1" applyBorder="1" applyAlignment="1" applyProtection="1">
      <alignment horizontal="center"/>
    </xf>
    <xf numFmtId="0" fontId="21" fillId="0" borderId="62" xfId="0" applyFont="1" applyBorder="1" applyAlignment="1" applyProtection="1">
      <alignment horizontal="center"/>
    </xf>
    <xf numFmtId="0" fontId="21" fillId="0" borderId="63" xfId="0" applyFont="1" applyBorder="1" applyAlignment="1" applyProtection="1">
      <alignment horizontal="center"/>
    </xf>
    <xf numFmtId="0" fontId="2" fillId="0" borderId="102" xfId="0" applyFont="1" applyFill="1" applyBorder="1" applyAlignment="1" applyProtection="1">
      <alignment horizontal="right"/>
    </xf>
    <xf numFmtId="0" fontId="2" fillId="0" borderId="57" xfId="0" applyFont="1" applyFill="1" applyBorder="1" applyAlignment="1" applyProtection="1">
      <alignment horizontal="right"/>
    </xf>
    <xf numFmtId="0" fontId="2" fillId="0" borderId="103" xfId="0" applyFont="1" applyFill="1" applyBorder="1" applyAlignment="1" applyProtection="1">
      <alignment horizontal="right"/>
    </xf>
    <xf numFmtId="0" fontId="2" fillId="0" borderId="14" xfId="0" applyFont="1" applyFill="1" applyBorder="1" applyAlignment="1" applyProtection="1">
      <alignment horizontal="right"/>
    </xf>
    <xf numFmtId="0" fontId="2" fillId="0" borderId="104" xfId="0" applyFont="1" applyBorder="1" applyAlignment="1" applyProtection="1">
      <alignment horizontal="right"/>
    </xf>
    <xf numFmtId="0" fontId="2" fillId="0" borderId="13" xfId="0" applyFont="1" applyBorder="1" applyAlignment="1" applyProtection="1">
      <alignment horizontal="right"/>
    </xf>
    <xf numFmtId="0" fontId="2" fillId="0" borderId="105" xfId="0" applyFont="1" applyBorder="1" applyAlignment="1" applyProtection="1">
      <alignment horizontal="right"/>
    </xf>
    <xf numFmtId="0" fontId="2" fillId="0" borderId="101" xfId="0" applyFont="1" applyFill="1" applyBorder="1" applyAlignment="1" applyProtection="1">
      <alignment horizontal="right"/>
    </xf>
    <xf numFmtId="0" fontId="2" fillId="0" borderId="62" xfId="0" applyFont="1" applyFill="1" applyBorder="1" applyAlignment="1" applyProtection="1">
      <alignment horizontal="right"/>
    </xf>
    <xf numFmtId="0" fontId="2" fillId="0" borderId="106" xfId="0" applyFont="1" applyFill="1" applyBorder="1" applyAlignment="1" applyProtection="1">
      <alignment horizontal="right"/>
    </xf>
    <xf numFmtId="0" fontId="6" fillId="0" borderId="24" xfId="0" applyFont="1" applyBorder="1" applyAlignment="1" applyProtection="1">
      <alignment horizontal="right"/>
    </xf>
    <xf numFmtId="0" fontId="1" fillId="0" borderId="20" xfId="0" applyFont="1" applyBorder="1" applyAlignment="1" applyProtection="1">
      <alignment horizontal="right"/>
    </xf>
    <xf numFmtId="0" fontId="1" fillId="0" borderId="1" xfId="0" applyFont="1" applyBorder="1" applyAlignment="1" applyProtection="1">
      <alignment horizontal="right"/>
    </xf>
    <xf numFmtId="0" fontId="0" fillId="0" borderId="3" xfId="0" applyBorder="1" applyAlignment="1" applyProtection="1">
      <alignment horizontal="right"/>
    </xf>
    <xf numFmtId="0" fontId="0" fillId="0" borderId="98" xfId="0" applyBorder="1" applyAlignment="1" applyProtection="1">
      <alignment horizontal="right"/>
    </xf>
    <xf numFmtId="0" fontId="23" fillId="0" borderId="22" xfId="0" applyFont="1" applyBorder="1" applyAlignment="1" applyProtection="1">
      <alignment horizontal="center" vertical="center" wrapText="1"/>
    </xf>
    <xf numFmtId="0" fontId="23" fillId="0" borderId="43" xfId="0" applyFont="1" applyBorder="1" applyAlignment="1" applyProtection="1">
      <alignment horizontal="center" vertical="center" wrapText="1"/>
    </xf>
    <xf numFmtId="0" fontId="23" fillId="0" borderId="24" xfId="0" applyFont="1" applyBorder="1" applyAlignment="1" applyProtection="1">
      <alignment horizontal="center" vertical="center" wrapText="1"/>
    </xf>
    <xf numFmtId="0" fontId="21" fillId="0" borderId="22" xfId="0" applyFont="1" applyFill="1" applyBorder="1" applyAlignment="1" applyProtection="1">
      <alignment horizontal="center"/>
    </xf>
    <xf numFmtId="0" fontId="21" fillId="0" borderId="43" xfId="0" applyFont="1" applyFill="1" applyBorder="1" applyAlignment="1" applyProtection="1">
      <alignment horizontal="center"/>
    </xf>
    <xf numFmtId="0" fontId="21" fillId="0" borderId="24" xfId="0" applyFont="1" applyFill="1" applyBorder="1" applyAlignment="1" applyProtection="1">
      <alignment horizontal="center"/>
    </xf>
    <xf numFmtId="0" fontId="0" fillId="0" borderId="83" xfId="0" applyBorder="1" applyAlignment="1" applyProtection="1">
      <alignment horizontal="right"/>
    </xf>
    <xf numFmtId="0" fontId="0" fillId="0" borderId="84" xfId="0" applyBorder="1" applyAlignment="1" applyProtection="1">
      <alignment horizontal="right"/>
    </xf>
    <xf numFmtId="0" fontId="0" fillId="0" borderId="85" xfId="0" applyBorder="1" applyAlignment="1" applyProtection="1">
      <alignment horizontal="right"/>
    </xf>
    <xf numFmtId="0" fontId="2" fillId="0" borderId="0" xfId="0" applyFont="1" applyBorder="1" applyAlignment="1" applyProtection="1">
      <alignment horizontal="right"/>
    </xf>
    <xf numFmtId="0" fontId="2" fillId="0" borderId="22" xfId="0" applyFont="1" applyFill="1" applyBorder="1" applyAlignment="1" applyProtection="1">
      <alignment horizontal="right"/>
    </xf>
    <xf numFmtId="0" fontId="2" fillId="0" borderId="43" xfId="0" applyFont="1" applyFill="1" applyBorder="1" applyAlignment="1" applyProtection="1">
      <alignment horizontal="right"/>
    </xf>
    <xf numFmtId="0" fontId="2" fillId="0" borderId="24" xfId="0" applyFont="1" applyFill="1" applyBorder="1" applyAlignment="1" applyProtection="1">
      <alignment horizontal="right"/>
    </xf>
    <xf numFmtId="14" fontId="0" fillId="3" borderId="26" xfId="0" applyNumberFormat="1" applyFill="1" applyBorder="1" applyAlignment="1" applyProtection="1">
      <alignment horizontal="center"/>
      <protection locked="0"/>
    </xf>
    <xf numFmtId="14" fontId="0" fillId="3" borderId="27" xfId="0" applyNumberFormat="1" applyFill="1" applyBorder="1" applyAlignment="1" applyProtection="1">
      <alignment horizontal="center"/>
      <protection locked="0"/>
    </xf>
    <xf numFmtId="0" fontId="2" fillId="0" borderId="31" xfId="0" applyFont="1" applyBorder="1" applyAlignment="1" applyProtection="1">
      <alignment horizontal="center"/>
    </xf>
    <xf numFmtId="0" fontId="0" fillId="0" borderId="86" xfId="0" applyBorder="1" applyAlignment="1" applyProtection="1">
      <alignment horizontal="center"/>
    </xf>
    <xf numFmtId="0" fontId="0" fillId="0" borderId="35" xfId="0" applyBorder="1" applyAlignment="1" applyProtection="1">
      <alignment horizontal="right"/>
    </xf>
    <xf numFmtId="0" fontId="0" fillId="0" borderId="89" xfId="0" applyBorder="1" applyAlignment="1" applyProtection="1">
      <alignment horizontal="right"/>
    </xf>
    <xf numFmtId="0" fontId="16" fillId="0" borderId="0" xfId="0" applyFont="1" applyBorder="1" applyAlignment="1" applyProtection="1">
      <alignment horizontal="center" wrapText="1"/>
    </xf>
    <xf numFmtId="2" fontId="12" fillId="0" borderId="2" xfId="0" applyNumberFormat="1" applyFont="1" applyBorder="1" applyProtection="1"/>
    <xf numFmtId="2" fontId="12" fillId="0" borderId="109" xfId="0" applyNumberFormat="1" applyFont="1" applyBorder="1" applyProtection="1"/>
    <xf numFmtId="0" fontId="0" fillId="5" borderId="34" xfId="0" applyFill="1" applyBorder="1" applyAlignment="1" applyProtection="1">
      <alignment horizontal="right"/>
    </xf>
    <xf numFmtId="0" fontId="0" fillId="5" borderId="110" xfId="0" applyFill="1" applyBorder="1" applyAlignment="1" applyProtection="1">
      <alignment horizontal="right"/>
    </xf>
    <xf numFmtId="0" fontId="0" fillId="5" borderId="31" xfId="0" applyFill="1" applyBorder="1" applyAlignment="1" applyProtection="1">
      <alignment horizontal="right"/>
    </xf>
    <xf numFmtId="0" fontId="0" fillId="5" borderId="86" xfId="0" applyFill="1" applyBorder="1" applyAlignment="1" applyProtection="1">
      <alignment horizontal="right"/>
    </xf>
    <xf numFmtId="0" fontId="0" fillId="5" borderId="93" xfId="0" applyFill="1" applyBorder="1" applyAlignment="1" applyProtection="1">
      <alignment horizontal="right"/>
    </xf>
    <xf numFmtId="0" fontId="0" fillId="5" borderId="87" xfId="0" applyFill="1" applyBorder="1" applyAlignment="1" applyProtection="1">
      <alignment horizontal="right"/>
    </xf>
    <xf numFmtId="0" fontId="0" fillId="3" borderId="107" xfId="0" applyFill="1" applyBorder="1" applyAlignment="1" applyProtection="1">
      <alignment horizontal="right"/>
      <protection locked="0"/>
    </xf>
    <xf numFmtId="0" fontId="0" fillId="3" borderId="108" xfId="0" applyFill="1" applyBorder="1" applyAlignment="1" applyProtection="1">
      <alignment horizontal="right"/>
      <protection locked="0"/>
    </xf>
    <xf numFmtId="0" fontId="0" fillId="0" borderId="20" xfId="0" applyFill="1" applyBorder="1" applyAlignment="1" applyProtection="1">
      <alignment horizontal="right" vertical="top"/>
    </xf>
    <xf numFmtId="0" fontId="0" fillId="0" borderId="3" xfId="0" applyFill="1" applyBorder="1" applyAlignment="1" applyProtection="1">
      <alignment horizontal="right" vertical="top"/>
    </xf>
    <xf numFmtId="0" fontId="0" fillId="0" borderId="54" xfId="0" applyFill="1" applyBorder="1" applyAlignment="1" applyProtection="1">
      <alignment horizontal="right" vertical="top"/>
    </xf>
    <xf numFmtId="0" fontId="0" fillId="3" borderId="55" xfId="0" applyFill="1" applyBorder="1" applyAlignment="1" applyProtection="1">
      <alignment horizontal="right"/>
      <protection locked="0"/>
    </xf>
    <xf numFmtId="0" fontId="0" fillId="3" borderId="26" xfId="0" applyFill="1" applyBorder="1" applyAlignment="1" applyProtection="1">
      <alignment horizontal="right"/>
      <protection locked="0"/>
    </xf>
    <xf numFmtId="0" fontId="0" fillId="3" borderId="27" xfId="0" applyFill="1" applyBorder="1" applyAlignment="1" applyProtection="1">
      <alignment horizontal="right"/>
      <protection locked="0"/>
    </xf>
    <xf numFmtId="0" fontId="0" fillId="0" borderId="3" xfId="0" applyBorder="1" applyProtection="1"/>
    <xf numFmtId="0" fontId="0" fillId="0" borderId="0" xfId="0" applyBorder="1" applyProtection="1"/>
    <xf numFmtId="0" fontId="0" fillId="0" borderId="21" xfId="0" applyBorder="1" applyProtection="1"/>
    <xf numFmtId="0" fontId="0" fillId="0" borderId="2" xfId="0" applyBorder="1" applyProtection="1"/>
    <xf numFmtId="0" fontId="0" fillId="0" borderId="109" xfId="0" applyBorder="1" applyProtection="1"/>
    <xf numFmtId="0" fontId="9" fillId="0" borderId="24" xfId="0" applyFont="1" applyBorder="1" applyAlignment="1" applyProtection="1">
      <alignment horizontal="center"/>
    </xf>
    <xf numFmtId="0" fontId="1" fillId="0" borderId="20" xfId="0" applyFont="1" applyBorder="1" applyAlignment="1" applyProtection="1">
      <alignment horizontal="right" vertical="center" wrapText="1"/>
    </xf>
    <xf numFmtId="0" fontId="1" fillId="0" borderId="1" xfId="0" applyFont="1" applyBorder="1" applyAlignment="1" applyProtection="1">
      <alignment horizontal="right" vertical="center" wrapText="1"/>
    </xf>
    <xf numFmtId="0" fontId="1" fillId="0" borderId="3" xfId="0" applyFont="1" applyBorder="1" applyAlignment="1" applyProtection="1">
      <alignment horizontal="right" vertical="center" wrapText="1"/>
    </xf>
    <xf numFmtId="0" fontId="1" fillId="0" borderId="0" xfId="0" applyFont="1" applyBorder="1" applyAlignment="1" applyProtection="1">
      <alignment horizontal="right" vertical="center" wrapText="1"/>
    </xf>
    <xf numFmtId="0" fontId="1" fillId="0" borderId="54" xfId="0" applyFont="1" applyBorder="1" applyAlignment="1" applyProtection="1">
      <alignment horizontal="right" vertical="center" wrapText="1"/>
    </xf>
    <xf numFmtId="0" fontId="1" fillId="0" borderId="2" xfId="0" applyFont="1" applyBorder="1" applyAlignment="1" applyProtection="1">
      <alignment horizontal="right" vertical="center" wrapText="1"/>
    </xf>
    <xf numFmtId="0" fontId="2" fillId="0" borderId="20"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54" xfId="0" applyFont="1" applyBorder="1" applyAlignment="1" applyProtection="1">
      <alignment horizontal="center" wrapText="1"/>
    </xf>
    <xf numFmtId="0" fontId="2" fillId="0" borderId="2" xfId="0" applyFont="1" applyBorder="1" applyAlignment="1" applyProtection="1">
      <alignment horizontal="center" wrapText="1"/>
    </xf>
    <xf numFmtId="0" fontId="1" fillId="0" borderId="61" xfId="0" applyFont="1" applyBorder="1" applyAlignment="1" applyProtection="1">
      <alignment horizontal="center" vertical="center"/>
    </xf>
    <xf numFmtId="0" fontId="1" fillId="0" borderId="33" xfId="0" applyFont="1" applyBorder="1" applyAlignment="1" applyProtection="1">
      <alignment horizontal="center" vertical="center"/>
    </xf>
    <xf numFmtId="0" fontId="2" fillId="0" borderId="2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35" xfId="0" applyFont="1" applyBorder="1" applyAlignment="1" applyProtection="1">
      <alignment horizontal="right"/>
    </xf>
    <xf numFmtId="0" fontId="2" fillId="0" borderId="89" xfId="0" applyFont="1" applyBorder="1" applyAlignment="1" applyProtection="1">
      <alignment horizontal="right"/>
    </xf>
    <xf numFmtId="0" fontId="2" fillId="0" borderId="22" xfId="0" applyFont="1" applyBorder="1" applyAlignment="1">
      <alignment horizontal="center"/>
    </xf>
    <xf numFmtId="0" fontId="2" fillId="0" borderId="43" xfId="0" applyFont="1" applyBorder="1" applyAlignment="1">
      <alignment horizontal="center"/>
    </xf>
    <xf numFmtId="0" fontId="2" fillId="0" borderId="24" xfId="0" applyFont="1" applyBorder="1" applyAlignment="1">
      <alignment horizontal="center"/>
    </xf>
    <xf numFmtId="0" fontId="0" fillId="0" borderId="34" xfId="0" applyBorder="1" applyAlignment="1" applyProtection="1">
      <alignment horizontal="right"/>
    </xf>
    <xf numFmtId="0" fontId="0" fillId="0" borderId="111" xfId="0" applyBorder="1" applyAlignment="1" applyProtection="1">
      <alignment horizontal="right"/>
    </xf>
    <xf numFmtId="0" fontId="0" fillId="0" borderId="88" xfId="0" applyFill="1" applyBorder="1" applyAlignment="1" applyProtection="1">
      <alignment horizontal="right"/>
    </xf>
    <xf numFmtId="0" fontId="0" fillId="0" borderId="90" xfId="0" applyFill="1" applyBorder="1" applyAlignment="1" applyProtection="1">
      <alignment horizontal="right"/>
    </xf>
    <xf numFmtId="0" fontId="0" fillId="0" borderId="112" xfId="0" applyBorder="1" applyAlignment="1" applyProtection="1">
      <alignment horizontal="right"/>
    </xf>
    <xf numFmtId="0" fontId="6" fillId="0" borderId="52" xfId="0" applyFont="1" applyFill="1" applyBorder="1" applyAlignment="1" applyProtection="1">
      <alignment horizontal="right"/>
    </xf>
    <xf numFmtId="0" fontId="6" fillId="0" borderId="113" xfId="0" applyFont="1" applyFill="1" applyBorder="1" applyAlignment="1" applyProtection="1">
      <alignment horizontal="right"/>
    </xf>
    <xf numFmtId="0" fontId="2" fillId="0" borderId="0" xfId="0" applyFont="1" applyFill="1" applyBorder="1" applyAlignment="1" applyProtection="1">
      <alignment horizontal="right"/>
    </xf>
    <xf numFmtId="0" fontId="0" fillId="0" borderId="31" xfId="0" applyBorder="1" applyAlignment="1" applyProtection="1">
      <alignment horizontal="right"/>
    </xf>
    <xf numFmtId="0" fontId="0" fillId="0" borderId="32" xfId="0" applyBorder="1" applyAlignment="1" applyProtection="1">
      <alignment horizontal="right"/>
    </xf>
    <xf numFmtId="0" fontId="0" fillId="0" borderId="86" xfId="0" applyBorder="1" applyAlignment="1" applyProtection="1">
      <alignment horizontal="right"/>
    </xf>
    <xf numFmtId="0" fontId="5" fillId="0" borderId="0" xfId="0" applyFont="1" applyFill="1" applyAlignment="1">
      <alignment horizontal="center" vertical="center" wrapText="1"/>
    </xf>
    <xf numFmtId="0" fontId="8" fillId="0" borderId="0" xfId="0" applyFont="1" applyAlignment="1" applyProtection="1">
      <alignment horizontal="center"/>
    </xf>
    <xf numFmtId="164" fontId="7" fillId="0" borderId="56" xfId="0" applyNumberFormat="1" applyFont="1" applyBorder="1" applyAlignment="1" applyProtection="1">
      <alignment horizontal="center"/>
    </xf>
    <xf numFmtId="164" fontId="7" fillId="0" borderId="32" xfId="0" applyNumberFormat="1" applyFont="1" applyBorder="1" applyAlignment="1" applyProtection="1">
      <alignment horizontal="center"/>
    </xf>
    <xf numFmtId="164" fontId="7" fillId="0" borderId="114" xfId="0" applyNumberFormat="1" applyFont="1" applyBorder="1" applyAlignment="1" applyProtection="1">
      <alignment horizontal="center"/>
    </xf>
    <xf numFmtId="164" fontId="7" fillId="2" borderId="115" xfId="0" applyNumberFormat="1" applyFont="1" applyFill="1" applyBorder="1" applyAlignment="1" applyProtection="1">
      <alignment horizontal="center"/>
      <protection locked="0"/>
    </xf>
    <xf numFmtId="164" fontId="7" fillId="2" borderId="116" xfId="0" applyNumberFormat="1" applyFont="1" applyFill="1" applyBorder="1" applyAlignment="1" applyProtection="1">
      <alignment horizontal="center"/>
      <protection locked="0"/>
    </xf>
    <xf numFmtId="0" fontId="6" fillId="0" borderId="22"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24" xfId="0" applyFont="1" applyBorder="1" applyAlignment="1" applyProtection="1">
      <alignment horizontal="center" vertical="center"/>
    </xf>
    <xf numFmtId="0" fontId="7" fillId="0" borderId="112" xfId="0" applyFont="1" applyBorder="1" applyAlignment="1" applyProtection="1">
      <alignment horizontal="center"/>
    </xf>
    <xf numFmtId="0" fontId="7" fillId="0" borderId="111" xfId="0" applyFont="1" applyBorder="1" applyAlignment="1" applyProtection="1">
      <alignment horizontal="center"/>
    </xf>
    <xf numFmtId="0" fontId="7" fillId="0" borderId="49" xfId="0" applyFont="1" applyBorder="1" applyAlignment="1" applyProtection="1">
      <alignment horizontal="center"/>
    </xf>
    <xf numFmtId="0" fontId="7" fillId="0" borderId="41" xfId="0" applyFont="1" applyBorder="1" applyAlignment="1" applyProtection="1">
      <alignment horizontal="center"/>
    </xf>
    <xf numFmtId="0" fontId="7" fillId="0" borderId="61" xfId="0" applyFont="1" applyBorder="1" applyAlignment="1" applyProtection="1">
      <alignment horizontal="center"/>
    </xf>
    <xf numFmtId="164" fontId="7" fillId="2" borderId="117" xfId="0" applyNumberFormat="1" applyFont="1" applyFill="1" applyBorder="1" applyAlignment="1" applyProtection="1">
      <alignment horizontal="center"/>
      <protection locked="0"/>
    </xf>
    <xf numFmtId="164" fontId="7" fillId="2" borderId="118" xfId="0" applyNumberFormat="1" applyFont="1" applyFill="1" applyBorder="1" applyAlignment="1" applyProtection="1">
      <alignment horizontal="center"/>
      <protection locked="0"/>
    </xf>
    <xf numFmtId="2" fontId="7" fillId="0" borderId="56" xfId="0" applyNumberFormat="1" applyFont="1" applyFill="1" applyBorder="1" applyProtection="1"/>
    <xf numFmtId="2" fontId="7" fillId="0" borderId="32" xfId="0" applyNumberFormat="1" applyFont="1" applyFill="1" applyBorder="1" applyProtection="1"/>
    <xf numFmtId="2" fontId="8" fillId="0" borderId="120" xfId="0" applyNumberFormat="1" applyFont="1" applyFill="1" applyBorder="1" applyProtection="1"/>
    <xf numFmtId="2" fontId="8" fillId="0" borderId="41" xfId="0" applyNumberFormat="1" applyFont="1" applyFill="1" applyBorder="1" applyProtection="1"/>
    <xf numFmtId="0" fontId="8" fillId="0" borderId="101" xfId="0" applyFont="1" applyFill="1" applyBorder="1" applyAlignment="1" applyProtection="1">
      <alignment horizontal="right"/>
    </xf>
    <xf numFmtId="0" fontId="8" fillId="0" borderId="62" xfId="0" applyFont="1" applyFill="1" applyBorder="1" applyAlignment="1" applyProtection="1">
      <alignment horizontal="right"/>
    </xf>
    <xf numFmtId="164" fontId="7" fillId="0" borderId="57" xfId="0" applyNumberFormat="1" applyFont="1" applyFill="1" applyBorder="1" applyAlignment="1" applyProtection="1">
      <alignment horizontal="center"/>
    </xf>
    <xf numFmtId="0" fontId="8" fillId="0" borderId="22" xfId="0" applyFont="1" applyFill="1" applyBorder="1" applyAlignment="1" applyProtection="1">
      <alignment horizontal="center"/>
    </xf>
    <xf numFmtId="0" fontId="8" fillId="0" borderId="43" xfId="0" applyFont="1" applyFill="1" applyBorder="1" applyAlignment="1" applyProtection="1">
      <alignment horizontal="center"/>
    </xf>
    <xf numFmtId="0" fontId="8" fillId="0" borderId="24" xfId="0" applyFont="1" applyFill="1" applyBorder="1" applyAlignment="1" applyProtection="1">
      <alignment horizontal="center"/>
    </xf>
    <xf numFmtId="164" fontId="8" fillId="0" borderId="106" xfId="0" applyNumberFormat="1" applyFont="1" applyBorder="1" applyAlignment="1" applyProtection="1">
      <alignment horizontal="center"/>
    </xf>
    <xf numFmtId="164" fontId="8" fillId="0" borderId="43" xfId="0" applyNumberFormat="1" applyFont="1" applyBorder="1" applyAlignment="1" applyProtection="1">
      <alignment horizontal="center"/>
    </xf>
    <xf numFmtId="164" fontId="8" fillId="0" borderId="42" xfId="0" applyNumberFormat="1" applyFont="1" applyBorder="1" applyAlignment="1" applyProtection="1">
      <alignment horizontal="center"/>
    </xf>
    <xf numFmtId="164" fontId="8" fillId="0" borderId="42" xfId="0" applyNumberFormat="1" applyFont="1" applyFill="1" applyBorder="1" applyAlignment="1" applyProtection="1">
      <alignment horizontal="center"/>
    </xf>
    <xf numFmtId="164" fontId="8" fillId="0" borderId="63" xfId="0" applyNumberFormat="1" applyFont="1" applyFill="1" applyBorder="1" applyAlignment="1" applyProtection="1">
      <alignment horizontal="center"/>
    </xf>
    <xf numFmtId="0" fontId="0" fillId="0" borderId="1" xfId="0" applyBorder="1" applyAlignment="1" applyProtection="1">
      <alignment horizontal="center" wrapText="1"/>
    </xf>
    <xf numFmtId="49" fontId="6" fillId="2" borderId="59" xfId="0" applyNumberFormat="1" applyFont="1" applyFill="1" applyBorder="1" applyAlignment="1" applyProtection="1">
      <alignment horizontal="center"/>
      <protection locked="0"/>
    </xf>
    <xf numFmtId="49" fontId="6" fillId="2" borderId="76" xfId="0" applyNumberFormat="1" applyFont="1" applyFill="1" applyBorder="1" applyAlignment="1" applyProtection="1">
      <alignment horizontal="center"/>
      <protection locked="0"/>
    </xf>
    <xf numFmtId="49" fontId="6" fillId="2" borderId="77" xfId="0" applyNumberFormat="1" applyFont="1" applyFill="1" applyBorder="1" applyAlignment="1" applyProtection="1">
      <alignment horizontal="center"/>
      <protection locked="0"/>
    </xf>
    <xf numFmtId="49" fontId="6" fillId="2" borderId="119" xfId="0" applyNumberFormat="1" applyFont="1" applyFill="1" applyBorder="1" applyAlignment="1" applyProtection="1">
      <alignment horizontal="center"/>
      <protection locked="0"/>
    </xf>
    <xf numFmtId="49" fontId="6" fillId="2" borderId="2" xfId="0" applyNumberFormat="1" applyFont="1" applyFill="1" applyBorder="1" applyAlignment="1" applyProtection="1">
      <alignment horizontal="center"/>
      <protection locked="0"/>
    </xf>
    <xf numFmtId="49" fontId="6" fillId="2" borderId="30" xfId="0" applyNumberFormat="1" applyFont="1" applyFill="1" applyBorder="1" applyAlignment="1" applyProtection="1">
      <alignment horizontal="center"/>
      <protection locked="0"/>
    </xf>
    <xf numFmtId="0" fontId="0" fillId="0" borderId="0" xfId="0" applyAlignment="1" applyProtection="1">
      <alignment horizontal="center"/>
    </xf>
    <xf numFmtId="0" fontId="0" fillId="0" borderId="2" xfId="0" applyBorder="1" applyAlignment="1" applyProtection="1">
      <alignment horizontal="center"/>
    </xf>
    <xf numFmtId="0" fontId="6" fillId="0" borderId="121" xfId="0" applyFont="1" applyFill="1" applyBorder="1" applyAlignment="1" applyProtection="1">
      <alignment horizontal="right" wrapText="1"/>
    </xf>
    <xf numFmtId="0" fontId="6" fillId="0" borderId="50" xfId="0" applyFont="1" applyFill="1" applyBorder="1" applyAlignment="1" applyProtection="1">
      <alignment horizontal="right" wrapText="1"/>
    </xf>
    <xf numFmtId="164" fontId="6" fillId="0" borderId="50" xfId="0" applyNumberFormat="1" applyFont="1" applyFill="1" applyBorder="1" applyAlignment="1" applyProtection="1">
      <alignment horizontal="center"/>
    </xf>
    <xf numFmtId="164" fontId="6" fillId="0" borderId="51" xfId="0" applyNumberFormat="1" applyFont="1" applyFill="1" applyBorder="1" applyAlignment="1" applyProtection="1">
      <alignment horizontal="center"/>
    </xf>
    <xf numFmtId="14" fontId="8" fillId="2" borderId="55" xfId="0" applyNumberFormat="1" applyFont="1" applyFill="1" applyBorder="1" applyAlignment="1" applyProtection="1">
      <alignment horizontal="center"/>
      <protection locked="0"/>
    </xf>
    <xf numFmtId="14" fontId="8" fillId="2" borderId="27" xfId="0" applyNumberFormat="1" applyFont="1" applyFill="1" applyBorder="1" applyAlignment="1" applyProtection="1">
      <alignment horizontal="center"/>
      <protection locked="0"/>
    </xf>
    <xf numFmtId="164" fontId="7" fillId="0" borderId="1" xfId="0" applyNumberFormat="1" applyFont="1" applyBorder="1" applyAlignment="1" applyProtection="1">
      <alignment horizontal="center"/>
    </xf>
    <xf numFmtId="164" fontId="7" fillId="0" borderId="18" xfId="0" applyNumberFormat="1" applyFont="1" applyBorder="1" applyAlignment="1" applyProtection="1">
      <alignment horizontal="center"/>
    </xf>
    <xf numFmtId="0" fontId="7" fillId="0" borderId="54" xfId="0" applyFont="1" applyBorder="1" applyAlignment="1" applyProtection="1">
      <alignment horizontal="right" vertical="center"/>
    </xf>
    <xf numFmtId="0" fontId="7" fillId="0" borderId="2" xfId="0" applyFont="1" applyBorder="1" applyAlignment="1" applyProtection="1">
      <alignment horizontal="right" vertical="center"/>
    </xf>
    <xf numFmtId="0" fontId="7" fillId="0" borderId="20" xfId="0" applyFont="1" applyBorder="1" applyAlignment="1" applyProtection="1">
      <alignment horizontal="right" vertical="center"/>
    </xf>
    <xf numFmtId="0" fontId="7" fillId="0" borderId="1" xfId="0" applyFont="1" applyBorder="1" applyAlignment="1" applyProtection="1">
      <alignment horizontal="right" vertical="center"/>
    </xf>
    <xf numFmtId="0" fontId="7" fillId="0" borderId="0" xfId="0" applyFont="1" applyBorder="1" applyAlignment="1" applyProtection="1">
      <alignment horizontal="center"/>
    </xf>
    <xf numFmtId="164" fontId="7" fillId="0" borderId="2" xfId="0" applyNumberFormat="1" applyFont="1" applyBorder="1" applyAlignment="1" applyProtection="1">
      <alignment horizontal="center"/>
    </xf>
    <xf numFmtId="164" fontId="7" fillId="0" borderId="16" xfId="0" applyNumberFormat="1" applyFont="1" applyBorder="1" applyAlignment="1" applyProtection="1">
      <alignment horizontal="center"/>
    </xf>
    <xf numFmtId="49" fontId="0" fillId="2" borderId="59" xfId="0" applyNumberFormat="1" applyFill="1" applyBorder="1" applyAlignment="1" applyProtection="1">
      <alignment horizontal="center"/>
      <protection locked="0"/>
    </xf>
    <xf numFmtId="49" fontId="0" fillId="2" borderId="77" xfId="0" applyNumberFormat="1" applyFill="1" applyBorder="1" applyAlignment="1" applyProtection="1">
      <alignment horizontal="center"/>
      <protection locked="0"/>
    </xf>
    <xf numFmtId="49" fontId="0" fillId="2" borderId="119" xfId="0" applyNumberFormat="1" applyFill="1" applyBorder="1" applyAlignment="1" applyProtection="1">
      <alignment horizontal="center"/>
      <protection locked="0"/>
    </xf>
    <xf numFmtId="49" fontId="0" fillId="2" borderId="30" xfId="0" applyNumberFormat="1" applyFill="1" applyBorder="1" applyAlignment="1" applyProtection="1">
      <alignment horizontal="center"/>
      <protection locked="0"/>
    </xf>
    <xf numFmtId="0" fontId="6" fillId="0" borderId="122" xfId="0" applyFont="1" applyFill="1" applyBorder="1" applyAlignment="1" applyProtection="1">
      <alignment horizontal="right" wrapText="1"/>
    </xf>
    <xf numFmtId="0" fontId="6" fillId="0" borderId="52" xfId="0" applyFont="1" applyFill="1" applyBorder="1" applyAlignment="1" applyProtection="1">
      <alignment horizontal="right" wrapText="1"/>
    </xf>
    <xf numFmtId="10" fontId="6" fillId="0" borderId="52" xfId="1" applyNumberFormat="1" applyFont="1" applyFill="1" applyBorder="1" applyAlignment="1" applyProtection="1">
      <alignment horizontal="center"/>
    </xf>
    <xf numFmtId="10" fontId="6" fillId="0" borderId="53" xfId="1" applyNumberFormat="1" applyFont="1" applyFill="1" applyBorder="1" applyAlignment="1" applyProtection="1">
      <alignment horizontal="center"/>
    </xf>
    <xf numFmtId="0" fontId="16" fillId="0" borderId="1" xfId="0" applyFont="1" applyBorder="1" applyAlignment="1" applyProtection="1">
      <alignment horizontal="center" wrapText="1"/>
    </xf>
    <xf numFmtId="0" fontId="0" fillId="0" borderId="22" xfId="0" applyBorder="1" applyAlignment="1" applyProtection="1">
      <alignment horizontal="center" wrapText="1"/>
    </xf>
    <xf numFmtId="0" fontId="0" fillId="0" borderId="43" xfId="0" applyBorder="1" applyAlignment="1" applyProtection="1">
      <alignment horizontal="center" wrapText="1"/>
    </xf>
    <xf numFmtId="0" fontId="0" fillId="0" borderId="24" xfId="0" applyBorder="1" applyAlignment="1" applyProtection="1">
      <alignment horizontal="center" wrapText="1"/>
    </xf>
    <xf numFmtId="0" fontId="0" fillId="0" borderId="0" xfId="0" applyBorder="1" applyAlignment="1" applyProtection="1">
      <alignment horizontal="center"/>
    </xf>
    <xf numFmtId="0" fontId="0" fillId="0" borderId="1" xfId="0" applyBorder="1" applyAlignment="1" applyProtection="1">
      <alignment horizontal="center"/>
    </xf>
    <xf numFmtId="0" fontId="6" fillId="0" borderId="0" xfId="0" applyFont="1" applyFill="1" applyAlignment="1">
      <alignment horizontal="center"/>
    </xf>
    <xf numFmtId="0" fontId="10" fillId="0" borderId="0" xfId="0" applyFont="1" applyFill="1" applyAlignment="1">
      <alignment horizontal="center"/>
    </xf>
    <xf numFmtId="0" fontId="1" fillId="0" borderId="0" xfId="0" applyFont="1" applyFill="1" applyBorder="1"/>
    <xf numFmtId="0" fontId="20" fillId="0" borderId="0" xfId="0" applyFont="1" applyFill="1" applyBorder="1"/>
    <xf numFmtId="0" fontId="1" fillId="0" borderId="0" xfId="0" applyFont="1" applyFill="1" applyBorder="1" applyAlignment="1">
      <alignment horizontal="left" vertical="center" wrapText="1"/>
    </xf>
    <xf numFmtId="0" fontId="1" fillId="0" borderId="0" xfId="0" applyFont="1" applyFill="1" applyBorder="1" applyAlignment="1">
      <alignment horizontal="left"/>
    </xf>
    <xf numFmtId="0" fontId="20" fillId="0" borderId="0" xfId="0" applyFont="1" applyFill="1" applyBorder="1" applyAlignment="1">
      <alignment horizontal="left" vertical="center" wrapText="1"/>
    </xf>
    <xf numFmtId="0" fontId="19" fillId="0" borderId="0" xfId="0" applyFont="1" applyFill="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webb\Local%20Settings\Temporary%20Internet%20Files\OLKEB\Copy%20of%202006-08-08%20Form%201546%20-%20PAS%20Budget%20Work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jones\AppData\Local\Microsoft\Windows\Temporary%20Internet%20Files\Content.Outlook\M5J8S9JI\Sept%2009%20Updated%20Versions\CBA%209-1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jones\AppData\Local\Microsoft\Windows\Temporary%20Internet%20Files\Content.Outlook\M5J8S9JI\CDS%20Budget%20by%20Program%20CBA%20(Sep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lient Information"/>
      <sheetName val="Admin &amp; Compensation"/>
      <sheetName val="Category Allocations"/>
      <sheetName val="Hourly Wages"/>
      <sheetName val="Definitions"/>
    </sheetNames>
    <sheetDataSet>
      <sheetData sheetId="0" refreshError="1"/>
      <sheetData sheetId="1" refreshError="1"/>
      <sheetData sheetId="2">
        <row r="38">
          <cell r="F38">
            <v>3705.2000000000012</v>
          </cell>
        </row>
      </sheetData>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onsumer Information &amp; Approval"/>
      <sheetName val="Notes"/>
      <sheetName val="Authorized Units &amp; Budget"/>
      <sheetName val="ESS, OHR, &amp; Non-Taxable"/>
      <sheetName val="Taxable Wage &amp; Compensation"/>
      <sheetName val="Quarterly Report"/>
      <sheetName val="Definitions"/>
    </sheetNames>
    <sheetDataSet>
      <sheetData sheetId="0" refreshError="1"/>
      <sheetData sheetId="1" refreshError="1"/>
      <sheetData sheetId="2" refreshError="1"/>
      <sheetData sheetId="3">
        <row r="57">
          <cell r="D57">
            <v>0</v>
          </cell>
        </row>
        <row r="62">
          <cell r="D62">
            <v>0</v>
          </cell>
        </row>
        <row r="67">
          <cell r="D67">
            <v>0</v>
          </cell>
        </row>
        <row r="72">
          <cell r="D72">
            <v>0</v>
          </cell>
        </row>
        <row r="77">
          <cell r="D77">
            <v>0</v>
          </cell>
        </row>
        <row r="82">
          <cell r="D82">
            <v>0</v>
          </cell>
        </row>
        <row r="87">
          <cell r="D87">
            <v>0</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onsumer Information &amp; Approval"/>
      <sheetName val="Notes"/>
      <sheetName val="Authorized Units &amp; Budget"/>
      <sheetName val="ESS, OHR, &amp; Non-Taxable"/>
      <sheetName val="Taxable Wage &amp; Compensation"/>
      <sheetName val="Quarterly Report"/>
      <sheetName val="Definitions"/>
    </sheetNames>
    <sheetDataSet>
      <sheetData sheetId="0"/>
      <sheetData sheetId="1"/>
      <sheetData sheetId="2"/>
      <sheetData sheetId="3">
        <row r="18">
          <cell r="D18">
            <v>0</v>
          </cell>
        </row>
        <row r="45">
          <cell r="J45">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zoomScale="75" zoomScaleNormal="75" workbookViewId="0">
      <selection activeCell="I12" sqref="I12"/>
    </sheetView>
  </sheetViews>
  <sheetFormatPr defaultRowHeight="12.75" x14ac:dyDescent="0.2"/>
  <cols>
    <col min="1" max="1" width="8.85546875" customWidth="1"/>
    <col min="2" max="3" width="3.140625" customWidth="1"/>
    <col min="4" max="4" width="77.28515625" customWidth="1"/>
    <col min="5" max="5" width="9.42578125" customWidth="1"/>
  </cols>
  <sheetData>
    <row r="2" spans="2:7" ht="18" x14ac:dyDescent="0.25">
      <c r="B2" s="267"/>
      <c r="C2" s="267"/>
      <c r="D2" s="267"/>
      <c r="E2" s="55"/>
    </row>
    <row r="3" spans="2:7" ht="39.75" customHeight="1" x14ac:dyDescent="0.2">
      <c r="B3" s="268" t="s">
        <v>225</v>
      </c>
      <c r="C3" s="268"/>
      <c r="D3" s="268"/>
      <c r="E3" s="99"/>
      <c r="F3" s="99"/>
      <c r="G3" s="99"/>
    </row>
    <row r="4" spans="2:7" ht="15.75" x14ac:dyDescent="0.25">
      <c r="B4" s="269" t="s">
        <v>12</v>
      </c>
      <c r="C4" s="269"/>
      <c r="D4" s="269"/>
      <c r="E4" s="37"/>
    </row>
    <row r="5" spans="2:7" ht="15.75" x14ac:dyDescent="0.25">
      <c r="B5" s="37"/>
      <c r="C5" s="37"/>
      <c r="D5" s="37"/>
    </row>
    <row r="6" spans="2:7" ht="15.75" x14ac:dyDescent="0.25">
      <c r="B6" s="272" t="s">
        <v>60</v>
      </c>
      <c r="C6" s="272"/>
      <c r="D6" s="272"/>
    </row>
    <row r="7" spans="2:7" ht="13.5" thickBot="1" x14ac:dyDescent="0.25"/>
    <row r="8" spans="2:7" s="41" customFormat="1" ht="50.25" customHeight="1" thickBot="1" x14ac:dyDescent="0.25">
      <c r="B8" s="42" t="s">
        <v>8</v>
      </c>
      <c r="C8" s="273" t="s">
        <v>14</v>
      </c>
      <c r="D8" s="274"/>
    </row>
    <row r="9" spans="2:7" ht="36" customHeight="1" thickBot="1" x14ac:dyDescent="0.25">
      <c r="B9" s="38" t="s">
        <v>8</v>
      </c>
      <c r="C9" s="270" t="s">
        <v>33</v>
      </c>
      <c r="D9" s="271"/>
    </row>
    <row r="10" spans="2:7" ht="48" customHeight="1" thickBot="1" x14ac:dyDescent="0.25">
      <c r="B10" s="39" t="s">
        <v>8</v>
      </c>
      <c r="C10" s="270" t="s">
        <v>61</v>
      </c>
      <c r="D10" s="271"/>
    </row>
    <row r="11" spans="2:7" ht="48" customHeight="1" thickBot="1" x14ac:dyDescent="0.25">
      <c r="B11" s="38" t="s">
        <v>8</v>
      </c>
      <c r="C11" s="270" t="s">
        <v>36</v>
      </c>
      <c r="D11" s="271"/>
    </row>
    <row r="12" spans="2:7" ht="32.25" customHeight="1" thickBot="1" x14ac:dyDescent="0.25">
      <c r="B12" s="38" t="s">
        <v>8</v>
      </c>
      <c r="C12" s="270" t="s">
        <v>13</v>
      </c>
      <c r="D12" s="271"/>
    </row>
    <row r="13" spans="2:7" s="131" customFormat="1" ht="30" customHeight="1" x14ac:dyDescent="0.2">
      <c r="B13" s="130" t="s">
        <v>8</v>
      </c>
      <c r="C13" s="275" t="s">
        <v>126</v>
      </c>
      <c r="D13" s="276"/>
    </row>
    <row r="14" spans="2:7" s="131" customFormat="1" x14ac:dyDescent="0.2">
      <c r="B14" s="132"/>
      <c r="C14" s="133"/>
      <c r="D14" s="134" t="s">
        <v>22</v>
      </c>
    </row>
    <row r="15" spans="2:7" s="131" customFormat="1" x14ac:dyDescent="0.2">
      <c r="B15" s="132"/>
      <c r="C15" s="133"/>
      <c r="D15" s="134" t="s">
        <v>29</v>
      </c>
    </row>
    <row r="16" spans="2:7" s="131" customFormat="1" x14ac:dyDescent="0.2">
      <c r="B16" s="132"/>
      <c r="C16" s="133"/>
      <c r="D16" s="134" t="s">
        <v>188</v>
      </c>
    </row>
    <row r="17" spans="2:4" s="131" customFormat="1" x14ac:dyDescent="0.2">
      <c r="B17" s="132"/>
      <c r="C17" s="133"/>
      <c r="D17" s="134" t="s">
        <v>189</v>
      </c>
    </row>
    <row r="18" spans="2:4" s="131" customFormat="1" x14ac:dyDescent="0.2">
      <c r="B18" s="135"/>
      <c r="C18" s="136"/>
      <c r="D18" s="134" t="s">
        <v>190</v>
      </c>
    </row>
    <row r="19" spans="2:4" s="131" customFormat="1" x14ac:dyDescent="0.2">
      <c r="B19" s="135"/>
      <c r="C19" s="136"/>
      <c r="D19" s="134" t="s">
        <v>10</v>
      </c>
    </row>
    <row r="20" spans="2:4" s="131" customFormat="1" x14ac:dyDescent="0.2">
      <c r="B20" s="135"/>
      <c r="C20" s="136"/>
      <c r="D20" s="134" t="s">
        <v>9</v>
      </c>
    </row>
    <row r="21" spans="2:4" s="131" customFormat="1" x14ac:dyDescent="0.2">
      <c r="B21" s="135"/>
      <c r="C21" s="136"/>
      <c r="D21" s="134" t="s">
        <v>11</v>
      </c>
    </row>
    <row r="22" spans="2:4" s="131" customFormat="1" x14ac:dyDescent="0.2">
      <c r="B22" s="135"/>
      <c r="C22" s="136"/>
      <c r="D22" s="134" t="s">
        <v>89</v>
      </c>
    </row>
    <row r="23" spans="2:4" s="131" customFormat="1" x14ac:dyDescent="0.2">
      <c r="B23" s="135"/>
      <c r="C23" s="136"/>
      <c r="D23" s="134" t="s">
        <v>90</v>
      </c>
    </row>
    <row r="24" spans="2:4" s="131" customFormat="1" ht="13.5" thickBot="1" x14ac:dyDescent="0.25">
      <c r="B24" s="137"/>
      <c r="C24" s="138"/>
      <c r="D24" s="139" t="s">
        <v>34</v>
      </c>
    </row>
    <row r="25" spans="2:4" ht="28.5" customHeight="1" thickBot="1" x14ac:dyDescent="0.25">
      <c r="B25" s="40"/>
      <c r="C25" s="270" t="s">
        <v>35</v>
      </c>
      <c r="D25" s="271"/>
    </row>
    <row r="26" spans="2:4" ht="59.25" customHeight="1" thickBot="1" x14ac:dyDescent="0.25">
      <c r="B26" s="38" t="s">
        <v>8</v>
      </c>
      <c r="C26" s="270" t="s">
        <v>191</v>
      </c>
      <c r="D26" s="271"/>
    </row>
    <row r="27" spans="2:4" s="131" customFormat="1" ht="32.25" customHeight="1" thickBot="1" x14ac:dyDescent="0.25">
      <c r="B27" s="140" t="s">
        <v>8</v>
      </c>
      <c r="C27" s="277" t="s">
        <v>131</v>
      </c>
      <c r="D27" s="278"/>
    </row>
    <row r="28" spans="2:4" ht="26.25" customHeight="1" x14ac:dyDescent="0.2">
      <c r="B28" s="58"/>
      <c r="C28" s="59"/>
      <c r="D28" s="59"/>
    </row>
    <row r="29" spans="2:4" ht="26.25" customHeight="1" x14ac:dyDescent="0.2">
      <c r="B29" s="58"/>
      <c r="C29" s="59"/>
      <c r="D29" s="59"/>
    </row>
  </sheetData>
  <sheetProtection password="E7F0" sheet="1" objects="1" scenarios="1"/>
  <customSheetViews>
    <customSheetView guid="{346F6C38-467E-4277-A934-45FBB069E11D}" scale="135" showRuler="0" topLeftCell="B11">
      <selection activeCell="C23" sqref="C23"/>
      <pageMargins left="0.2" right="0.2" top="0.75" bottom="0.25" header="0" footer="0.25"/>
      <printOptions horizontalCentered="1"/>
      <pageSetup orientation="portrait" r:id="rId1"/>
      <headerFooter alignWithMargins="0">
        <oddHeader>&amp;L&amp;8Texas Department
of Human Services&amp;R&amp;8Form  1546
January 2002</oddHeader>
      </headerFooter>
    </customSheetView>
    <customSheetView guid="{454ECA60-FBCC-11D6-AB9B-00C04F5868C8}" scale="75" showPageBreaks="1" printArea="1" showRuler="0">
      <selection activeCell="G3" sqref="G3"/>
      <pageMargins left="0.2" right="0.2" top="0.75" bottom="0.25" header="0" footer="0.25"/>
      <printOptions horizontalCentered="1"/>
      <pageSetup orientation="portrait" r:id="rId2"/>
      <headerFooter alignWithMargins="0">
        <oddHeader>&amp;L&amp;8Texas Department
of Human Services&amp;R&amp;8Form  1546
January 2002</oddHeader>
      </headerFooter>
    </customSheetView>
  </customSheetViews>
  <mergeCells count="13">
    <mergeCell ref="C13:D13"/>
    <mergeCell ref="C10:D10"/>
    <mergeCell ref="C9:D9"/>
    <mergeCell ref="C27:D27"/>
    <mergeCell ref="C26:D26"/>
    <mergeCell ref="C25:D25"/>
    <mergeCell ref="B2:D2"/>
    <mergeCell ref="B3:D3"/>
    <mergeCell ref="B4:D4"/>
    <mergeCell ref="C12:D12"/>
    <mergeCell ref="B6:D6"/>
    <mergeCell ref="C11:D11"/>
    <mergeCell ref="C8:D8"/>
  </mergeCells>
  <phoneticPr fontId="0" type="noConversion"/>
  <dataValidations xWindow="497" yWindow="143" count="1">
    <dataValidation allowBlank="1" showInputMessage="1" showErrorMessage="1" promptTitle="Information Only Page" prompt="This page is for Information only.  It contains instructions for how and when to complete the budget workbook.  It is not a part of the Consumer's budget." sqref="B2:D2"/>
  </dataValidations>
  <printOptions horizontalCentered="1"/>
  <pageMargins left="0.2" right="0.2" top="0.75" bottom="0.25" header="0" footer="0.25"/>
  <pageSetup orientation="portrait" r:id="rId3"/>
  <headerFooter alignWithMargins="0">
    <oddHeader>&amp;L&amp;8Texas Department of 
Aging and Disability Services&amp;R&amp;8DBMD CDS Budget
May 2010</oddHeader>
    <oddFooter>&amp;RDate and Time Created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zoomScale="75" zoomScaleNormal="75" workbookViewId="0">
      <selection activeCell="L18" sqref="L18"/>
    </sheetView>
  </sheetViews>
  <sheetFormatPr defaultRowHeight="12.75" x14ac:dyDescent="0.2"/>
  <cols>
    <col min="1" max="1" width="4.140625" style="1" customWidth="1"/>
    <col min="2" max="2" width="44.85546875" style="1" customWidth="1"/>
    <col min="3" max="3" width="3.140625" style="1" customWidth="1"/>
    <col min="4" max="4" width="28.28515625" style="1" customWidth="1"/>
    <col min="5" max="5" width="1.5703125" style="1" customWidth="1"/>
    <col min="6" max="6" width="14.42578125" style="1" customWidth="1"/>
    <col min="7" max="7" width="3.140625" style="1" customWidth="1"/>
    <col min="8" max="8" width="4.140625" style="1" customWidth="1"/>
    <col min="9" max="9" width="14.5703125" style="1" hidden="1" customWidth="1"/>
    <col min="10" max="10" width="10.140625" style="1" hidden="1" customWidth="1"/>
    <col min="11" max="11" width="21.85546875" style="1" customWidth="1"/>
    <col min="12" max="16384" width="9.140625" style="1"/>
  </cols>
  <sheetData>
    <row r="1" spans="2:11" ht="11.1" customHeight="1" x14ac:dyDescent="0.2"/>
    <row r="2" spans="2:11" s="56" customFormat="1" ht="39.75" customHeight="1" x14ac:dyDescent="0.3">
      <c r="B2" s="279" t="s">
        <v>225</v>
      </c>
      <c r="C2" s="279"/>
      <c r="D2" s="279"/>
      <c r="E2" s="279"/>
      <c r="F2" s="279"/>
      <c r="G2" s="279"/>
      <c r="H2" s="57"/>
    </row>
    <row r="3" spans="2:11" ht="15.75" customHeight="1" x14ac:dyDescent="0.25">
      <c r="B3" s="280" t="s">
        <v>135</v>
      </c>
      <c r="C3" s="280"/>
      <c r="D3" s="280"/>
      <c r="E3" s="280"/>
      <c r="F3" s="280"/>
      <c r="G3" s="280"/>
      <c r="H3" s="3"/>
    </row>
    <row r="4" spans="2:11" ht="11.1" customHeight="1" thickBot="1" x14ac:dyDescent="0.3">
      <c r="B4" s="3"/>
      <c r="C4" s="3"/>
      <c r="D4" s="3"/>
      <c r="E4" s="3"/>
      <c r="F4" s="3"/>
      <c r="G4" s="3"/>
      <c r="H4" s="3"/>
    </row>
    <row r="5" spans="2:11" s="44" customFormat="1" ht="16.5" customHeight="1" thickBot="1" x14ac:dyDescent="0.3">
      <c r="B5" s="281" t="s">
        <v>30</v>
      </c>
      <c r="C5" s="282"/>
      <c r="D5" s="286"/>
      <c r="E5" s="287"/>
      <c r="F5" s="287"/>
      <c r="G5" s="288"/>
      <c r="H5" s="45"/>
      <c r="I5" s="44" t="s">
        <v>104</v>
      </c>
      <c r="K5" s="72"/>
    </row>
    <row r="6" spans="2:11" ht="11.25" customHeight="1" thickBot="1" x14ac:dyDescent="0.25">
      <c r="B6" s="5"/>
      <c r="C6" s="4"/>
      <c r="D6" s="6"/>
      <c r="E6" s="6"/>
      <c r="F6" s="6"/>
      <c r="G6" s="6"/>
      <c r="H6" s="7"/>
      <c r="I6" s="1" t="s">
        <v>105</v>
      </c>
    </row>
    <row r="7" spans="2:11" s="44" customFormat="1" ht="16.5" customHeight="1" thickBot="1" x14ac:dyDescent="0.3">
      <c r="B7" s="281" t="s">
        <v>31</v>
      </c>
      <c r="C7" s="289"/>
      <c r="D7" s="34"/>
      <c r="E7" s="93"/>
      <c r="F7" s="45"/>
      <c r="G7" s="61"/>
      <c r="I7" s="44" t="s">
        <v>106</v>
      </c>
    </row>
    <row r="8" spans="2:11" s="44" customFormat="1" ht="11.25" customHeight="1" thickBot="1" x14ac:dyDescent="0.3">
      <c r="B8" s="90"/>
      <c r="C8" s="90"/>
      <c r="D8" s="45"/>
      <c r="E8" s="45"/>
      <c r="F8" s="45"/>
      <c r="G8" s="61"/>
      <c r="I8" s="44" t="s">
        <v>107</v>
      </c>
    </row>
    <row r="9" spans="2:11" s="44" customFormat="1" ht="16.5" customHeight="1" thickBot="1" x14ac:dyDescent="0.3">
      <c r="B9" s="281" t="s">
        <v>92</v>
      </c>
      <c r="C9" s="282"/>
      <c r="D9" s="286"/>
      <c r="E9" s="287"/>
      <c r="F9" s="287"/>
      <c r="G9" s="288"/>
      <c r="I9" s="44" t="s">
        <v>108</v>
      </c>
    </row>
    <row r="10" spans="2:11" s="44" customFormat="1" ht="11.25" customHeight="1" thickBot="1" x14ac:dyDescent="0.3">
      <c r="B10" s="90"/>
      <c r="C10" s="90"/>
      <c r="D10" s="45"/>
      <c r="E10" s="45"/>
      <c r="F10" s="45"/>
      <c r="G10" s="61"/>
      <c r="I10" s="44" t="s">
        <v>109</v>
      </c>
    </row>
    <row r="11" spans="2:11" s="44" customFormat="1" ht="16.5" customHeight="1" thickBot="1" x14ac:dyDescent="0.3">
      <c r="B11" s="281" t="s">
        <v>93</v>
      </c>
      <c r="C11" s="282"/>
      <c r="D11" s="286"/>
      <c r="E11" s="287"/>
      <c r="F11" s="287"/>
      <c r="G11" s="288"/>
      <c r="I11" s="44" t="s">
        <v>103</v>
      </c>
    </row>
    <row r="12" spans="2:11" s="44" customFormat="1" ht="11.25" customHeight="1" thickBot="1" x14ac:dyDescent="0.3">
      <c r="B12" s="90"/>
      <c r="C12" s="90"/>
      <c r="D12" s="45"/>
      <c r="E12" s="45"/>
      <c r="F12" s="45"/>
      <c r="G12" s="61"/>
      <c r="I12" s="44" t="s">
        <v>110</v>
      </c>
    </row>
    <row r="13" spans="2:11" s="44" customFormat="1" ht="17.25" customHeight="1" thickBot="1" x14ac:dyDescent="0.3">
      <c r="B13" s="281" t="s">
        <v>94</v>
      </c>
      <c r="C13" s="289"/>
      <c r="D13" s="34"/>
      <c r="E13" s="45"/>
      <c r="F13" s="45"/>
      <c r="G13" s="61"/>
      <c r="I13" s="44" t="s">
        <v>111</v>
      </c>
    </row>
    <row r="14" spans="2:11" s="44" customFormat="1" ht="11.25" customHeight="1" thickBot="1" x14ac:dyDescent="0.3">
      <c r="B14" s="90"/>
      <c r="C14" s="90"/>
      <c r="D14" s="45"/>
      <c r="E14" s="45"/>
      <c r="F14" s="45"/>
      <c r="G14" s="61"/>
      <c r="I14" s="44" t="s">
        <v>112</v>
      </c>
    </row>
    <row r="15" spans="2:11" s="44" customFormat="1" ht="16.5" customHeight="1" thickBot="1" x14ac:dyDescent="0.3">
      <c r="B15" s="281" t="s">
        <v>91</v>
      </c>
      <c r="C15" s="282"/>
      <c r="D15" s="34"/>
      <c r="E15" s="45"/>
      <c r="F15" s="45"/>
      <c r="G15" s="61"/>
      <c r="I15" s="44" t="s">
        <v>113</v>
      </c>
    </row>
    <row r="16" spans="2:11" s="44" customFormat="1" ht="11.25" customHeight="1" thickBot="1" x14ac:dyDescent="0.3">
      <c r="B16" s="90"/>
      <c r="C16" s="90"/>
      <c r="D16" s="45"/>
      <c r="E16" s="45"/>
      <c r="F16" s="45"/>
      <c r="G16" s="61"/>
    </row>
    <row r="17" spans="2:11" s="44" customFormat="1" ht="16.5" customHeight="1" thickBot="1" x14ac:dyDescent="0.3">
      <c r="B17" s="290" t="s">
        <v>192</v>
      </c>
      <c r="C17" s="291"/>
      <c r="D17" s="292"/>
      <c r="E17" s="92"/>
      <c r="F17" s="92"/>
      <c r="G17" s="92"/>
      <c r="I17" s="44" t="s">
        <v>96</v>
      </c>
    </row>
    <row r="18" spans="2:11" s="44" customFormat="1" ht="16.5" customHeight="1" thickBot="1" x14ac:dyDescent="0.3">
      <c r="B18" s="293"/>
      <c r="C18" s="294"/>
      <c r="D18" s="294"/>
      <c r="E18" s="283"/>
      <c r="F18" s="284"/>
      <c r="G18" s="285"/>
      <c r="I18" s="44" t="s">
        <v>97</v>
      </c>
    </row>
    <row r="19" spans="2:11" ht="11.25" customHeight="1" thickBot="1" x14ac:dyDescent="0.25">
      <c r="I19" s="44"/>
    </row>
    <row r="20" spans="2:11" s="44" customFormat="1" ht="16.5" customHeight="1" thickBot="1" x14ac:dyDescent="0.3">
      <c r="B20" s="295" t="s">
        <v>133</v>
      </c>
      <c r="C20" s="296"/>
      <c r="D20" s="283"/>
      <c r="E20" s="284"/>
      <c r="F20" s="284"/>
      <c r="G20" s="285"/>
    </row>
    <row r="21" spans="2:11" s="44" customFormat="1" ht="16.5" customHeight="1" thickBot="1" x14ac:dyDescent="0.3">
      <c r="B21" s="295" t="s">
        <v>132</v>
      </c>
      <c r="C21" s="296"/>
      <c r="D21" s="283"/>
      <c r="E21" s="284"/>
      <c r="F21" s="284"/>
      <c r="G21" s="285"/>
    </row>
    <row r="22" spans="2:11" ht="10.5" customHeight="1" thickBot="1" x14ac:dyDescent="0.25">
      <c r="B22" s="12"/>
      <c r="C22" s="36"/>
      <c r="D22" s="46"/>
      <c r="E22" s="12"/>
      <c r="F22" s="12"/>
      <c r="G22" s="11"/>
      <c r="H22" s="4"/>
      <c r="I22" s="64"/>
      <c r="K22" s="64"/>
    </row>
    <row r="23" spans="2:11" ht="36.75" customHeight="1" thickBot="1" x14ac:dyDescent="0.3">
      <c r="B23" s="295" t="s">
        <v>32</v>
      </c>
      <c r="C23" s="302"/>
      <c r="D23" s="33"/>
      <c r="E23" s="8"/>
      <c r="F23" s="303"/>
      <c r="G23" s="304"/>
      <c r="H23" s="4"/>
      <c r="I23" s="94">
        <f>(F23-D23)+1</f>
        <v>1</v>
      </c>
      <c r="J23" s="100">
        <f>IF(OR(I23=366,I23=365),52,(ROUNDUP(I23/7,0)))</f>
        <v>1</v>
      </c>
      <c r="K23" s="64"/>
    </row>
    <row r="24" spans="2:11" ht="10.5" customHeight="1" thickBot="1" x14ac:dyDescent="0.25">
      <c r="B24" s="13"/>
      <c r="D24" s="14"/>
      <c r="E24" s="14"/>
      <c r="H24" s="15"/>
      <c r="I24" s="64"/>
      <c r="J24" s="78"/>
      <c r="K24" s="64"/>
    </row>
    <row r="25" spans="2:11" ht="16.5" customHeight="1" thickBot="1" x14ac:dyDescent="0.3">
      <c r="B25" s="281" t="s">
        <v>62</v>
      </c>
      <c r="C25" s="289"/>
      <c r="D25" s="289"/>
      <c r="E25" s="289"/>
      <c r="F25" s="300" t="str">
        <f>IF(AND(('Taxable Wage &amp; Compensation'!G11&lt;&gt;"Yes"),('Taxable Wage &amp; Compensation'!G11&lt;&gt;"Yes")),"VALID","INVALID")</f>
        <v>VALID</v>
      </c>
      <c r="G25" s="301"/>
      <c r="H25" s="15"/>
      <c r="I25" s="64"/>
      <c r="J25" s="78"/>
      <c r="K25" s="64"/>
    </row>
    <row r="26" spans="2:11" ht="72.75" customHeight="1" thickBot="1" x14ac:dyDescent="0.25">
      <c r="B26" s="297" t="s">
        <v>129</v>
      </c>
      <c r="C26" s="298"/>
      <c r="D26" s="298"/>
      <c r="E26" s="298"/>
      <c r="F26" s="298"/>
      <c r="G26" s="299"/>
      <c r="H26" s="15"/>
      <c r="I26" s="74"/>
      <c r="J26" s="75"/>
    </row>
    <row r="27" spans="2:11" x14ac:dyDescent="0.2">
      <c r="B27" s="16"/>
      <c r="C27" s="16"/>
      <c r="D27" s="16"/>
      <c r="E27" s="16"/>
      <c r="F27" s="16"/>
      <c r="G27" s="16"/>
      <c r="H27" s="15"/>
    </row>
    <row r="28" spans="2:11" x14ac:dyDescent="0.2">
      <c r="B28" s="16"/>
      <c r="C28" s="16"/>
      <c r="D28" s="16"/>
      <c r="E28" s="16"/>
      <c r="F28" s="16"/>
      <c r="G28" s="16"/>
      <c r="H28" s="15"/>
    </row>
    <row r="29" spans="2:11" ht="13.5" thickBot="1" x14ac:dyDescent="0.25">
      <c r="B29" s="9"/>
      <c r="C29" s="9"/>
      <c r="D29" s="4"/>
      <c r="E29" s="9"/>
      <c r="F29" s="9"/>
      <c r="G29" s="17"/>
      <c r="H29" s="4"/>
    </row>
    <row r="30" spans="2:11" x14ac:dyDescent="0.2">
      <c r="B30" s="1" t="s">
        <v>98</v>
      </c>
      <c r="E30" s="1" t="s">
        <v>0</v>
      </c>
      <c r="G30" s="17"/>
    </row>
    <row r="31" spans="2:11" x14ac:dyDescent="0.2">
      <c r="G31" s="17"/>
    </row>
    <row r="32" spans="2:11" ht="12.75" customHeight="1" x14ac:dyDescent="0.2">
      <c r="G32" s="17"/>
      <c r="H32" s="18"/>
    </row>
    <row r="33" spans="2:8" ht="13.5" thickBot="1" x14ac:dyDescent="0.25">
      <c r="B33" s="9"/>
      <c r="C33" s="9"/>
      <c r="D33" s="4"/>
      <c r="E33" s="9"/>
      <c r="F33" s="9"/>
      <c r="G33" s="17"/>
      <c r="H33" s="18"/>
    </row>
    <row r="34" spans="2:8" x14ac:dyDescent="0.2">
      <c r="B34" s="1" t="s">
        <v>1</v>
      </c>
      <c r="E34" s="1" t="s">
        <v>0</v>
      </c>
      <c r="G34" s="17"/>
      <c r="H34" s="18"/>
    </row>
    <row r="35" spans="2:8" ht="12.75" customHeight="1" x14ac:dyDescent="0.2">
      <c r="G35" s="17"/>
      <c r="H35" s="18"/>
    </row>
    <row r="36" spans="2:8" ht="12.75" customHeight="1" x14ac:dyDescent="0.2">
      <c r="G36" s="17"/>
      <c r="H36" s="18"/>
    </row>
    <row r="37" spans="2:8" ht="13.5" thickBot="1" x14ac:dyDescent="0.25">
      <c r="B37" s="9"/>
      <c r="C37" s="9"/>
      <c r="D37" s="4"/>
      <c r="E37" s="9"/>
      <c r="F37" s="9"/>
      <c r="G37" s="17"/>
      <c r="H37" s="18"/>
    </row>
    <row r="38" spans="2:8" x14ac:dyDescent="0.2">
      <c r="B38" s="1" t="s">
        <v>21</v>
      </c>
      <c r="E38" s="1" t="s">
        <v>0</v>
      </c>
      <c r="G38" s="17"/>
    </row>
    <row r="39" spans="2:8" x14ac:dyDescent="0.2">
      <c r="G39" s="17"/>
    </row>
    <row r="40" spans="2:8" x14ac:dyDescent="0.2">
      <c r="B40" s="56"/>
      <c r="D40" s="56"/>
    </row>
  </sheetData>
  <sheetProtection password="E7F0" sheet="1" objects="1" scenarios="1"/>
  <mergeCells count="22">
    <mergeCell ref="B26:G26"/>
    <mergeCell ref="D9:G9"/>
    <mergeCell ref="D11:G11"/>
    <mergeCell ref="B13:C13"/>
    <mergeCell ref="F25:G25"/>
    <mergeCell ref="B25:E25"/>
    <mergeCell ref="B15:C15"/>
    <mergeCell ref="B11:C11"/>
    <mergeCell ref="B23:C23"/>
    <mergeCell ref="F23:G23"/>
    <mergeCell ref="B21:C21"/>
    <mergeCell ref="D21:G21"/>
    <mergeCell ref="B2:G2"/>
    <mergeCell ref="B3:G3"/>
    <mergeCell ref="B9:C9"/>
    <mergeCell ref="D20:G20"/>
    <mergeCell ref="E18:G18"/>
    <mergeCell ref="B5:C5"/>
    <mergeCell ref="D5:G5"/>
    <mergeCell ref="B7:C7"/>
    <mergeCell ref="B17:D18"/>
    <mergeCell ref="B20:C20"/>
  </mergeCells>
  <phoneticPr fontId="17" type="noConversion"/>
  <dataValidations count="14">
    <dataValidation type="custom" errorStyle="warning" allowBlank="1" showInputMessage="1" showErrorMessage="1" errorTitle="Coverage Period In Error" error="You have entered a coverage period range other than 1 year/52 weeks.  Please verify the dates and re-enter if in error." promptTitle="Coverage Period - End Date" prompt="Enter the end date of the budget." sqref="F23">
      <formula1>IF(J23=52,F23,FALSE)</formula1>
    </dataValidation>
    <dataValidation allowBlank="1" showInputMessage="1" showErrorMessage="1" error="Blah_x000a_" sqref="B46"/>
    <dataValidation showInputMessage="1" promptTitle="Coverage Period - From Date" prompt="Enter the effective date for this Budget Workbook." sqref="D23"/>
    <dataValidation type="custom" allowBlank="1" showInputMessage="1" showErrorMessage="1" sqref="B41">
      <formula1>IF(OR(Program="CBA",Program="CLASS",Program="DB-MD",Program="HMO",Program="MDCP PAS and Respite",(AND(Program="PHC/CA/FC Priority",#REF!&gt;2184)),(AND(Program="PHC/CA/FC Non-Priority",#REF!&gt;2600)),(AND(Program=LOOKUP(Program,I22:K23),#REF!&gt;2705))),,#REF!)</formula1>
    </dataValidation>
    <dataValidation type="textLength" operator="equal" showInputMessage="1" showErrorMessage="1" errorTitle="Incorrect Medicaid Number" error="Medicaid Numbers are 9 digits in length.  Please verify the number and re-enter." promptTitle="Consumer Medicaid Number" prompt="Enter the Consumer's Medicaid Number as it appears in DADS Records." sqref="D16">
      <formula1>9</formula1>
    </dataValidation>
    <dataValidation allowBlank="1" showInputMessage="1" promptTitle="Consumer's Name" prompt="Enter the Consumer's Name as it appears in DADS Records." sqref="D5:G5"/>
    <dataValidation allowBlank="1" showInputMessage="1" showErrorMessage="1" promptTitle="Consumer's Address" prompt="Enter the Consumer's Address as it appears in DADS Records." sqref="D9:G9"/>
    <dataValidation allowBlank="1" showInputMessage="1" showErrorMessage="1" promptTitle="Consumer's City, State, Zip Code" prompt="Enter the Consumer's Address as it appears in DADS Records." sqref="D11:G11"/>
    <dataValidation allowBlank="1" showInputMessage="1" showErrorMessage="1" promptTitle="Consumer's Telephone Number" prompt="Enter the Consumer's Telephone Number as it appears in DADS Records." sqref="D13"/>
    <dataValidation type="textLength" operator="equal" showInputMessage="1" showErrorMessage="1" errorTitle="Incorrect Medicaid Number" error="Medicaid Numbers are 9 digits in length.  Please verify the number and re-enter." promptTitle="Consumer's Medicaid Number" prompt="Enter the Consumer's Medicaid Number as it appears in DADS Records." sqref="D7">
      <formula1>9</formula1>
    </dataValidation>
    <dataValidation type="list" allowBlank="1" showInputMessage="1" showErrorMessage="1" promptTitle="Region" prompt="Select the Region the Consumer lives in from the list." sqref="D15">
      <formula1>$I$5:$I$15</formula1>
    </dataValidation>
    <dataValidation type="list" errorStyle="warning" allowBlank="1" showInputMessage="1" promptTitle="LAR / DR" prompt="Does the Consumer have a Designated Responsible Party or Legally Authorizied Representative?" sqref="E18:G18">
      <formula1>$I$17:$I$18</formula1>
    </dataValidation>
    <dataValidation type="custom" errorStyle="warning" allowBlank="1" showInputMessage="1" showErrorMessage="1" errorTitle="No DR / LAR" error="You have indicated there is not an LAR or DR. If there is not an LAR, leave this cell blank; Otherwise, change the LAR / DR cell to &quot;Yes.&quot;" promptTitle="LAR's Name" prompt="Enter the name of the Consumer's Legally Authorized Representative, if applicable." sqref="D20:G20">
      <formula1>IF(E18="Yes",D20,FALSE)</formula1>
    </dataValidation>
    <dataValidation type="custom" errorStyle="warning" allowBlank="1" showInputMessage="1" showErrorMessage="1" errorTitle="No LAR / DR" error="You have indicated there is not an LAR or DR. If there is not a DR, leave this cell blank; Otherwise, change the LAR / DR cell to &quot;Yes.&quot;" promptTitle="DR's Name" prompt="Enter the name of the Consumer's Designated Responsible Party, if applicable." sqref="D21:G21">
      <formula1>IF(E19="Yes",D21,FALSE)</formula1>
    </dataValidation>
  </dataValidations>
  <pageMargins left="0.75" right="0.75" top="1" bottom="1" header="0.5" footer="0.5"/>
  <pageSetup scale="86" orientation="portrait" r:id="rId1"/>
  <headerFooter alignWithMargins="0">
    <oddHeader>&amp;L&amp;8Texas Department of
Aging and Disability Services&amp;R&amp;8DBMD CDS Budget
May 2010</oddHeader>
    <oddFooter>&amp;R&amp;8Date and Time Created: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zoomScale="75" workbookViewId="0">
      <selection activeCell="J12" sqref="J12"/>
    </sheetView>
  </sheetViews>
  <sheetFormatPr defaultRowHeight="12.75" x14ac:dyDescent="0.2"/>
  <cols>
    <col min="1" max="2" width="4.140625" style="1" customWidth="1"/>
    <col min="3" max="3" width="46.7109375" style="1" customWidth="1"/>
    <col min="4" max="4" width="16.42578125" style="1" customWidth="1"/>
    <col min="5" max="5" width="4.28515625" style="1" customWidth="1"/>
    <col min="6" max="6" width="16.42578125" style="10" customWidth="1"/>
    <col min="7" max="7" width="4.140625" style="1" customWidth="1"/>
    <col min="8" max="8" width="9.140625" style="1"/>
    <col min="9" max="9" width="22" style="1" customWidth="1"/>
    <col min="10" max="16384" width="9.140625" style="1"/>
  </cols>
  <sheetData>
    <row r="1" spans="2:11" ht="12.75" customHeight="1" x14ac:dyDescent="0.2"/>
    <row r="2" spans="2:11" ht="41.25" customHeight="1" x14ac:dyDescent="0.2">
      <c r="B2" s="279" t="s">
        <v>225</v>
      </c>
      <c r="C2" s="279"/>
      <c r="D2" s="279"/>
      <c r="E2" s="279"/>
      <c r="F2" s="279"/>
      <c r="G2" s="142"/>
    </row>
    <row r="3" spans="2:11" ht="15.75" customHeight="1" x14ac:dyDescent="0.25">
      <c r="B3" s="280" t="s">
        <v>57</v>
      </c>
      <c r="C3" s="280"/>
      <c r="D3" s="280"/>
      <c r="E3" s="280"/>
      <c r="F3" s="280"/>
      <c r="I3" s="62"/>
      <c r="J3" s="63"/>
    </row>
    <row r="4" spans="2:11" ht="15.75" customHeight="1" x14ac:dyDescent="0.25">
      <c r="C4" s="19"/>
      <c r="D4" s="19"/>
      <c r="E4" s="19"/>
      <c r="F4" s="19"/>
      <c r="H4" s="62"/>
      <c r="I4" s="64"/>
      <c r="J4" s="62"/>
      <c r="K4" s="62"/>
    </row>
    <row r="5" spans="2:11" ht="15.75" customHeight="1" thickBot="1" x14ac:dyDescent="0.3">
      <c r="C5" s="20">
        <f>Consumer_Name</f>
        <v>0</v>
      </c>
      <c r="D5" s="19"/>
      <c r="E5" s="305">
        <f>Medicaid_Number</f>
        <v>0</v>
      </c>
      <c r="F5" s="305"/>
      <c r="H5" s="62"/>
      <c r="I5" s="64"/>
      <c r="J5" s="62"/>
      <c r="K5" s="62"/>
    </row>
    <row r="6" spans="2:11" ht="15.75" customHeight="1" x14ac:dyDescent="0.2">
      <c r="C6" s="21" t="s">
        <v>37</v>
      </c>
      <c r="D6" s="21"/>
      <c r="E6" s="306" t="s">
        <v>38</v>
      </c>
      <c r="F6" s="306"/>
      <c r="H6" s="62"/>
      <c r="I6" s="64"/>
      <c r="J6" s="62"/>
      <c r="K6" s="62"/>
    </row>
    <row r="7" spans="2:11" ht="15.75" customHeight="1" x14ac:dyDescent="0.2">
      <c r="C7" s="21"/>
      <c r="D7" s="21"/>
      <c r="E7" s="21"/>
      <c r="F7" s="21"/>
      <c r="H7" s="62"/>
      <c r="I7" s="64"/>
      <c r="J7" s="62"/>
      <c r="K7" s="62"/>
    </row>
    <row r="8" spans="2:11" ht="15.75" customHeight="1" thickBot="1" x14ac:dyDescent="0.3">
      <c r="C8" s="22" t="s">
        <v>6</v>
      </c>
      <c r="D8" s="35">
        <f>From</f>
        <v>0</v>
      </c>
      <c r="E8" s="21" t="s">
        <v>7</v>
      </c>
      <c r="F8" s="35">
        <f>To</f>
        <v>0</v>
      </c>
      <c r="H8" s="62"/>
      <c r="I8" s="64"/>
      <c r="J8" s="62"/>
      <c r="K8" s="62"/>
    </row>
    <row r="9" spans="2:11" ht="15.75" customHeight="1" thickBot="1" x14ac:dyDescent="0.3">
      <c r="C9" s="22"/>
      <c r="D9" s="23"/>
      <c r="E9" s="21"/>
      <c r="F9" s="23"/>
      <c r="H9" s="62"/>
      <c r="I9" s="64"/>
      <c r="J9" s="62"/>
      <c r="K9" s="62"/>
    </row>
    <row r="10" spans="2:11" ht="12.75" customHeight="1" x14ac:dyDescent="0.2">
      <c r="B10" s="307"/>
      <c r="C10" s="308"/>
      <c r="D10" s="308"/>
      <c r="E10" s="308"/>
      <c r="F10" s="309"/>
      <c r="H10" s="62"/>
      <c r="I10" s="64"/>
      <c r="J10" s="62"/>
      <c r="K10" s="62"/>
    </row>
    <row r="11" spans="2:11" ht="12.75" customHeight="1" x14ac:dyDescent="0.2">
      <c r="B11" s="310"/>
      <c r="C11" s="311"/>
      <c r="D11" s="311"/>
      <c r="E11" s="311"/>
      <c r="F11" s="312"/>
    </row>
    <row r="12" spans="2:11" x14ac:dyDescent="0.2">
      <c r="B12" s="310"/>
      <c r="C12" s="311"/>
      <c r="D12" s="311"/>
      <c r="E12" s="311"/>
      <c r="F12" s="312"/>
    </row>
    <row r="13" spans="2:11" x14ac:dyDescent="0.2">
      <c r="B13" s="310"/>
      <c r="C13" s="311"/>
      <c r="D13" s="311"/>
      <c r="E13" s="311"/>
      <c r="F13" s="312"/>
    </row>
    <row r="14" spans="2:11" x14ac:dyDescent="0.2">
      <c r="B14" s="310"/>
      <c r="C14" s="311"/>
      <c r="D14" s="311"/>
      <c r="E14" s="311"/>
      <c r="F14" s="312"/>
    </row>
    <row r="15" spans="2:11" x14ac:dyDescent="0.2">
      <c r="B15" s="310"/>
      <c r="C15" s="311"/>
      <c r="D15" s="311"/>
      <c r="E15" s="311"/>
      <c r="F15" s="312"/>
    </row>
    <row r="16" spans="2:11" x14ac:dyDescent="0.2">
      <c r="B16" s="310"/>
      <c r="C16" s="311"/>
      <c r="D16" s="311"/>
      <c r="E16" s="311"/>
      <c r="F16" s="312"/>
    </row>
    <row r="17" spans="2:6" x14ac:dyDescent="0.2">
      <c r="B17" s="310"/>
      <c r="C17" s="311"/>
      <c r="D17" s="311"/>
      <c r="E17" s="311"/>
      <c r="F17" s="312"/>
    </row>
    <row r="18" spans="2:6" x14ac:dyDescent="0.2">
      <c r="B18" s="310"/>
      <c r="C18" s="311"/>
      <c r="D18" s="311"/>
      <c r="E18" s="311"/>
      <c r="F18" s="312"/>
    </row>
    <row r="19" spans="2:6" x14ac:dyDescent="0.2">
      <c r="B19" s="310"/>
      <c r="C19" s="311"/>
      <c r="D19" s="311"/>
      <c r="E19" s="311"/>
      <c r="F19" s="312"/>
    </row>
    <row r="20" spans="2:6" x14ac:dyDescent="0.2">
      <c r="B20" s="310"/>
      <c r="C20" s="311"/>
      <c r="D20" s="311"/>
      <c r="E20" s="311"/>
      <c r="F20" s="312"/>
    </row>
    <row r="21" spans="2:6" x14ac:dyDescent="0.2">
      <c r="B21" s="310"/>
      <c r="C21" s="311"/>
      <c r="D21" s="311"/>
      <c r="E21" s="311"/>
      <c r="F21" s="312"/>
    </row>
    <row r="22" spans="2:6" x14ac:dyDescent="0.2">
      <c r="B22" s="310"/>
      <c r="C22" s="311"/>
      <c r="D22" s="311"/>
      <c r="E22" s="311"/>
      <c r="F22" s="312"/>
    </row>
    <row r="23" spans="2:6" x14ac:dyDescent="0.2">
      <c r="B23" s="310"/>
      <c r="C23" s="311"/>
      <c r="D23" s="311"/>
      <c r="E23" s="311"/>
      <c r="F23" s="312"/>
    </row>
    <row r="24" spans="2:6" x14ac:dyDescent="0.2">
      <c r="B24" s="310"/>
      <c r="C24" s="311"/>
      <c r="D24" s="311"/>
      <c r="E24" s="311"/>
      <c r="F24" s="312"/>
    </row>
    <row r="25" spans="2:6" x14ac:dyDescent="0.2">
      <c r="B25" s="310"/>
      <c r="C25" s="311"/>
      <c r="D25" s="311"/>
      <c r="E25" s="311"/>
      <c r="F25" s="312"/>
    </row>
    <row r="26" spans="2:6" x14ac:dyDescent="0.2">
      <c r="B26" s="310"/>
      <c r="C26" s="311"/>
      <c r="D26" s="311"/>
      <c r="E26" s="311"/>
      <c r="F26" s="312"/>
    </row>
    <row r="27" spans="2:6" x14ac:dyDescent="0.2">
      <c r="B27" s="310"/>
      <c r="C27" s="311"/>
      <c r="D27" s="311"/>
      <c r="E27" s="311"/>
      <c r="F27" s="312"/>
    </row>
    <row r="28" spans="2:6" x14ac:dyDescent="0.2">
      <c r="B28" s="310"/>
      <c r="C28" s="311"/>
      <c r="D28" s="311"/>
      <c r="E28" s="311"/>
      <c r="F28" s="312"/>
    </row>
    <row r="29" spans="2:6" x14ac:dyDescent="0.2">
      <c r="B29" s="310"/>
      <c r="C29" s="311"/>
      <c r="D29" s="311"/>
      <c r="E29" s="311"/>
      <c r="F29" s="312"/>
    </row>
    <row r="30" spans="2:6" x14ac:dyDescent="0.2">
      <c r="B30" s="310"/>
      <c r="C30" s="311"/>
      <c r="D30" s="311"/>
      <c r="E30" s="311"/>
      <c r="F30" s="312"/>
    </row>
    <row r="31" spans="2:6" x14ac:dyDescent="0.2">
      <c r="B31" s="310"/>
      <c r="C31" s="311"/>
      <c r="D31" s="311"/>
      <c r="E31" s="311"/>
      <c r="F31" s="312"/>
    </row>
    <row r="32" spans="2:6" x14ac:dyDescent="0.2">
      <c r="B32" s="310"/>
      <c r="C32" s="311"/>
      <c r="D32" s="311"/>
      <c r="E32" s="311"/>
      <c r="F32" s="312"/>
    </row>
    <row r="33" spans="2:6" x14ac:dyDescent="0.2">
      <c r="B33" s="310"/>
      <c r="C33" s="311"/>
      <c r="D33" s="311"/>
      <c r="E33" s="311"/>
      <c r="F33" s="312"/>
    </row>
    <row r="34" spans="2:6" x14ac:dyDescent="0.2">
      <c r="B34" s="310"/>
      <c r="C34" s="311"/>
      <c r="D34" s="311"/>
      <c r="E34" s="311"/>
      <c r="F34" s="312"/>
    </row>
    <row r="35" spans="2:6" x14ac:dyDescent="0.2">
      <c r="B35" s="310"/>
      <c r="C35" s="311"/>
      <c r="D35" s="311"/>
      <c r="E35" s="311"/>
      <c r="F35" s="312"/>
    </row>
    <row r="36" spans="2:6" x14ac:dyDescent="0.2">
      <c r="B36" s="310"/>
      <c r="C36" s="311"/>
      <c r="D36" s="311"/>
      <c r="E36" s="311"/>
      <c r="F36" s="312"/>
    </row>
    <row r="37" spans="2:6" x14ac:dyDescent="0.2">
      <c r="B37" s="310"/>
      <c r="C37" s="311"/>
      <c r="D37" s="311"/>
      <c r="E37" s="311"/>
      <c r="F37" s="312"/>
    </row>
    <row r="38" spans="2:6" x14ac:dyDescent="0.2">
      <c r="B38" s="310"/>
      <c r="C38" s="311"/>
      <c r="D38" s="311"/>
      <c r="E38" s="311"/>
      <c r="F38" s="312"/>
    </row>
    <row r="39" spans="2:6" x14ac:dyDescent="0.2">
      <c r="B39" s="310"/>
      <c r="C39" s="311"/>
      <c r="D39" s="311"/>
      <c r="E39" s="311"/>
      <c r="F39" s="312"/>
    </row>
    <row r="40" spans="2:6" x14ac:dyDescent="0.2">
      <c r="B40" s="310"/>
      <c r="C40" s="311"/>
      <c r="D40" s="311"/>
      <c r="E40" s="311"/>
      <c r="F40" s="312"/>
    </row>
    <row r="41" spans="2:6" x14ac:dyDescent="0.2">
      <c r="B41" s="310"/>
      <c r="C41" s="311"/>
      <c r="D41" s="311"/>
      <c r="E41" s="311"/>
      <c r="F41" s="312"/>
    </row>
    <row r="42" spans="2:6" x14ac:dyDescent="0.2">
      <c r="B42" s="310"/>
      <c r="C42" s="311"/>
      <c r="D42" s="311"/>
      <c r="E42" s="311"/>
      <c r="F42" s="312"/>
    </row>
    <row r="43" spans="2:6" x14ac:dyDescent="0.2">
      <c r="B43" s="310"/>
      <c r="C43" s="311"/>
      <c r="D43" s="311"/>
      <c r="E43" s="311"/>
      <c r="F43" s="312"/>
    </row>
    <row r="44" spans="2:6" x14ac:dyDescent="0.2">
      <c r="B44" s="310"/>
      <c r="C44" s="311"/>
      <c r="D44" s="311"/>
      <c r="E44" s="311"/>
      <c r="F44" s="312"/>
    </row>
    <row r="45" spans="2:6" x14ac:dyDescent="0.2">
      <c r="B45" s="310"/>
      <c r="C45" s="311"/>
      <c r="D45" s="311"/>
      <c r="E45" s="311"/>
      <c r="F45" s="312"/>
    </row>
    <row r="46" spans="2:6" x14ac:dyDescent="0.2">
      <c r="B46" s="310"/>
      <c r="C46" s="311"/>
      <c r="D46" s="311"/>
      <c r="E46" s="311"/>
      <c r="F46" s="312"/>
    </row>
    <row r="47" spans="2:6" x14ac:dyDescent="0.2">
      <c r="B47" s="310"/>
      <c r="C47" s="311"/>
      <c r="D47" s="311"/>
      <c r="E47" s="311"/>
      <c r="F47" s="312"/>
    </row>
    <row r="48" spans="2:6" x14ac:dyDescent="0.2">
      <c r="B48" s="310"/>
      <c r="C48" s="311"/>
      <c r="D48" s="311"/>
      <c r="E48" s="311"/>
      <c r="F48" s="312"/>
    </row>
    <row r="49" spans="2:6" x14ac:dyDescent="0.2">
      <c r="B49" s="310"/>
      <c r="C49" s="311"/>
      <c r="D49" s="311"/>
      <c r="E49" s="311"/>
      <c r="F49" s="312"/>
    </row>
    <row r="50" spans="2:6" x14ac:dyDescent="0.2">
      <c r="B50" s="310"/>
      <c r="C50" s="311"/>
      <c r="D50" s="311"/>
      <c r="E50" s="311"/>
      <c r="F50" s="312"/>
    </row>
    <row r="51" spans="2:6" ht="13.5" thickBot="1" x14ac:dyDescent="0.25">
      <c r="B51" s="313"/>
      <c r="C51" s="314"/>
      <c r="D51" s="314"/>
      <c r="E51" s="314"/>
      <c r="F51" s="315"/>
    </row>
  </sheetData>
  <sheetProtection password="E7F0" sheet="1" objects="1" scenarios="1"/>
  <mergeCells count="5">
    <mergeCell ref="B2:F2"/>
    <mergeCell ref="E5:F5"/>
    <mergeCell ref="E6:F6"/>
    <mergeCell ref="B10:F51"/>
    <mergeCell ref="B3:F3"/>
  </mergeCells>
  <phoneticPr fontId="0" type="noConversion"/>
  <dataValidations xWindow="531" yWindow="143" count="1">
    <dataValidation allowBlank="1" showInputMessage="1" showErrorMessage="1" promptTitle="Notes" prompt="This space is provided for any notes to the budget." sqref="B10:F10"/>
  </dataValidations>
  <printOptions horizontalCentered="1"/>
  <pageMargins left="0.2" right="0.2" top="0.75" bottom="0.25" header="0" footer="0.25"/>
  <pageSetup orientation="portrait" horizontalDpi="300" verticalDpi="300" r:id="rId1"/>
  <headerFooter alignWithMargins="0">
    <oddHeader>&amp;L&amp;8Texas Department of 
Aging and Disability Services&amp;R&amp;8DBMD CDS Budget
May 2010</oddHeader>
    <oddFooter>&amp;R&amp;8Date and Time Created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4"/>
  <sheetViews>
    <sheetView zoomScaleNormal="75" workbookViewId="0">
      <selection activeCell="D42" sqref="D42:F42"/>
    </sheetView>
  </sheetViews>
  <sheetFormatPr defaultRowHeight="12.75" x14ac:dyDescent="0.2"/>
  <cols>
    <col min="1" max="2" width="4.140625" style="1" customWidth="1"/>
    <col min="3" max="3" width="48.7109375" style="1" customWidth="1"/>
    <col min="4" max="4" width="16.42578125" style="1" customWidth="1"/>
    <col min="5" max="5" width="4.28515625" style="1" customWidth="1"/>
    <col min="6" max="6" width="16.42578125" style="10" customWidth="1"/>
    <col min="7" max="7" width="4.140625" style="1" customWidth="1"/>
    <col min="8" max="8" width="4.42578125" style="1" customWidth="1"/>
    <col min="9" max="9" width="20.140625" style="1" hidden="1" customWidth="1"/>
    <col min="10" max="10" width="9.140625" style="1" hidden="1" customWidth="1"/>
    <col min="11" max="16384" width="9.140625" style="1"/>
  </cols>
  <sheetData>
    <row r="1" spans="2:11" ht="12.75" customHeight="1" x14ac:dyDescent="0.2"/>
    <row r="2" spans="2:11" ht="43.5" customHeight="1" x14ac:dyDescent="0.2">
      <c r="B2" s="279" t="s">
        <v>225</v>
      </c>
      <c r="C2" s="279"/>
      <c r="D2" s="279"/>
      <c r="E2" s="279"/>
      <c r="F2" s="279"/>
      <c r="G2" s="279"/>
    </row>
    <row r="3" spans="2:11" ht="15.75" customHeight="1" x14ac:dyDescent="0.25">
      <c r="B3" s="280" t="s">
        <v>136</v>
      </c>
      <c r="C3" s="280"/>
      <c r="D3" s="280"/>
      <c r="E3" s="280"/>
      <c r="F3" s="280"/>
      <c r="I3" s="10"/>
      <c r="J3" s="95"/>
      <c r="K3" s="76"/>
    </row>
    <row r="4" spans="2:11" ht="15.75" customHeight="1" x14ac:dyDescent="0.25">
      <c r="C4" s="19"/>
      <c r="D4" s="19"/>
      <c r="E4" s="19"/>
      <c r="F4" s="19"/>
      <c r="K4" s="76"/>
    </row>
    <row r="5" spans="2:11" ht="15.75" customHeight="1" thickBot="1" x14ac:dyDescent="0.3">
      <c r="C5" s="20">
        <f>Consumer_Name</f>
        <v>0</v>
      </c>
      <c r="D5" s="19"/>
      <c r="E5" s="305">
        <f>Medicaid_Number</f>
        <v>0</v>
      </c>
      <c r="F5" s="305"/>
      <c r="K5" s="76"/>
    </row>
    <row r="6" spans="2:11" ht="15.75" customHeight="1" x14ac:dyDescent="0.2">
      <c r="C6" s="21" t="s">
        <v>37</v>
      </c>
      <c r="D6" s="21"/>
      <c r="E6" s="306" t="s">
        <v>38</v>
      </c>
      <c r="F6" s="306"/>
      <c r="I6" s="73"/>
      <c r="J6" s="96"/>
      <c r="K6" s="76"/>
    </row>
    <row r="7" spans="2:11" ht="15.75" customHeight="1" x14ac:dyDescent="0.2">
      <c r="C7" s="21"/>
      <c r="D7" s="21"/>
      <c r="E7" s="21"/>
      <c r="F7" s="21"/>
      <c r="K7" s="76"/>
    </row>
    <row r="8" spans="2:11" ht="15.75" customHeight="1" thickBot="1" x14ac:dyDescent="0.3">
      <c r="C8" s="22" t="s">
        <v>6</v>
      </c>
      <c r="D8" s="35">
        <f>From</f>
        <v>0</v>
      </c>
      <c r="E8" s="21" t="s">
        <v>7</v>
      </c>
      <c r="F8" s="35">
        <f>To</f>
        <v>0</v>
      </c>
      <c r="K8" s="76"/>
    </row>
    <row r="9" spans="2:11" ht="15.75" customHeight="1" thickBot="1" x14ac:dyDescent="0.3">
      <c r="C9" s="22"/>
      <c r="D9" s="23"/>
      <c r="E9" s="21"/>
      <c r="F9" s="23"/>
      <c r="K9" s="76"/>
    </row>
    <row r="10" spans="2:11" ht="30.75" customHeight="1" thickBot="1" x14ac:dyDescent="0.3">
      <c r="C10" s="90" t="s">
        <v>102</v>
      </c>
      <c r="D10" s="97">
        <f>SUM(D33,D28,D18,D23,D39,D45)</f>
        <v>0</v>
      </c>
      <c r="E10" s="21"/>
      <c r="F10" s="23"/>
      <c r="I10" s="73"/>
      <c r="J10" s="96"/>
    </row>
    <row r="11" spans="2:11" ht="15.75" customHeight="1" x14ac:dyDescent="0.25">
      <c r="C11" s="22"/>
      <c r="D11" s="23"/>
      <c r="E11" s="21"/>
      <c r="F11" s="23"/>
      <c r="I11" s="64"/>
      <c r="J11" s="62"/>
    </row>
    <row r="12" spans="2:11" ht="15.75" customHeight="1" x14ac:dyDescent="0.25">
      <c r="E12" s="141"/>
      <c r="F12" s="23"/>
      <c r="I12" s="64"/>
      <c r="J12" s="62"/>
    </row>
    <row r="13" spans="2:11" ht="15.75" customHeight="1" thickBot="1" x14ac:dyDescent="0.3">
      <c r="C13" s="22"/>
      <c r="D13" s="23"/>
      <c r="E13" s="21"/>
      <c r="F13" s="23"/>
      <c r="I13" s="64"/>
      <c r="J13" s="62"/>
    </row>
    <row r="14" spans="2:11" ht="15.75" customHeight="1" thickBot="1" x14ac:dyDescent="0.25">
      <c r="C14" s="122" t="s">
        <v>99</v>
      </c>
      <c r="D14" s="328" t="s">
        <v>116</v>
      </c>
      <c r="E14" s="329"/>
      <c r="F14" s="330"/>
    </row>
    <row r="15" spans="2:11" ht="15.75" customHeight="1" thickBot="1" x14ac:dyDescent="0.25">
      <c r="C15" s="220" t="s">
        <v>134</v>
      </c>
      <c r="D15" s="331"/>
      <c r="E15" s="332"/>
      <c r="F15" s="333"/>
    </row>
    <row r="16" spans="2:11" ht="15.75" customHeight="1" thickBot="1" x14ac:dyDescent="0.25">
      <c r="C16" s="123" t="s">
        <v>137</v>
      </c>
      <c r="D16" s="322"/>
      <c r="E16" s="323"/>
      <c r="F16" s="324"/>
      <c r="I16" s="10" t="s">
        <v>116</v>
      </c>
      <c r="J16" s="76">
        <v>13.05</v>
      </c>
    </row>
    <row r="17" spans="3:10" ht="15.75" customHeight="1" x14ac:dyDescent="0.2">
      <c r="C17" s="123" t="s">
        <v>100</v>
      </c>
      <c r="D17" s="319">
        <v>13.05</v>
      </c>
      <c r="E17" s="320"/>
      <c r="F17" s="321"/>
      <c r="I17" s="73" t="s">
        <v>95</v>
      </c>
      <c r="J17" s="96">
        <v>214.6</v>
      </c>
    </row>
    <row r="18" spans="3:10" ht="15.75" customHeight="1" thickBot="1" x14ac:dyDescent="0.25">
      <c r="C18" s="124" t="s">
        <v>140</v>
      </c>
      <c r="D18" s="316">
        <f>D15*D17*Weeks</f>
        <v>0</v>
      </c>
      <c r="E18" s="317"/>
      <c r="F18" s="318"/>
      <c r="H18" s="76"/>
      <c r="I18" s="73" t="s">
        <v>101</v>
      </c>
      <c r="J18" s="96">
        <v>224.17</v>
      </c>
    </row>
    <row r="19" spans="3:10" ht="15.75" customHeight="1" thickBot="1" x14ac:dyDescent="0.25">
      <c r="C19" s="244"/>
      <c r="D19" s="245"/>
      <c r="E19" s="245"/>
      <c r="F19" s="245"/>
      <c r="H19" s="76"/>
      <c r="I19" s="73" t="s">
        <v>231</v>
      </c>
      <c r="J19" s="96">
        <v>0</v>
      </c>
    </row>
    <row r="20" spans="3:10" ht="15.75" customHeight="1" thickBot="1" x14ac:dyDescent="0.25">
      <c r="C20" s="216" t="s">
        <v>99</v>
      </c>
      <c r="D20" s="322" t="s">
        <v>231</v>
      </c>
      <c r="E20" s="323"/>
      <c r="F20" s="324"/>
      <c r="H20" s="76"/>
      <c r="I20" s="73" t="s">
        <v>227</v>
      </c>
      <c r="J20" s="96">
        <v>15.5</v>
      </c>
    </row>
    <row r="21" spans="3:10" ht="15.75" customHeight="1" thickBot="1" x14ac:dyDescent="0.25">
      <c r="C21" s="219" t="s">
        <v>209</v>
      </c>
      <c r="D21" s="331"/>
      <c r="E21" s="332"/>
      <c r="F21" s="333"/>
      <c r="H21" s="76"/>
      <c r="I21" s="73" t="s">
        <v>228</v>
      </c>
      <c r="J21" s="96">
        <v>20.53</v>
      </c>
    </row>
    <row r="22" spans="3:10" ht="15.75" customHeight="1" x14ac:dyDescent="0.2">
      <c r="C22" s="217" t="s">
        <v>100</v>
      </c>
      <c r="D22" s="319">
        <f>VLOOKUP(D20,I19:J23,2,FALSE)</f>
        <v>0</v>
      </c>
      <c r="E22" s="320"/>
      <c r="F22" s="321"/>
      <c r="H22" s="76"/>
      <c r="I22" s="73" t="s">
        <v>229</v>
      </c>
      <c r="J22" s="96">
        <v>24.61</v>
      </c>
    </row>
    <row r="23" spans="3:10" ht="15.75" customHeight="1" thickBot="1" x14ac:dyDescent="0.25">
      <c r="C23" s="218" t="s">
        <v>232</v>
      </c>
      <c r="D23" s="316">
        <f>D21*D22</f>
        <v>0</v>
      </c>
      <c r="E23" s="317"/>
      <c r="F23" s="318"/>
      <c r="H23" s="76"/>
      <c r="I23" s="73" t="s">
        <v>230</v>
      </c>
      <c r="J23" s="96">
        <v>28.69</v>
      </c>
    </row>
    <row r="24" spans="3:10" ht="15.75" customHeight="1" thickBot="1" x14ac:dyDescent="0.25">
      <c r="H24" s="76"/>
    </row>
    <row r="25" spans="3:10" ht="15.75" customHeight="1" thickBot="1" x14ac:dyDescent="0.25">
      <c r="C25" s="122" t="s">
        <v>99</v>
      </c>
      <c r="D25" s="325" t="s">
        <v>95</v>
      </c>
      <c r="E25" s="326"/>
      <c r="F25" s="327"/>
      <c r="H25" s="76"/>
    </row>
    <row r="26" spans="3:10" ht="15.75" customHeight="1" thickBot="1" x14ac:dyDescent="0.25">
      <c r="C26" s="123" t="s">
        <v>138</v>
      </c>
      <c r="D26" s="322"/>
      <c r="E26" s="323"/>
      <c r="F26" s="324"/>
      <c r="H26" s="76"/>
    </row>
    <row r="27" spans="3:10" ht="15.75" customHeight="1" x14ac:dyDescent="0.2">
      <c r="C27" s="123" t="s">
        <v>100</v>
      </c>
      <c r="D27" s="319">
        <f>VLOOKUP(D25,I16:J18,2,FALSE)</f>
        <v>214.6</v>
      </c>
      <c r="E27" s="320"/>
      <c r="F27" s="321"/>
    </row>
    <row r="28" spans="3:10" ht="15.75" customHeight="1" thickBot="1" x14ac:dyDescent="0.25">
      <c r="C28" s="124" t="s">
        <v>139</v>
      </c>
      <c r="D28" s="316">
        <f>D26*D27</f>
        <v>0</v>
      </c>
      <c r="E28" s="317"/>
      <c r="F28" s="318"/>
    </row>
    <row r="29" spans="3:10" ht="15.75" customHeight="1" thickBot="1" x14ac:dyDescent="0.25"/>
    <row r="30" spans="3:10" ht="15.75" customHeight="1" thickBot="1" x14ac:dyDescent="0.25">
      <c r="C30" s="122" t="s">
        <v>99</v>
      </c>
      <c r="D30" s="328" t="s">
        <v>101</v>
      </c>
      <c r="E30" s="329"/>
      <c r="F30" s="330"/>
    </row>
    <row r="31" spans="3:10" ht="15.75" customHeight="1" thickBot="1" x14ac:dyDescent="0.25">
      <c r="C31" s="123" t="s">
        <v>141</v>
      </c>
      <c r="D31" s="322"/>
      <c r="E31" s="323"/>
      <c r="F31" s="324"/>
    </row>
    <row r="32" spans="3:10" ht="15.75" customHeight="1" x14ac:dyDescent="0.2">
      <c r="C32" s="123" t="s">
        <v>100</v>
      </c>
      <c r="D32" s="319">
        <f>VLOOKUP(D30,I16:J18,2,FALSE)</f>
        <v>224.17</v>
      </c>
      <c r="E32" s="320"/>
      <c r="F32" s="321"/>
    </row>
    <row r="33" spans="3:6" ht="15.75" customHeight="1" thickBot="1" x14ac:dyDescent="0.25">
      <c r="C33" s="124" t="s">
        <v>142</v>
      </c>
      <c r="D33" s="316">
        <f>D31*D32</f>
        <v>0</v>
      </c>
      <c r="E33" s="317"/>
      <c r="F33" s="318"/>
    </row>
    <row r="34" spans="3:6" ht="15.75" customHeight="1" thickBot="1" x14ac:dyDescent="0.25"/>
    <row r="35" spans="3:6" ht="15.75" customHeight="1" thickBot="1" x14ac:dyDescent="0.25">
      <c r="C35" s="122" t="s">
        <v>99</v>
      </c>
      <c r="D35" s="328" t="s">
        <v>233</v>
      </c>
      <c r="E35" s="329"/>
      <c r="F35" s="330"/>
    </row>
    <row r="36" spans="3:6" ht="15.75" customHeight="1" thickBot="1" x14ac:dyDescent="0.25">
      <c r="C36" s="256" t="s">
        <v>236</v>
      </c>
      <c r="D36" s="322"/>
      <c r="E36" s="323"/>
      <c r="F36" s="324"/>
    </row>
    <row r="37" spans="3:6" ht="15.75" customHeight="1" x14ac:dyDescent="0.2">
      <c r="C37" s="256" t="s">
        <v>237</v>
      </c>
      <c r="D37" s="338">
        <f>D36/Weeks</f>
        <v>0</v>
      </c>
      <c r="E37" s="338"/>
      <c r="F37" s="338"/>
    </row>
    <row r="38" spans="3:6" ht="15.75" customHeight="1" x14ac:dyDescent="0.2">
      <c r="C38" s="123" t="s">
        <v>100</v>
      </c>
      <c r="D38" s="334">
        <v>32.299999999999997</v>
      </c>
      <c r="E38" s="335"/>
      <c r="F38" s="336"/>
    </row>
    <row r="39" spans="3:6" ht="15.75" customHeight="1" thickBot="1" x14ac:dyDescent="0.25">
      <c r="C39" s="255" t="s">
        <v>235</v>
      </c>
      <c r="D39" s="316">
        <f t="shared" ref="D39" si="0">D36*D38</f>
        <v>0</v>
      </c>
      <c r="E39" s="317"/>
      <c r="F39" s="318"/>
    </row>
    <row r="40" spans="3:6" ht="15.75" customHeight="1" thickBot="1" x14ac:dyDescent="0.25"/>
    <row r="41" spans="3:6" ht="15.75" customHeight="1" thickBot="1" x14ac:dyDescent="0.25">
      <c r="C41" s="122" t="s">
        <v>99</v>
      </c>
      <c r="D41" s="337" t="s">
        <v>234</v>
      </c>
      <c r="E41" s="329"/>
      <c r="F41" s="330"/>
    </row>
    <row r="42" spans="3:6" ht="15.75" customHeight="1" thickBot="1" x14ac:dyDescent="0.25">
      <c r="C42" s="256" t="s">
        <v>238</v>
      </c>
      <c r="D42" s="322"/>
      <c r="E42" s="323"/>
      <c r="F42" s="324"/>
    </row>
    <row r="43" spans="3:6" ht="15.75" customHeight="1" x14ac:dyDescent="0.2">
      <c r="C43" s="256" t="s">
        <v>239</v>
      </c>
      <c r="D43" s="339">
        <f>D42/Weeks</f>
        <v>0</v>
      </c>
      <c r="E43" s="340"/>
      <c r="F43" s="341"/>
    </row>
    <row r="44" spans="3:6" ht="15.75" customHeight="1" x14ac:dyDescent="0.2">
      <c r="C44" s="123" t="s">
        <v>100</v>
      </c>
      <c r="D44" s="334">
        <v>32.299999999999997</v>
      </c>
      <c r="E44" s="335"/>
      <c r="F44" s="336"/>
    </row>
    <row r="45" spans="3:6" ht="15.75" customHeight="1" thickBot="1" x14ac:dyDescent="0.25">
      <c r="C45" s="255" t="s">
        <v>240</v>
      </c>
      <c r="D45" s="316">
        <f t="shared" ref="D45" si="1">D42*D44</f>
        <v>0</v>
      </c>
      <c r="E45" s="317"/>
      <c r="F45" s="318"/>
    </row>
    <row r="46" spans="3:6" ht="15.75" customHeight="1" x14ac:dyDescent="0.2"/>
    <row r="47" spans="3:6" ht="15.75" customHeight="1" x14ac:dyDescent="0.2"/>
    <row r="48" spans="3: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sheetData>
  <sheetProtection password="E7F0" sheet="1" objects="1" scenarios="1"/>
  <customSheetViews>
    <customSheetView guid="{346F6C38-467E-4277-A934-45FBB069E11D}" scale="130" fitToPage="1" showRuler="0">
      <selection activeCell="B2" sqref="B2:F2"/>
      <pageMargins left="0.2" right="0.2" top="0.75" bottom="0.25" header="0" footer="0.25"/>
      <printOptions horizontalCentered="1"/>
      <pageSetup orientation="portrait" horizontalDpi="300" verticalDpi="300" r:id="rId1"/>
      <headerFooter alignWithMargins="0">
        <oddHeader>&amp;L&amp;8Texas Department
of Human Services&amp;R&amp;8Form 1546, page 3
January 2002</oddHeader>
      </headerFooter>
    </customSheetView>
    <customSheetView guid="{454ECA60-FBCC-11D6-AB9B-00C04F5868C8}" scale="75" showPageBreaks="1" fitToPage="1" printArea="1" showRuler="0">
      <selection activeCell="F14" sqref="F14"/>
      <pageMargins left="0.2" right="0.2" top="0.75" bottom="0.25" header="0" footer="0.25"/>
      <printOptions horizontalCentered="1"/>
      <pageSetup orientation="portrait" horizontalDpi="300" verticalDpi="300" r:id="rId2"/>
      <headerFooter alignWithMargins="0">
        <oddHeader>&amp;L&amp;8Texas Department
of Human Services&amp;R&amp;8Form 1546, page 3
January 2002</oddHeader>
      </headerFooter>
    </customSheetView>
  </customSheetViews>
  <mergeCells count="31">
    <mergeCell ref="D42:F42"/>
    <mergeCell ref="D44:F44"/>
    <mergeCell ref="D45:F45"/>
    <mergeCell ref="D37:F37"/>
    <mergeCell ref="D43:F43"/>
    <mergeCell ref="D35:F35"/>
    <mergeCell ref="D36:F36"/>
    <mergeCell ref="D38:F38"/>
    <mergeCell ref="D39:F39"/>
    <mergeCell ref="D41:F41"/>
    <mergeCell ref="D23:F23"/>
    <mergeCell ref="D18:F18"/>
    <mergeCell ref="B2:G2"/>
    <mergeCell ref="E6:F6"/>
    <mergeCell ref="B3:F3"/>
    <mergeCell ref="E5:F5"/>
    <mergeCell ref="D17:F17"/>
    <mergeCell ref="D16:F16"/>
    <mergeCell ref="D15:F15"/>
    <mergeCell ref="D14:F14"/>
    <mergeCell ref="D20:F20"/>
    <mergeCell ref="D21:F21"/>
    <mergeCell ref="D22:F22"/>
    <mergeCell ref="D28:F28"/>
    <mergeCell ref="D27:F27"/>
    <mergeCell ref="D26:F26"/>
    <mergeCell ref="D25:F25"/>
    <mergeCell ref="D33:F33"/>
    <mergeCell ref="D31:F31"/>
    <mergeCell ref="D32:F32"/>
    <mergeCell ref="D30:F30"/>
  </mergeCells>
  <phoneticPr fontId="0" type="noConversion"/>
  <dataValidations xWindow="531" yWindow="491" count="10">
    <dataValidation allowBlank="1" showInputMessage="1" showErrorMessage="1" promptTitle="In-Home Respite Units" prompt="Enter the number of units of In-Home Respite the Consumer is utilizing. If the Consumer has used In-Home Respite previously during this budget period, add the new utilization to the old. Only enter In-Home Respite units as they are utilized." sqref="D26"/>
    <dataValidation allowBlank="1" showInputMessage="1" showErrorMessage="1" promptTitle="Out-of-Home Respite Units" prompt="Enter the number of units of Out-of-Home Respite the Consumer is utilizing. If the Consumer has used Oout-of-Home Respite previously during this budget period, add the new utilization to the old. Only enter Out-of-Home Respite units as they are utilized." sqref="D37 D43"/>
    <dataValidation allowBlank="1" showErrorMessage="1" promptTitle="Information Only Page" prompt="This page is for Information only.  It is not a part of the Client's budget." sqref="B2:G2"/>
    <dataValidation allowBlank="1" showInputMessage="1" showErrorMessage="1" promptTitle="Weekly Habilitation Units" prompt="Enter the number of hours of Habilitation the Consumer is authorized each week. If the Consumer is not authorized Habilitation, leave this blank." sqref="D15"/>
    <dataValidation allowBlank="1" showInputMessage="1" showErrorMessage="1" promptTitle="Annual Habilitation Units" prompt="Enter the number of hours of Habilitation the Consumer is authorized for the budget year. If the Consumer is not authorized Habilitation, leave this blank." sqref="D16"/>
    <dataValidation allowBlank="1" showInputMessage="1" showErrorMessage="1" promptTitle="Authorized Intervener Hours" prompt="Enter the number of hours of Intervener the Consumer is authorized.  If the Consumer is not authorized to receive Intervener, leave this blank." sqref="D21:F21"/>
    <dataValidation type="list" allowBlank="1" showInputMessage="1" showErrorMessage="1" sqref="D20:F20">
      <formula1>$I$19:$I$23</formula1>
    </dataValidation>
    <dataValidation allowBlank="1" showInputMessage="1" showErrorMessage="1" promptTitle="Authorized SE Hours" prompt="Enter the number of authorized Supported Employment hours." sqref="D36:F36"/>
    <dataValidation allowBlank="1" showInputMessage="1" showErrorMessage="1" promptTitle="Out-of-Home Respite Units" prompt="Enter the number of units of Out-of-Home Respite the Consumer is utilizing. If the Consumer has used Out-of-Home Respite previously during this budget period, add the new utilization to the old. Only enter Out-of-Home Respite units as they are utilized." sqref="D31:F31"/>
    <dataValidation allowBlank="1" showInputMessage="1" showErrorMessage="1" promptTitle="Weekly Authorized EA Hours" prompt="Enter the number of authorized Employment Assistance hours." sqref="D42:F42"/>
  </dataValidations>
  <printOptions horizontalCentered="1"/>
  <pageMargins left="0.2" right="0.2" top="0.75" bottom="0.5" header="0" footer="0"/>
  <pageSetup orientation="portrait" horizontalDpi="300" verticalDpi="300" r:id="rId3"/>
  <headerFooter alignWithMargins="0">
    <oddHeader>&amp;L&amp;8Texas Department of 
Aging and Disability Services&amp;R&amp;8DBMD CDS Budget
May 2010</oddHeader>
    <oddFooter>&amp;R&amp;8Date and Time Created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75" zoomScaleSheetLayoutView="75" workbookViewId="0"/>
  </sheetViews>
  <sheetFormatPr defaultRowHeight="12.75" x14ac:dyDescent="0.2"/>
  <cols>
    <col min="1" max="1" width="4.42578125" style="1" customWidth="1"/>
    <col min="2" max="2" width="4.140625" style="25" customWidth="1"/>
    <col min="3" max="3" width="46.5703125" style="1" customWidth="1"/>
    <col min="4" max="4" width="16.42578125" style="1" customWidth="1"/>
    <col min="5" max="6" width="4.28515625" style="1" customWidth="1"/>
    <col min="7" max="7" width="16.42578125" style="1" customWidth="1"/>
    <col min="8" max="8" width="4.28515625" style="1" customWidth="1"/>
    <col min="9" max="9" width="12" style="1" hidden="1" customWidth="1"/>
    <col min="10" max="12" width="0" style="1" hidden="1" customWidth="1"/>
    <col min="13" max="16384" width="9.140625" style="1"/>
  </cols>
  <sheetData>
    <row r="1" spans="1:8" ht="12.75" customHeight="1" x14ac:dyDescent="0.2"/>
    <row r="2" spans="1:8" ht="39.75" customHeight="1" x14ac:dyDescent="0.3">
      <c r="B2" s="383" t="s">
        <v>225</v>
      </c>
      <c r="C2" s="383"/>
      <c r="D2" s="383"/>
      <c r="E2" s="383"/>
      <c r="F2" s="383"/>
      <c r="G2" s="383"/>
      <c r="H2" s="2"/>
    </row>
    <row r="3" spans="1:8" ht="15.75" x14ac:dyDescent="0.25">
      <c r="B3" s="280" t="s">
        <v>144</v>
      </c>
      <c r="C3" s="280"/>
      <c r="D3" s="280"/>
      <c r="E3" s="280"/>
      <c r="F3" s="280"/>
      <c r="G3" s="280"/>
      <c r="H3" s="19"/>
    </row>
    <row r="4" spans="1:8" ht="15" x14ac:dyDescent="0.25">
      <c r="C4" s="19"/>
      <c r="D4" s="19"/>
      <c r="E4" s="19"/>
      <c r="F4" s="19"/>
      <c r="G4" s="19"/>
      <c r="H4" s="19"/>
    </row>
    <row r="5" spans="1:8" ht="15.75" thickBot="1" x14ac:dyDescent="0.3">
      <c r="B5" s="305">
        <f>Consumer_Name</f>
        <v>0</v>
      </c>
      <c r="C5" s="305"/>
      <c r="D5" s="19"/>
      <c r="E5" s="305">
        <f>Medicaid_Number</f>
        <v>0</v>
      </c>
      <c r="F5" s="305"/>
      <c r="G5" s="305"/>
      <c r="H5" s="26"/>
    </row>
    <row r="6" spans="1:8" ht="14.25" x14ac:dyDescent="0.2">
      <c r="C6" s="21" t="s">
        <v>37</v>
      </c>
      <c r="D6" s="21"/>
      <c r="E6" s="384" t="s">
        <v>38</v>
      </c>
      <c r="F6" s="384"/>
      <c r="G6" s="384"/>
      <c r="H6" s="28"/>
    </row>
    <row r="7" spans="1:8" ht="14.25" x14ac:dyDescent="0.2">
      <c r="A7" s="21"/>
      <c r="B7" s="21"/>
      <c r="C7" s="21"/>
      <c r="D7" s="21"/>
      <c r="E7" s="28"/>
      <c r="F7" s="28"/>
      <c r="G7" s="28"/>
      <c r="H7" s="28"/>
    </row>
    <row r="8" spans="1:8" ht="15.75" thickBot="1" x14ac:dyDescent="0.3">
      <c r="C8" s="22" t="s">
        <v>6</v>
      </c>
      <c r="D8" s="35">
        <f>From</f>
        <v>0</v>
      </c>
      <c r="E8" s="21" t="s">
        <v>7</v>
      </c>
      <c r="F8" s="352">
        <f>To</f>
        <v>0</v>
      </c>
      <c r="G8" s="352"/>
      <c r="H8" s="28"/>
    </row>
    <row r="9" spans="1:8" ht="15.75" thickBot="1" x14ac:dyDescent="0.3">
      <c r="A9" s="22"/>
      <c r="B9" s="23"/>
      <c r="C9" s="21"/>
      <c r="D9" s="23"/>
      <c r="E9" s="19"/>
      <c r="F9" s="19"/>
      <c r="G9" s="19"/>
      <c r="H9" s="19"/>
    </row>
    <row r="10" spans="1:8" ht="16.5" thickBot="1" x14ac:dyDescent="0.3">
      <c r="B10" s="281" t="s">
        <v>114</v>
      </c>
      <c r="C10" s="289"/>
      <c r="D10" s="289"/>
      <c r="E10" s="289"/>
      <c r="F10" s="410"/>
      <c r="G10" s="43">
        <f>Total_Budget</f>
        <v>0</v>
      </c>
      <c r="H10" s="29"/>
    </row>
    <row r="11" spans="1:8" ht="16.5" thickBot="1" x14ac:dyDescent="0.3">
      <c r="B11" s="90"/>
      <c r="C11" s="90"/>
      <c r="D11" s="90"/>
      <c r="E11" s="90"/>
      <c r="F11" s="90"/>
      <c r="G11" s="228"/>
      <c r="H11" s="29"/>
    </row>
    <row r="12" spans="1:8" ht="33.75" customHeight="1" thickBot="1" x14ac:dyDescent="0.3">
      <c r="B12" s="415" t="s">
        <v>223</v>
      </c>
      <c r="C12" s="416"/>
      <c r="D12" s="416"/>
      <c r="E12" s="416"/>
      <c r="F12" s="417"/>
      <c r="G12" s="43">
        <f>Total_Budget*0.1</f>
        <v>0</v>
      </c>
      <c r="H12" s="29"/>
    </row>
    <row r="13" spans="1:8" ht="6" customHeight="1" thickBot="1" x14ac:dyDescent="0.25">
      <c r="B13" s="5"/>
      <c r="C13" s="4"/>
      <c r="D13" s="4"/>
      <c r="E13" s="4"/>
      <c r="F13" s="4"/>
      <c r="G13" s="29"/>
      <c r="H13" s="29"/>
    </row>
    <row r="14" spans="1:8" ht="15.75" thickBot="1" x14ac:dyDescent="0.25">
      <c r="B14" s="418" t="s">
        <v>224</v>
      </c>
      <c r="C14" s="419"/>
      <c r="D14" s="419"/>
      <c r="E14" s="419"/>
      <c r="F14" s="419"/>
      <c r="G14" s="420"/>
      <c r="H14" s="30"/>
    </row>
    <row r="15" spans="1:8" ht="12.75" customHeight="1" x14ac:dyDescent="0.2">
      <c r="B15" s="411" t="s">
        <v>117</v>
      </c>
      <c r="C15" s="412"/>
      <c r="D15" s="412"/>
      <c r="E15" s="412"/>
      <c r="F15" s="412"/>
      <c r="G15" s="143">
        <f>IF(G10*0.1&lt;600,G10*0.1,600)</f>
        <v>0</v>
      </c>
      <c r="H15" s="4"/>
    </row>
    <row r="16" spans="1:8" ht="13.5" thickBot="1" x14ac:dyDescent="0.25">
      <c r="B16" s="413"/>
      <c r="C16" s="414"/>
      <c r="D16" s="51" t="s">
        <v>19</v>
      </c>
      <c r="E16" s="421" t="s">
        <v>20</v>
      </c>
      <c r="F16" s="422"/>
      <c r="G16" s="423"/>
      <c r="H16" s="4"/>
    </row>
    <row r="17" spans="1:11" x14ac:dyDescent="0.2">
      <c r="B17" s="393" t="s">
        <v>2</v>
      </c>
      <c r="C17" s="394"/>
      <c r="D17" s="49"/>
      <c r="E17" s="385"/>
      <c r="F17" s="386"/>
      <c r="G17" s="387"/>
      <c r="H17" s="4"/>
    </row>
    <row r="18" spans="1:11" x14ac:dyDescent="0.2">
      <c r="B18" s="393" t="s">
        <v>17</v>
      </c>
      <c r="C18" s="394"/>
      <c r="D18" s="50"/>
      <c r="E18" s="353"/>
      <c r="F18" s="354"/>
      <c r="G18" s="355"/>
      <c r="H18" s="4"/>
    </row>
    <row r="19" spans="1:11" x14ac:dyDescent="0.2">
      <c r="B19" s="393" t="s">
        <v>18</v>
      </c>
      <c r="C19" s="394"/>
      <c r="D19" s="50"/>
      <c r="E19" s="353"/>
      <c r="F19" s="354"/>
      <c r="G19" s="355"/>
      <c r="H19" s="4"/>
    </row>
    <row r="20" spans="1:11" ht="13.5" thickBot="1" x14ac:dyDescent="0.25">
      <c r="B20" s="358" t="s">
        <v>3</v>
      </c>
      <c r="C20" s="359"/>
      <c r="D20" s="50"/>
      <c r="E20" s="353"/>
      <c r="F20" s="354"/>
      <c r="G20" s="355"/>
      <c r="H20" s="4"/>
    </row>
    <row r="21" spans="1:11" x14ac:dyDescent="0.2">
      <c r="B21" s="388" t="s">
        <v>5</v>
      </c>
      <c r="C21" s="357"/>
      <c r="D21" s="118"/>
      <c r="E21" s="353"/>
      <c r="F21" s="354"/>
      <c r="G21" s="355"/>
      <c r="H21" s="4"/>
    </row>
    <row r="22" spans="1:11" ht="13.5" thickBot="1" x14ac:dyDescent="0.25">
      <c r="B22" s="392" t="s">
        <v>5</v>
      </c>
      <c r="C22" s="366"/>
      <c r="D22" s="119"/>
      <c r="E22" s="367"/>
      <c r="F22" s="368"/>
      <c r="G22" s="369"/>
      <c r="H22" s="4"/>
    </row>
    <row r="23" spans="1:11" ht="16.5" thickBot="1" x14ac:dyDescent="0.3">
      <c r="B23" s="373" t="s">
        <v>115</v>
      </c>
      <c r="C23" s="374"/>
      <c r="D23" s="374"/>
      <c r="E23" s="374"/>
      <c r="F23" s="375"/>
      <c r="G23" s="47">
        <f>SUM(D17:D22)</f>
        <v>0</v>
      </c>
      <c r="H23" s="29"/>
    </row>
    <row r="24" spans="1:11" ht="6" customHeight="1" thickBot="1" x14ac:dyDescent="0.3">
      <c r="A24" s="62"/>
      <c r="B24" s="210"/>
      <c r="C24" s="210"/>
      <c r="D24" s="210"/>
      <c r="E24" s="210"/>
      <c r="F24" s="210"/>
      <c r="G24" s="211"/>
      <c r="H24" s="147"/>
    </row>
    <row r="25" spans="1:11" ht="15.75" thickBot="1" x14ac:dyDescent="0.25">
      <c r="A25" s="62"/>
      <c r="B25" s="397" t="s">
        <v>210</v>
      </c>
      <c r="C25" s="398"/>
      <c r="D25" s="398"/>
      <c r="E25" s="398"/>
      <c r="F25" s="398"/>
      <c r="G25" s="399"/>
      <c r="H25" s="147"/>
    </row>
    <row r="26" spans="1:11" ht="15.75" x14ac:dyDescent="0.25">
      <c r="A26" s="62"/>
      <c r="B26" s="400" t="s">
        <v>211</v>
      </c>
      <c r="C26" s="401"/>
      <c r="D26" s="401"/>
      <c r="E26" s="401"/>
      <c r="F26" s="401"/>
      <c r="G26" s="233">
        <f>ESS_Amount-ESS_Purchases</f>
        <v>0</v>
      </c>
      <c r="H26" s="147"/>
    </row>
    <row r="27" spans="1:11" ht="16.5" thickBot="1" x14ac:dyDescent="0.3">
      <c r="A27" s="62"/>
      <c r="B27" s="402" t="s">
        <v>212</v>
      </c>
      <c r="C27" s="403"/>
      <c r="D27" s="403"/>
      <c r="E27" s="403"/>
      <c r="F27" s="403"/>
      <c r="G27" s="234">
        <f>ESSforSC/SCS_Rate</f>
        <v>0</v>
      </c>
      <c r="H27" s="147"/>
      <c r="I27" s="1" t="s">
        <v>182</v>
      </c>
      <c r="J27" s="1">
        <f>SUTA</f>
        <v>0</v>
      </c>
    </row>
    <row r="28" spans="1:11" ht="16.5" thickBot="1" x14ac:dyDescent="0.3">
      <c r="A28" s="62"/>
      <c r="B28" s="404" t="s">
        <v>213</v>
      </c>
      <c r="C28" s="405"/>
      <c r="D28" s="405"/>
      <c r="E28" s="405"/>
      <c r="F28" s="406"/>
      <c r="G28" s="229"/>
      <c r="H28" s="147"/>
      <c r="J28" s="237"/>
    </row>
    <row r="29" spans="1:11" ht="15.75" thickBot="1" x14ac:dyDescent="0.3">
      <c r="A29" s="62"/>
      <c r="B29" s="407" t="s">
        <v>214</v>
      </c>
      <c r="C29" s="408"/>
      <c r="D29" s="408"/>
      <c r="E29" s="408"/>
      <c r="F29" s="409"/>
      <c r="G29" s="230">
        <f>IF((Auth_SC_Amt&gt;ESSforSC),ESSforSC,Auth_SC_Amt)</f>
        <v>0</v>
      </c>
      <c r="H29" s="147"/>
    </row>
    <row r="30" spans="1:11" ht="15" thickBot="1" x14ac:dyDescent="0.25">
      <c r="A30" s="62"/>
      <c r="B30" s="346" t="s">
        <v>215</v>
      </c>
      <c r="C30" s="347"/>
      <c r="D30" s="347"/>
      <c r="E30" s="347"/>
      <c r="F30" s="348"/>
      <c r="G30" s="231">
        <f>IF((Auth_SC_Amt-ESSforSC)&gt;0,(Auth_SC_Amt-ESSforSC),0)</f>
        <v>0</v>
      </c>
      <c r="H30" s="147"/>
      <c r="I30" s="1" t="s">
        <v>218</v>
      </c>
      <c r="J30" s="235">
        <v>15.37</v>
      </c>
    </row>
    <row r="31" spans="1:11" ht="15" thickBot="1" x14ac:dyDescent="0.25">
      <c r="A31" s="62"/>
      <c r="B31" s="346" t="s">
        <v>220</v>
      </c>
      <c r="C31" s="347"/>
      <c r="D31" s="347"/>
      <c r="E31" s="347"/>
      <c r="F31" s="348"/>
      <c r="G31" s="236">
        <f>SC_funded_by_ESS+SC_Funded_Outside_ESS</f>
        <v>0</v>
      </c>
      <c r="H31" s="147"/>
      <c r="I31" s="1" t="s">
        <v>219</v>
      </c>
      <c r="J31" s="1">
        <f>SC_Units*SCS_Rate</f>
        <v>0</v>
      </c>
    </row>
    <row r="32" spans="1:11" s="62" customFormat="1" ht="15.75" thickBot="1" x14ac:dyDescent="0.3">
      <c r="B32" s="425" t="s">
        <v>221</v>
      </c>
      <c r="C32" s="426"/>
      <c r="D32" s="426"/>
      <c r="E32" s="426"/>
      <c r="F32" s="427"/>
      <c r="G32" s="230">
        <f>IF(Subtotal&gt;=SUTA_Max,((FUTA_Max*FUTA)+(SUTA_Max*SUTA)+(Subtotal*FICA)+(Subtotal*Medicare)),IF(Subtotal&gt;=FUTA_Max,((FUTA_Max*FUTA)+(Subtotal*SUTA)+(Subtotal*FICA)+(Subtotal*Medicare)),IF(Subtotal&lt;FUTA_Max,(Subtotal*Total_Tax))))</f>
        <v>0</v>
      </c>
      <c r="H32" s="147"/>
      <c r="I32" s="424" t="s">
        <v>85</v>
      </c>
      <c r="J32" s="424"/>
      <c r="K32" s="66">
        <f>FUTA_Max</f>
        <v>7000</v>
      </c>
    </row>
    <row r="33" spans="1:11" s="62" customFormat="1" ht="15" thickBot="1" x14ac:dyDescent="0.25">
      <c r="B33" s="346" t="s">
        <v>216</v>
      </c>
      <c r="C33" s="347"/>
      <c r="D33" s="347"/>
      <c r="E33" s="347"/>
      <c r="F33" s="348"/>
      <c r="G33" s="231">
        <f>SC_funded_by_ESS+SC_Funded_Outside_ESS+SCTax</f>
        <v>0</v>
      </c>
      <c r="H33" s="147"/>
      <c r="I33" s="424" t="s">
        <v>88</v>
      </c>
      <c r="J33" s="424"/>
      <c r="K33" s="66">
        <f>SUTA_Max</f>
        <v>9000</v>
      </c>
    </row>
    <row r="34" spans="1:11" ht="15.75" thickBot="1" x14ac:dyDescent="0.3">
      <c r="A34" s="62"/>
      <c r="B34" s="349" t="s">
        <v>217</v>
      </c>
      <c r="C34" s="350"/>
      <c r="D34" s="350"/>
      <c r="E34" s="350"/>
      <c r="F34" s="351"/>
      <c r="G34" s="232">
        <f>ESS_Purchases+Total_SCS</f>
        <v>0</v>
      </c>
      <c r="H34" s="147"/>
      <c r="I34" s="11"/>
    </row>
    <row r="35" spans="1:11" ht="16.5" thickBot="1" x14ac:dyDescent="0.3">
      <c r="A35" s="62"/>
      <c r="B35" s="90"/>
      <c r="C35" s="90"/>
      <c r="D35" s="90"/>
      <c r="E35" s="90"/>
      <c r="F35" s="90"/>
      <c r="G35" s="228"/>
      <c r="H35" s="147"/>
      <c r="I35" s="11"/>
      <c r="J35" s="12" t="s">
        <v>86</v>
      </c>
      <c r="K35" s="67">
        <f>FUTA</f>
        <v>8.0000000000000002E-3</v>
      </c>
    </row>
    <row r="36" spans="1:11" ht="19.5" thickBot="1" x14ac:dyDescent="0.35">
      <c r="A36" s="62"/>
      <c r="B36" s="360" t="s">
        <v>119</v>
      </c>
      <c r="C36" s="361"/>
      <c r="D36" s="378"/>
      <c r="E36" s="378"/>
      <c r="F36" s="378"/>
      <c r="G36" s="379"/>
      <c r="H36" s="147"/>
      <c r="I36" s="11"/>
      <c r="J36" s="12" t="s">
        <v>15</v>
      </c>
      <c r="K36" s="68">
        <f>FICA</f>
        <v>6.2E-2</v>
      </c>
    </row>
    <row r="37" spans="1:11" ht="16.5" thickBot="1" x14ac:dyDescent="0.3">
      <c r="A37" s="62"/>
      <c r="B37" s="115" t="s">
        <v>120</v>
      </c>
      <c r="C37" s="116"/>
      <c r="D37" s="286"/>
      <c r="E37" s="287"/>
      <c r="F37" s="287"/>
      <c r="G37" s="342"/>
      <c r="H37" s="147"/>
      <c r="I37" s="11"/>
      <c r="J37" s="12"/>
      <c r="K37" s="68"/>
    </row>
    <row r="38" spans="1:11" ht="15.75" x14ac:dyDescent="0.25">
      <c r="A38" s="62"/>
      <c r="B38" s="343" t="s">
        <v>127</v>
      </c>
      <c r="C38" s="344"/>
      <c r="D38" s="345"/>
      <c r="E38" s="345"/>
      <c r="F38" s="345"/>
      <c r="G38" s="145"/>
      <c r="H38" s="147"/>
      <c r="I38" s="105"/>
      <c r="J38" s="12" t="s">
        <v>16</v>
      </c>
      <c r="K38" s="68">
        <f>Medicare</f>
        <v>1.4500000000000001E-2</v>
      </c>
    </row>
    <row r="39" spans="1:11" ht="16.5" thickBot="1" x14ac:dyDescent="0.3">
      <c r="A39" s="62"/>
      <c r="B39" s="343" t="s">
        <v>128</v>
      </c>
      <c r="C39" s="344"/>
      <c r="D39" s="344"/>
      <c r="E39" s="344"/>
      <c r="F39" s="344"/>
      <c r="G39" s="146"/>
      <c r="H39" s="147"/>
      <c r="I39" s="11"/>
      <c r="J39" s="36" t="s">
        <v>130</v>
      </c>
      <c r="K39" s="121">
        <f>Total_Tax</f>
        <v>8.4500000000000006E-2</v>
      </c>
    </row>
    <row r="40" spans="1:11" ht="16.5" thickBot="1" x14ac:dyDescent="0.3">
      <c r="A40" s="62"/>
      <c r="B40" s="380" t="s">
        <v>121</v>
      </c>
      <c r="C40" s="381"/>
      <c r="D40" s="381"/>
      <c r="E40" s="381"/>
      <c r="F40" s="382"/>
      <c r="G40" s="117">
        <f>G39*G38</f>
        <v>0</v>
      </c>
      <c r="H40" s="147"/>
    </row>
    <row r="41" spans="1:11" ht="16.5" thickBot="1" x14ac:dyDescent="0.3">
      <c r="A41" s="62"/>
      <c r="B41" s="90"/>
      <c r="C41" s="90"/>
      <c r="D41" s="90"/>
      <c r="E41" s="90"/>
      <c r="F41" s="90"/>
      <c r="G41" s="228"/>
      <c r="H41" s="147"/>
    </row>
    <row r="42" spans="1:11" ht="19.5" thickBot="1" x14ac:dyDescent="0.35">
      <c r="A42" s="62"/>
      <c r="B42" s="389" t="s">
        <v>125</v>
      </c>
      <c r="C42" s="390"/>
      <c r="D42" s="390"/>
      <c r="E42" s="390"/>
      <c r="F42" s="390"/>
      <c r="G42" s="391"/>
      <c r="H42" s="147"/>
    </row>
    <row r="43" spans="1:11" x14ac:dyDescent="0.2">
      <c r="A43" s="62"/>
      <c r="B43" s="395" t="s">
        <v>124</v>
      </c>
      <c r="C43" s="396"/>
      <c r="D43" s="396"/>
      <c r="E43" s="396"/>
      <c r="F43" s="396"/>
      <c r="G43" s="77">
        <f>Total_Budget-TOTAL_ESS_SCS-TotalOHR</f>
        <v>0</v>
      </c>
      <c r="H43" s="147"/>
    </row>
    <row r="44" spans="1:11" ht="13.5" thickBot="1" x14ac:dyDescent="0.25">
      <c r="A44" s="62"/>
      <c r="B44" s="376"/>
      <c r="C44" s="377"/>
      <c r="D44" s="144" t="s">
        <v>19</v>
      </c>
      <c r="E44" s="370" t="s">
        <v>20</v>
      </c>
      <c r="F44" s="371"/>
      <c r="G44" s="372"/>
      <c r="H44" s="147"/>
    </row>
    <row r="45" spans="1:11" x14ac:dyDescent="0.2">
      <c r="A45" s="62"/>
      <c r="B45" s="393" t="s">
        <v>23</v>
      </c>
      <c r="C45" s="394"/>
      <c r="D45" s="52"/>
      <c r="E45" s="385"/>
      <c r="F45" s="386"/>
      <c r="G45" s="387"/>
      <c r="H45" s="147"/>
    </row>
    <row r="46" spans="1:11" ht="13.5" thickBot="1" x14ac:dyDescent="0.25">
      <c r="A46" s="62"/>
      <c r="B46" s="358" t="s">
        <v>4</v>
      </c>
      <c r="C46" s="359"/>
      <c r="D46" s="52"/>
      <c r="E46" s="353"/>
      <c r="F46" s="354"/>
      <c r="G46" s="355"/>
      <c r="H46" s="147"/>
    </row>
    <row r="47" spans="1:11" x14ac:dyDescent="0.2">
      <c r="A47" s="62"/>
      <c r="B47" s="356" t="s">
        <v>5</v>
      </c>
      <c r="C47" s="357"/>
      <c r="D47" s="53"/>
      <c r="E47" s="353"/>
      <c r="F47" s="354"/>
      <c r="G47" s="355"/>
      <c r="H47" s="147"/>
    </row>
    <row r="48" spans="1:11" ht="13.5" thickBot="1" x14ac:dyDescent="0.25">
      <c r="A48" s="62"/>
      <c r="B48" s="365" t="s">
        <v>5</v>
      </c>
      <c r="C48" s="366"/>
      <c r="D48" s="54"/>
      <c r="E48" s="367"/>
      <c r="F48" s="368"/>
      <c r="G48" s="369"/>
      <c r="H48" s="147"/>
    </row>
    <row r="49" spans="1:8" ht="16.5" thickBot="1" x14ac:dyDescent="0.3">
      <c r="A49" s="62"/>
      <c r="B49" s="362" t="s">
        <v>64</v>
      </c>
      <c r="C49" s="363"/>
      <c r="D49" s="363"/>
      <c r="E49" s="363"/>
      <c r="F49" s="364"/>
      <c r="G49" s="48">
        <f>SUM(D45:D48)</f>
        <v>0</v>
      </c>
      <c r="H49" s="147"/>
    </row>
    <row r="50" spans="1:8" ht="13.5" thickBot="1" x14ac:dyDescent="0.25">
      <c r="A50" s="62"/>
      <c r="B50" s="5"/>
      <c r="C50" s="4"/>
      <c r="D50" s="4"/>
      <c r="E50" s="4"/>
      <c r="F50" s="4"/>
      <c r="G50" s="29"/>
      <c r="H50" s="147"/>
    </row>
    <row r="51" spans="1:8" ht="19.5" thickBot="1" x14ac:dyDescent="0.35">
      <c r="A51" s="62"/>
      <c r="B51" s="360" t="s">
        <v>63</v>
      </c>
      <c r="C51" s="361"/>
      <c r="D51" s="361"/>
      <c r="E51" s="361"/>
      <c r="F51" s="361"/>
      <c r="G51" s="98">
        <f>Total_Budget-TOTAL_ESS_SCS-TotalOHR-Non_Taxable</f>
        <v>0</v>
      </c>
      <c r="H51" s="147"/>
    </row>
    <row r="52" spans="1:8" x14ac:dyDescent="0.2">
      <c r="H52" s="31"/>
    </row>
    <row r="53" spans="1:8" ht="13.5" customHeight="1" x14ac:dyDescent="0.2">
      <c r="D53" s="76"/>
      <c r="H53" s="31"/>
    </row>
    <row r="54" spans="1:8" ht="13.5" customHeight="1" x14ac:dyDescent="0.2">
      <c r="D54" s="76"/>
      <c r="H54" s="4"/>
    </row>
    <row r="55" spans="1:8" x14ac:dyDescent="0.2">
      <c r="H55" s="4"/>
    </row>
    <row r="56" spans="1:8" x14ac:dyDescent="0.2">
      <c r="D56" s="76"/>
      <c r="H56" s="4"/>
    </row>
    <row r="57" spans="1:8" x14ac:dyDescent="0.2">
      <c r="H57" s="4"/>
    </row>
    <row r="58" spans="1:8" x14ac:dyDescent="0.2">
      <c r="H58" s="4"/>
    </row>
    <row r="59" spans="1:8" x14ac:dyDescent="0.2">
      <c r="H59" s="29"/>
    </row>
    <row r="60" spans="1:8" x14ac:dyDescent="0.2">
      <c r="H60" s="29"/>
    </row>
    <row r="61" spans="1:8" x14ac:dyDescent="0.2">
      <c r="H61" s="29"/>
    </row>
    <row r="62" spans="1:8" x14ac:dyDescent="0.2">
      <c r="H62" s="32"/>
    </row>
  </sheetData>
  <sheetProtection password="E7F0" sheet="1" objects="1" scenarios="1"/>
  <customSheetViews>
    <customSheetView guid="{346F6C38-467E-4277-A934-45FBB069E11D}" scale="130" printArea="1" showRuler="0" topLeftCell="A32">
      <selection activeCell="C46" sqref="C46:E46"/>
      <pageMargins left="0.2" right="0.2" top="0.75" bottom="0.25" header="0" footer="0.25"/>
      <printOptions horizontalCentered="1"/>
      <pageSetup orientation="portrait" r:id="rId1"/>
      <headerFooter alignWithMargins="0">
        <oddHeader>&amp;L&amp;8Texas Department
of Human Services&amp;R&amp;8Form 1546, page 4
January 2002</oddHeader>
      </headerFooter>
    </customSheetView>
    <customSheetView guid="{454ECA60-FBCC-11D6-AB9B-00C04F5868C8}" scale="75" showPageBreaks="1" printArea="1" showRuler="0">
      <selection activeCell="F13" sqref="F13"/>
      <pageMargins left="0.2" right="0.2" top="0.75" bottom="0.25" header="0" footer="0.25"/>
      <printOptions horizontalCentered="1"/>
      <pageSetup orientation="portrait" r:id="rId2"/>
      <headerFooter alignWithMargins="0">
        <oddHeader>&amp;L&amp;8Texas Department
of Human Services&amp;R&amp;8Form 1546, page 4
January 2002</oddHeader>
      </headerFooter>
    </customSheetView>
  </customSheetViews>
  <mergeCells count="56">
    <mergeCell ref="I32:J32"/>
    <mergeCell ref="I33:J33"/>
    <mergeCell ref="B32:F32"/>
    <mergeCell ref="B31:F31"/>
    <mergeCell ref="B18:C18"/>
    <mergeCell ref="B10:F10"/>
    <mergeCell ref="E18:G18"/>
    <mergeCell ref="B17:C17"/>
    <mergeCell ref="E17:G17"/>
    <mergeCell ref="B15:F15"/>
    <mergeCell ref="B16:C16"/>
    <mergeCell ref="B12:F12"/>
    <mergeCell ref="B14:G14"/>
    <mergeCell ref="E16:G16"/>
    <mergeCell ref="E45:G45"/>
    <mergeCell ref="E46:G46"/>
    <mergeCell ref="E19:G19"/>
    <mergeCell ref="B21:C21"/>
    <mergeCell ref="B20:C20"/>
    <mergeCell ref="B42:G42"/>
    <mergeCell ref="B22:C22"/>
    <mergeCell ref="B19:C19"/>
    <mergeCell ref="B43:F43"/>
    <mergeCell ref="B45:C45"/>
    <mergeCell ref="B39:F39"/>
    <mergeCell ref="B25:G25"/>
    <mergeCell ref="B26:F26"/>
    <mergeCell ref="B27:F27"/>
    <mergeCell ref="B28:F28"/>
    <mergeCell ref="B29:F29"/>
    <mergeCell ref="B2:G2"/>
    <mergeCell ref="B3:G3"/>
    <mergeCell ref="E5:G5"/>
    <mergeCell ref="E6:G6"/>
    <mergeCell ref="B5:C5"/>
    <mergeCell ref="F8:G8"/>
    <mergeCell ref="E47:G47"/>
    <mergeCell ref="B47:C47"/>
    <mergeCell ref="B46:C46"/>
    <mergeCell ref="B51:F51"/>
    <mergeCell ref="B49:F49"/>
    <mergeCell ref="B48:C48"/>
    <mergeCell ref="E48:G48"/>
    <mergeCell ref="E44:G44"/>
    <mergeCell ref="E20:G20"/>
    <mergeCell ref="E21:G21"/>
    <mergeCell ref="E22:G22"/>
    <mergeCell ref="B23:F23"/>
    <mergeCell ref="B44:C44"/>
    <mergeCell ref="B36:G36"/>
    <mergeCell ref="B40:F40"/>
    <mergeCell ref="D37:G37"/>
    <mergeCell ref="B38:F38"/>
    <mergeCell ref="B30:F30"/>
    <mergeCell ref="B33:F33"/>
    <mergeCell ref="B34:F34"/>
  </mergeCells>
  <phoneticPr fontId="0" type="noConversion"/>
  <dataValidations xWindow="533" yWindow="144" count="18">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Copies &amp; Mailing" prompt="Enter the amount the client is estimated to spend on Copies &amp; Mailing pertaining to his Personal Assistance Services.  Leave this cell blank if the client anticipates no expenses in this category." sqref="D19">
      <formula1>IF(G23&lt;=G15,G23,IF(G23&gt;G15,FALSE))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Equipment &amp; Supplies" prompt="Enter the amount the client is estimated to spend on Equipment &amp; Supplies pertaining to his Personal Assistance Services.  Leave this cell blank if the client anticipates no expenses in this category." sqref="D18">
      <formula1>IF(G23&lt;=G15,G23,IF(G23&gt;G15,FALSE))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Advertising" prompt="Enter the amount the client is estimated to spend on Advertising pertaining to his Personal Assistance Services.  Leave this cell blank if the client anticipates no expenses in this category." sqref="D17">
      <formula1>IF(G23&lt;=G15,G23,IF(G23&gt;G15,FALSE))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Other Administrative Costs" prompt="If you are entering an amount in this cell, be sure to identify the type of Administrative Cost in the cell to the left." sqref="D22">
      <formula1>IF(G23&lt;=G15,G23,IF(G23&gt;G15,FALSE))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Criminal History Check" prompt="Enter the amount the client is estimated to spend on Criminal History Checks pertaining to his Personal Assistance Services.  Leave this cell blank if the client anticipates no expenses in this category." sqref="D20">
      <formula1>IF(G23&lt;=G15,G23,IF(G23&gt;G15,FALSE))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Other Administrative Costs" prompt="If you are entering an amount in this cell, be sure to identify the type of Administrative Cost in the cell to the left." sqref="D21">
      <formula1>IF(G23&lt;=G15,G23,IF(G23&gt;G15,FALSE))</formula1>
    </dataValidation>
    <dataValidation type="custom" allowBlank="1" showInputMessage="1" errorTitle="Excess ESS Costs" error="You have exceeded the maximum amount allowed for Employer Support Services.  Please verify your entries." sqref="G34">
      <formula1>IF(G34&lt;=G18,G34,IF(G34&gt;G18,FALSE))</formula1>
    </dataValidation>
    <dataValidation allowBlank="1" showInputMessage="1" promptTitle="Other Compensation Costs" prompt="Enter the annual amount the Consumer estimates he would spend on any other Non-Taxable Compensation Costs.  Leave this cell blank if the Consumer does have expenses in this category." sqref="D47:D48"/>
    <dataValidation allowBlank="1" showInputMessage="1" promptTitle="Health Insurance" prompt="Enter the annual amount the Consumer estimates spending for Health Insurance premiums.  Leave this cell blank if the Consumer does not have expenses in this category." sqref="D45"/>
    <dataValidation allowBlank="1" showInputMessage="1" promptTitle="Workers' Comp &amp; Liability" prompt="Enter the annual amount the Consumer estimates spending for Workers' Compensation or Liability Insurance premiums.  Leave this cell blank if the Consumer does not have expenses in this category." sqref="D46"/>
    <dataValidation allowBlank="1" showInputMessage="1" showErrorMessage="1" promptTitle="Other Compensation Costs" prompt="If the employer has Compensation Costs other than those listed above, give a description of the type of Compensation Cost in this cell." sqref="B47:C48"/>
    <dataValidation allowBlank="1" showInputMessage="1" showErrorMessage="1" promptTitle="Comments" prompt="Enter any comments to help further identify any entries in this category." sqref="E45:E48 E17:E22"/>
    <dataValidation allowBlank="1" showInputMessage="1" showErrorMessage="1" promptTitle="Out-of-Home Respite Facility" prompt="Enter the name of the Out-of-Home Respite provider." sqref="D37:G37"/>
    <dataValidation allowBlank="1" showInputMessage="1" showErrorMessage="1" promptTitle="Number Out-of-Home Respite Units" prompt="Enter the number of Out-of-Home Respite units the respite provider is delivering." sqref="G38"/>
    <dataValidation allowBlank="1" showInputMessage="1" showErrorMessage="1" promptTitle="Negotiated Rate" prompt="Enter the Out-of-Home Respite rate the Consumer has negotiated." sqref="G39"/>
    <dataValidation type="custom" allowBlank="1" showInputMessage="1" sqref="G29 G32">
      <formula1>"if(G29&lt;=G12,G29),if(g29&gt;g12,g12))"</formula1>
    </dataValidation>
    <dataValidation allowBlank="1" showInputMessage="1" showErrorMessage="1" promptTitle="Other Administrative Costs" prompt="If the Consumer has Administrative Costs other than those listed above, give a description of the type of Administrative Cost in this cell." sqref="B21:C22"/>
    <dataValidation allowBlank="1" showErrorMessage="1" promptTitle="Information Only Page" prompt="This page is for Information only.  It is not a part of the Client's budget." sqref="B2:G2"/>
  </dataValidations>
  <printOptions horizontalCentered="1"/>
  <pageMargins left="0.2" right="0.2" top="0.75" bottom="0.25" header="0" footer="0.25"/>
  <pageSetup orientation="portrait" r:id="rId3"/>
  <headerFooter alignWithMargins="0">
    <oddHeader>&amp;L&amp;8Texas Department of 
Aging and Disability Services&amp;R&amp;8DBMD CDS Budget
May 2010</oddHeader>
    <oddFooter>&amp;R&amp;8Date and Time Created
&amp;D &amp;T</oddFooter>
  </headerFooter>
  <ignoredErrors>
    <ignoredError sqref="G23 G49"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5"/>
  <sheetViews>
    <sheetView tabSelected="1" zoomScale="84" zoomScaleNormal="84" zoomScaleSheetLayoutView="50" workbookViewId="0">
      <selection activeCell="L5" sqref="L5"/>
    </sheetView>
  </sheetViews>
  <sheetFormatPr defaultRowHeight="12.75" x14ac:dyDescent="0.2"/>
  <cols>
    <col min="1" max="1" width="4" style="1" customWidth="1"/>
    <col min="2" max="2" width="3.140625" style="1" customWidth="1"/>
    <col min="3" max="3" width="17.42578125" style="1" customWidth="1"/>
    <col min="4" max="4" width="10.5703125" style="1" customWidth="1"/>
    <col min="5" max="5" width="9.5703125" style="1" customWidth="1"/>
    <col min="6" max="7" width="10.28515625" style="1" customWidth="1"/>
    <col min="8" max="8" width="10" style="1" customWidth="1"/>
    <col min="9" max="9" width="11.7109375" style="1" customWidth="1"/>
    <col min="10" max="10" width="12.140625" style="1" customWidth="1"/>
    <col min="11" max="11" width="13" style="1" customWidth="1"/>
    <col min="12" max="12" width="16" style="1" customWidth="1"/>
    <col min="13" max="13" width="3.7109375" style="1" customWidth="1"/>
    <col min="14" max="14" width="10.85546875" style="76" hidden="1" customWidth="1"/>
    <col min="15" max="15" width="14.42578125" style="1" hidden="1" customWidth="1"/>
    <col min="16" max="16" width="16.140625" style="1" hidden="1" customWidth="1"/>
    <col min="17" max="17" width="11.7109375" style="1" hidden="1" customWidth="1"/>
    <col min="18" max="16384" width="9.140625" style="1"/>
  </cols>
  <sheetData>
    <row r="1" spans="1:17" ht="45" customHeight="1" x14ac:dyDescent="0.2">
      <c r="A1" s="243"/>
      <c r="B1" s="279" t="s">
        <v>226</v>
      </c>
      <c r="C1" s="279"/>
      <c r="D1" s="279"/>
      <c r="E1" s="279"/>
      <c r="F1" s="279"/>
      <c r="G1" s="279"/>
      <c r="H1" s="279"/>
      <c r="I1" s="279"/>
      <c r="J1" s="279"/>
      <c r="K1" s="279"/>
      <c r="L1" s="279"/>
      <c r="M1" s="142"/>
      <c r="N1" s="96"/>
      <c r="O1" s="62"/>
      <c r="P1" s="1" t="s">
        <v>245</v>
      </c>
    </row>
    <row r="2" spans="1:17" ht="20.25" customHeight="1" x14ac:dyDescent="0.25">
      <c r="B2" s="280" t="s">
        <v>143</v>
      </c>
      <c r="C2" s="280"/>
      <c r="D2" s="280"/>
      <c r="E2" s="280"/>
      <c r="F2" s="280"/>
      <c r="G2" s="280"/>
      <c r="H2" s="280"/>
      <c r="I2" s="280"/>
      <c r="J2" s="280"/>
      <c r="K2" s="280"/>
      <c r="L2" s="280"/>
      <c r="M2" s="19"/>
      <c r="P2" s="1" t="s">
        <v>97</v>
      </c>
    </row>
    <row r="3" spans="1:17" ht="6.75" customHeight="1" x14ac:dyDescent="0.25">
      <c r="C3" s="19"/>
      <c r="D3" s="19"/>
      <c r="E3" s="19"/>
      <c r="F3" s="19"/>
      <c r="G3" s="19"/>
      <c r="H3" s="19"/>
      <c r="I3" s="19"/>
      <c r="J3" s="19"/>
      <c r="K3" s="19"/>
      <c r="L3" s="19"/>
      <c r="M3" s="19"/>
      <c r="P3" s="1" t="s">
        <v>246</v>
      </c>
    </row>
    <row r="4" spans="1:17" ht="15.75" thickBot="1" x14ac:dyDescent="0.3">
      <c r="C4" s="305">
        <f>Consumer_Name</f>
        <v>0</v>
      </c>
      <c r="D4" s="305"/>
      <c r="E4" s="305"/>
      <c r="F4" s="305"/>
      <c r="G4" s="19"/>
      <c r="H4" s="19"/>
      <c r="K4" s="20">
        <f>Medicaid_Number</f>
        <v>0</v>
      </c>
      <c r="L4" s="26"/>
      <c r="M4" s="26"/>
      <c r="P4" s="1" t="s">
        <v>247</v>
      </c>
    </row>
    <row r="5" spans="1:17" ht="14.25" x14ac:dyDescent="0.2">
      <c r="C5" s="306" t="s">
        <v>37</v>
      </c>
      <c r="D5" s="306"/>
      <c r="E5" s="306"/>
      <c r="F5" s="306"/>
      <c r="G5" s="21"/>
      <c r="H5" s="21"/>
      <c r="K5" s="27" t="s">
        <v>38</v>
      </c>
      <c r="L5" s="28"/>
      <c r="M5" s="28"/>
    </row>
    <row r="6" spans="1:17" ht="8.25" customHeight="1" x14ac:dyDescent="0.2">
      <c r="C6" s="21"/>
      <c r="D6" s="21"/>
      <c r="E6" s="21"/>
      <c r="F6" s="21"/>
      <c r="G6" s="21"/>
      <c r="H6" s="21"/>
      <c r="I6" s="21"/>
      <c r="J6" s="21"/>
      <c r="K6" s="28"/>
      <c r="L6" s="28"/>
      <c r="M6" s="28"/>
    </row>
    <row r="7" spans="1:17" ht="15.75" thickBot="1" x14ac:dyDescent="0.3">
      <c r="F7" s="22" t="s">
        <v>6</v>
      </c>
      <c r="G7" s="352">
        <f>From</f>
        <v>0</v>
      </c>
      <c r="H7" s="352"/>
      <c r="I7" s="148" t="s">
        <v>7</v>
      </c>
      <c r="J7" s="352">
        <f>To</f>
        <v>0</v>
      </c>
      <c r="K7" s="352"/>
    </row>
    <row r="8" spans="1:17" ht="12" customHeight="1" thickBot="1" x14ac:dyDescent="0.3">
      <c r="C8" s="22"/>
      <c r="D8" s="22"/>
      <c r="E8" s="22"/>
      <c r="F8" s="21"/>
      <c r="G8" s="21"/>
      <c r="H8" s="21"/>
      <c r="I8" s="23"/>
      <c r="J8" s="23"/>
      <c r="K8" s="19"/>
      <c r="L8" s="19"/>
      <c r="M8" s="19"/>
      <c r="P8" s="11"/>
      <c r="Q8" s="11"/>
    </row>
    <row r="9" spans="1:17" ht="19.5" customHeight="1" thickBot="1" x14ac:dyDescent="0.35">
      <c r="B9" s="360" t="s">
        <v>40</v>
      </c>
      <c r="C9" s="361"/>
      <c r="D9" s="361"/>
      <c r="E9" s="361"/>
      <c r="F9" s="361"/>
      <c r="G9" s="361"/>
      <c r="H9" s="361"/>
      <c r="I9" s="361"/>
      <c r="J9" s="361"/>
      <c r="K9" s="361"/>
      <c r="L9" s="456"/>
      <c r="M9" s="102"/>
      <c r="O9" s="424" t="s">
        <v>85</v>
      </c>
      <c r="P9" s="424"/>
      <c r="Q9" s="66">
        <v>7000</v>
      </c>
    </row>
    <row r="10" spans="1:17" ht="16.5" customHeight="1" x14ac:dyDescent="0.2">
      <c r="B10" s="482" t="s">
        <v>65</v>
      </c>
      <c r="C10" s="483"/>
      <c r="D10" s="483"/>
      <c r="E10" s="483"/>
      <c r="F10" s="483"/>
      <c r="G10" s="101">
        <f>Taxable</f>
        <v>0</v>
      </c>
      <c r="H10" s="484" t="s">
        <v>39</v>
      </c>
      <c r="I10" s="481"/>
      <c r="J10" s="481"/>
      <c r="K10" s="481"/>
      <c r="L10" s="71">
        <f>Total_Budget*Q18-Non_Taxable</f>
        <v>0</v>
      </c>
      <c r="M10" s="29"/>
      <c r="O10" s="424" t="s">
        <v>88</v>
      </c>
      <c r="P10" s="424"/>
      <c r="Q10" s="66">
        <v>9000</v>
      </c>
    </row>
    <row r="11" spans="1:17" ht="19.5" customHeight="1" thickBot="1" x14ac:dyDescent="0.3">
      <c r="B11" s="475" t="s">
        <v>66</v>
      </c>
      <c r="C11" s="476"/>
      <c r="D11" s="476"/>
      <c r="E11" s="476"/>
      <c r="F11" s="476"/>
      <c r="G11" s="79">
        <f>SUM(N21,N42,N63,N84,N105,N126,N147,N168,N189,N210,N231,N252,N273,N294,N315)</f>
        <v>0</v>
      </c>
      <c r="H11" s="485" t="s">
        <v>58</v>
      </c>
      <c r="I11" s="485"/>
      <c r="J11" s="485"/>
      <c r="K11" s="486"/>
      <c r="L11" s="65">
        <f>G10-G11</f>
        <v>0</v>
      </c>
      <c r="M11" s="103"/>
      <c r="O11" s="11"/>
    </row>
    <row r="12" spans="1:17" ht="12.75" customHeight="1" thickBot="1" x14ac:dyDescent="0.25">
      <c r="O12" s="11"/>
      <c r="P12" s="12" t="s">
        <v>86</v>
      </c>
      <c r="Q12" s="67">
        <v>8.0000000000000002E-3</v>
      </c>
    </row>
    <row r="13" spans="1:17" ht="19.5" customHeight="1" thickBot="1" x14ac:dyDescent="0.35">
      <c r="B13" s="360" t="s">
        <v>87</v>
      </c>
      <c r="C13" s="361"/>
      <c r="D13" s="361"/>
      <c r="E13" s="361"/>
      <c r="F13" s="361"/>
      <c r="G13" s="361"/>
      <c r="H13" s="361"/>
      <c r="I13" s="361"/>
      <c r="J13" s="361"/>
      <c r="K13" s="361"/>
      <c r="L13" s="456"/>
      <c r="M13" s="102"/>
      <c r="O13" s="11"/>
      <c r="P13" s="12" t="s">
        <v>15</v>
      </c>
      <c r="Q13" s="68">
        <v>6.2E-2</v>
      </c>
    </row>
    <row r="14" spans="1:17" ht="12.75" customHeight="1" x14ac:dyDescent="0.2">
      <c r="B14" s="457" t="s">
        <v>122</v>
      </c>
      <c r="C14" s="458"/>
      <c r="D14" s="458"/>
      <c r="E14" s="458"/>
      <c r="F14" s="458"/>
      <c r="G14" s="458"/>
      <c r="H14" s="458"/>
      <c r="I14" s="463" t="s">
        <v>123</v>
      </c>
      <c r="J14" s="464"/>
      <c r="K14" s="464"/>
      <c r="L14" s="467" t="str">
        <f>IF(G11&gt;=L10,"Yes","No")</f>
        <v>Yes</v>
      </c>
      <c r="M14" s="105"/>
      <c r="N14" s="242"/>
      <c r="O14" s="105"/>
      <c r="P14" s="12" t="s">
        <v>16</v>
      </c>
      <c r="Q14" s="68">
        <v>1.4500000000000001E-2</v>
      </c>
    </row>
    <row r="15" spans="1:17" ht="12.75" customHeight="1" thickBot="1" x14ac:dyDescent="0.25">
      <c r="B15" s="459"/>
      <c r="C15" s="460"/>
      <c r="D15" s="460"/>
      <c r="E15" s="460"/>
      <c r="F15" s="460"/>
      <c r="G15" s="460"/>
      <c r="H15" s="460"/>
      <c r="I15" s="465"/>
      <c r="J15" s="466"/>
      <c r="K15" s="466"/>
      <c r="L15" s="468"/>
      <c r="M15" s="105"/>
      <c r="O15" s="11"/>
      <c r="P15" s="36" t="s">
        <v>130</v>
      </c>
      <c r="Q15" s="121">
        <f>SUM(Q12:Q14)</f>
        <v>8.4500000000000006E-2</v>
      </c>
    </row>
    <row r="16" spans="1:17" ht="12.75" customHeight="1" x14ac:dyDescent="0.2">
      <c r="B16" s="459"/>
      <c r="C16" s="460"/>
      <c r="D16" s="460"/>
      <c r="E16" s="460"/>
      <c r="F16" s="460"/>
      <c r="G16" s="460"/>
      <c r="H16" s="460"/>
      <c r="I16" s="469" t="s">
        <v>59</v>
      </c>
      <c r="J16" s="470"/>
      <c r="K16" s="471"/>
      <c r="L16" s="467" t="str">
        <f>IF(Budget_Balance&gt;=0,"Yes","No")</f>
        <v>Yes</v>
      </c>
      <c r="M16" s="104"/>
    </row>
    <row r="17" spans="2:17" ht="12.75" customHeight="1" thickBot="1" x14ac:dyDescent="0.25">
      <c r="B17" s="461"/>
      <c r="C17" s="462"/>
      <c r="D17" s="462"/>
      <c r="E17" s="462"/>
      <c r="F17" s="462"/>
      <c r="G17" s="462"/>
      <c r="H17" s="462"/>
      <c r="I17" s="472"/>
      <c r="J17" s="473"/>
      <c r="K17" s="474"/>
      <c r="L17" s="468"/>
      <c r="M17" s="105"/>
      <c r="O17" s="11"/>
      <c r="P17" s="11"/>
      <c r="Q17" s="11"/>
    </row>
    <row r="18" spans="2:17" ht="12.75" customHeight="1" thickBot="1" x14ac:dyDescent="0.3">
      <c r="C18" s="22"/>
      <c r="D18" s="22"/>
      <c r="E18" s="22"/>
      <c r="F18" s="21"/>
      <c r="G18" s="21"/>
      <c r="H18" s="21"/>
      <c r="I18" s="23"/>
      <c r="J18" s="23"/>
      <c r="K18" s="19"/>
      <c r="L18" s="19"/>
      <c r="M18" s="19"/>
      <c r="N18" s="487" t="s">
        <v>193</v>
      </c>
      <c r="O18" s="487"/>
      <c r="P18" s="487"/>
      <c r="Q18" s="120">
        <v>0.66359999999999997</v>
      </c>
    </row>
    <row r="19" spans="2:17" ht="19.5" thickBot="1" x14ac:dyDescent="0.35">
      <c r="B19" s="360" t="s">
        <v>194</v>
      </c>
      <c r="C19" s="361"/>
      <c r="D19" s="361"/>
      <c r="E19" s="361"/>
      <c r="F19" s="361"/>
      <c r="G19" s="361"/>
      <c r="H19" s="361"/>
      <c r="I19" s="361"/>
      <c r="J19" s="361"/>
      <c r="K19" s="361"/>
      <c r="L19" s="456"/>
    </row>
    <row r="20" spans="2:17" ht="26.25" thickBot="1" x14ac:dyDescent="0.25">
      <c r="B20" s="445">
        <v>1</v>
      </c>
      <c r="C20" s="149" t="s">
        <v>195</v>
      </c>
      <c r="D20" s="129"/>
      <c r="E20" s="150"/>
      <c r="F20" s="150" t="s">
        <v>47</v>
      </c>
      <c r="G20" s="150" t="s">
        <v>48</v>
      </c>
      <c r="H20" s="128" t="s">
        <v>118</v>
      </c>
      <c r="I20" s="150" t="s">
        <v>53</v>
      </c>
      <c r="J20" s="151" t="s">
        <v>43</v>
      </c>
      <c r="K20" s="152" t="s">
        <v>44</v>
      </c>
      <c r="L20" s="153" t="s">
        <v>45</v>
      </c>
    </row>
    <row r="21" spans="2:17" ht="13.5" thickBot="1" x14ac:dyDescent="0.25">
      <c r="B21" s="446"/>
      <c r="C21" s="448"/>
      <c r="D21" s="449"/>
      <c r="E21" s="450"/>
      <c r="F21" s="106"/>
      <c r="G21" s="107"/>
      <c r="H21" s="154">
        <f>P21</f>
        <v>1</v>
      </c>
      <c r="I21" s="108"/>
      <c r="J21" s="155" t="e">
        <f>(SUM(K25:K30))+(SUM(I35:I39))</f>
        <v>#DIV/0!</v>
      </c>
      <c r="K21" s="156" t="e">
        <f>IF(F22="No",Q23,Q22)</f>
        <v>#DIV/0!</v>
      </c>
      <c r="L21" s="157" t="e">
        <f>SUM(J21:K21)</f>
        <v>#DIV/0!</v>
      </c>
      <c r="N21" s="76">
        <f>IF(ISNUMBER(L21),L21,0)</f>
        <v>0</v>
      </c>
      <c r="O21" s="1">
        <f>(G21-F21)+1</f>
        <v>1</v>
      </c>
      <c r="P21" s="1">
        <f>IF(OR(O21=366,O21=365),52,(ROUNDUP(O21/7,0)))</f>
        <v>1</v>
      </c>
    </row>
    <row r="22" spans="2:17" ht="13.5" thickBot="1" x14ac:dyDescent="0.25">
      <c r="B22" s="446"/>
      <c r="C22" s="477" t="s">
        <v>248</v>
      </c>
      <c r="D22" s="478"/>
      <c r="E22" s="479"/>
      <c r="F22" s="428"/>
      <c r="G22" s="429"/>
      <c r="H22" s="158"/>
      <c r="I22" s="147"/>
      <c r="J22" s="29"/>
      <c r="K22" s="159"/>
      <c r="L22" s="160"/>
      <c r="P22" s="62" t="s">
        <v>243</v>
      </c>
      <c r="Q22" s="62" t="e">
        <f>IF(F22="Exempt all taxes",0,(J21*FICA)+(J21*Medicare))</f>
        <v>#DIV/0!</v>
      </c>
    </row>
    <row r="23" spans="2:17" ht="13.5" thickBot="1" x14ac:dyDescent="0.25">
      <c r="B23" s="446"/>
      <c r="C23" s="451"/>
      <c r="D23" s="452"/>
      <c r="E23" s="452"/>
      <c r="F23" s="452"/>
      <c r="G23" s="452"/>
      <c r="H23" s="452"/>
      <c r="I23" s="452"/>
      <c r="J23" s="452"/>
      <c r="K23" s="452"/>
      <c r="L23" s="453"/>
      <c r="P23" s="62" t="s">
        <v>244</v>
      </c>
      <c r="Q23" s="266" t="e">
        <f>IF(J21&gt;=SUTA_Max,((FUTA_Max*FUTA)+(SUTA_Max*I23)+(J21*FICA)+(J21*Medicare)),IF(J21&gt;=FUTA_Max,((FUTA_Max*FUTA)+(J21*I21)+(J21*FICA)+(J21*Medicare)),IF(J21&lt;FUTA_Max,(J21*(Total_Tax+I21)))))</f>
        <v>#DIV/0!</v>
      </c>
    </row>
    <row r="24" spans="2:17" ht="27" thickBot="1" x14ac:dyDescent="0.3">
      <c r="B24" s="446"/>
      <c r="C24" s="161" t="s">
        <v>54</v>
      </c>
      <c r="D24" s="61"/>
      <c r="E24" s="454"/>
      <c r="F24" s="455"/>
      <c r="G24" s="162" t="s">
        <v>49</v>
      </c>
      <c r="H24" s="163" t="s">
        <v>41</v>
      </c>
      <c r="I24" s="164" t="s">
        <v>46</v>
      </c>
      <c r="J24" s="164" t="s">
        <v>51</v>
      </c>
      <c r="K24" s="165" t="s">
        <v>42</v>
      </c>
      <c r="L24" s="160"/>
    </row>
    <row r="25" spans="2:17" ht="13.5" thickBot="1" x14ac:dyDescent="0.25">
      <c r="B25" s="446"/>
      <c r="C25" s="24"/>
      <c r="D25" s="4"/>
      <c r="E25" s="480" t="s">
        <v>116</v>
      </c>
      <c r="F25" s="481"/>
      <c r="G25" s="70"/>
      <c r="H25" s="181"/>
      <c r="I25" s="166">
        <f>$H$21</f>
        <v>1</v>
      </c>
      <c r="J25" s="167"/>
      <c r="K25" s="168">
        <f>G25*H25*I25</f>
        <v>0</v>
      </c>
      <c r="L25" s="160"/>
      <c r="O25" s="240" t="e">
        <f>(G25/Q27)*H25</f>
        <v>#DIV/0!</v>
      </c>
      <c r="P25" s="62"/>
      <c r="Q25" s="241" t="e">
        <f>SUM(O25:O29)</f>
        <v>#DIV/0!</v>
      </c>
    </row>
    <row r="26" spans="2:17" ht="13.5" thickBot="1" x14ac:dyDescent="0.25">
      <c r="B26" s="446"/>
      <c r="C26" s="24"/>
      <c r="D26" s="4"/>
      <c r="E26" s="488" t="s">
        <v>227</v>
      </c>
      <c r="F26" s="489"/>
      <c r="G26" s="70"/>
      <c r="H26" s="181"/>
      <c r="I26" s="166">
        <f>$H$21</f>
        <v>1</v>
      </c>
      <c r="J26" s="215"/>
      <c r="K26" s="168">
        <f>G26*H26*I26</f>
        <v>0</v>
      </c>
      <c r="L26" s="160"/>
      <c r="O26" s="240" t="e">
        <f>(G26/Q27)*H26</f>
        <v>#DIV/0!</v>
      </c>
      <c r="P26" s="62"/>
      <c r="Q26" s="241"/>
    </row>
    <row r="27" spans="2:17" ht="13.5" thickBot="1" x14ac:dyDescent="0.25">
      <c r="B27" s="446"/>
      <c r="C27" s="24"/>
      <c r="D27" s="4"/>
      <c r="E27" s="488" t="s">
        <v>95</v>
      </c>
      <c r="F27" s="490"/>
      <c r="G27" s="70"/>
      <c r="H27" s="181"/>
      <c r="I27" s="166">
        <f t="shared" ref="I27:I29" si="0">$H$21</f>
        <v>1</v>
      </c>
      <c r="J27" s="215"/>
      <c r="K27" s="168">
        <f>G27*H27*I27</f>
        <v>0</v>
      </c>
      <c r="L27" s="160"/>
      <c r="O27" s="240" t="e">
        <f>(G27/Q27)*H27</f>
        <v>#DIV/0!</v>
      </c>
      <c r="P27" s="62"/>
      <c r="Q27" s="241">
        <f>SUM(G25:G29)</f>
        <v>0</v>
      </c>
    </row>
    <row r="28" spans="2:17" ht="13.5" thickBot="1" x14ac:dyDescent="0.25">
      <c r="B28" s="446"/>
      <c r="C28" s="247"/>
      <c r="D28" s="248"/>
      <c r="E28" s="430" t="s">
        <v>233</v>
      </c>
      <c r="F28" s="431"/>
      <c r="G28" s="70"/>
      <c r="H28" s="181"/>
      <c r="I28" s="166">
        <f t="shared" si="0"/>
        <v>1</v>
      </c>
      <c r="J28" s="257"/>
      <c r="K28" s="168">
        <f t="shared" ref="K28:K29" si="1">G28*H28*I28</f>
        <v>0</v>
      </c>
      <c r="L28" s="160"/>
      <c r="O28" s="240" t="e">
        <f>(G28/Q27)*H28</f>
        <v>#DIV/0!</v>
      </c>
      <c r="P28" s="62"/>
      <c r="Q28" s="241"/>
    </row>
    <row r="29" spans="2:17" ht="13.5" thickBot="1" x14ac:dyDescent="0.25">
      <c r="B29" s="446"/>
      <c r="C29" s="247"/>
      <c r="D29" s="248"/>
      <c r="E29" s="430" t="s">
        <v>234</v>
      </c>
      <c r="F29" s="431"/>
      <c r="G29" s="70"/>
      <c r="H29" s="181"/>
      <c r="I29" s="166">
        <f t="shared" si="0"/>
        <v>1</v>
      </c>
      <c r="J29" s="257"/>
      <c r="K29" s="168">
        <f t="shared" si="1"/>
        <v>0</v>
      </c>
      <c r="L29" s="160"/>
      <c r="O29" s="240" t="e">
        <f>(G29/Q27)*H29</f>
        <v>#DIV/0!</v>
      </c>
      <c r="P29" s="62"/>
      <c r="Q29" s="241"/>
    </row>
    <row r="30" spans="2:17" ht="13.5" thickBot="1" x14ac:dyDescent="0.25">
      <c r="B30" s="446"/>
      <c r="C30" s="24"/>
      <c r="D30" s="4"/>
      <c r="E30" s="432" t="s">
        <v>24</v>
      </c>
      <c r="F30" s="433"/>
      <c r="G30" s="70"/>
      <c r="H30" s="214"/>
      <c r="I30" s="169">
        <f>H21</f>
        <v>1</v>
      </c>
      <c r="J30" s="170" t="e">
        <f>Q25*1.5</f>
        <v>#DIV/0!</v>
      </c>
      <c r="K30" s="171" t="e">
        <f>G30*I30*J30</f>
        <v>#DIV/0!</v>
      </c>
      <c r="L30" s="160"/>
    </row>
    <row r="31" spans="2:17" x14ac:dyDescent="0.2">
      <c r="B31" s="446"/>
      <c r="C31" s="24"/>
      <c r="D31" s="434" t="s">
        <v>145</v>
      </c>
      <c r="E31" s="434"/>
      <c r="F31" s="434"/>
      <c r="G31" s="434"/>
      <c r="H31" s="434"/>
      <c r="I31" s="434"/>
      <c r="J31" s="434"/>
      <c r="K31" s="434"/>
      <c r="L31" s="172"/>
    </row>
    <row r="32" spans="2:17" x14ac:dyDescent="0.2">
      <c r="B32" s="446"/>
      <c r="C32" s="173"/>
      <c r="D32" s="434"/>
      <c r="E32" s="434"/>
      <c r="F32" s="434"/>
      <c r="G32" s="434"/>
      <c r="H32" s="434"/>
      <c r="I32" s="434"/>
      <c r="J32" s="434"/>
      <c r="K32" s="434"/>
      <c r="L32" s="172"/>
    </row>
    <row r="33" spans="2:17" ht="13.5" thickBot="1" x14ac:dyDescent="0.25">
      <c r="B33" s="446"/>
      <c r="C33" s="127"/>
      <c r="D33" s="5"/>
      <c r="E33" s="5"/>
      <c r="F33" s="5"/>
      <c r="G33" s="5"/>
      <c r="H33" s="5"/>
      <c r="I33" s="5"/>
      <c r="J33" s="5"/>
      <c r="K33" s="5"/>
      <c r="L33" s="174"/>
    </row>
    <row r="34" spans="2:17" ht="27" thickBot="1" x14ac:dyDescent="0.3">
      <c r="B34" s="446"/>
      <c r="C34" s="161" t="s">
        <v>55</v>
      </c>
      <c r="D34" s="61"/>
      <c r="E34" s="435"/>
      <c r="F34" s="436"/>
      <c r="G34" s="175" t="s">
        <v>50</v>
      </c>
      <c r="H34" s="176" t="s">
        <v>56</v>
      </c>
      <c r="I34" s="177" t="s">
        <v>42</v>
      </c>
      <c r="J34" s="4"/>
      <c r="K34" s="4"/>
      <c r="L34" s="160"/>
    </row>
    <row r="35" spans="2:17" ht="13.5" thickBot="1" x14ac:dyDescent="0.25">
      <c r="B35" s="446"/>
      <c r="C35" s="127"/>
      <c r="D35" s="4"/>
      <c r="E35" s="437" t="s">
        <v>28</v>
      </c>
      <c r="F35" s="438"/>
      <c r="G35" s="109"/>
      <c r="H35" s="110"/>
      <c r="I35" s="71">
        <f>G35*H35</f>
        <v>0</v>
      </c>
      <c r="J35" s="4"/>
      <c r="K35" s="4"/>
      <c r="L35" s="160"/>
    </row>
    <row r="36" spans="2:17" ht="13.5" thickBot="1" x14ac:dyDescent="0.25">
      <c r="B36" s="446"/>
      <c r="C36" s="127"/>
      <c r="D36" s="4"/>
      <c r="E36" s="439" t="s">
        <v>25</v>
      </c>
      <c r="F36" s="440"/>
      <c r="G36" s="111"/>
      <c r="H36" s="112"/>
      <c r="I36" s="71">
        <f>G36*H36</f>
        <v>0</v>
      </c>
      <c r="J36" s="4"/>
      <c r="K36" s="4"/>
      <c r="L36" s="160"/>
    </row>
    <row r="37" spans="2:17" ht="13.5" thickBot="1" x14ac:dyDescent="0.25">
      <c r="B37" s="446"/>
      <c r="C37" s="127"/>
      <c r="D37" s="4"/>
      <c r="E37" s="439" t="s">
        <v>26</v>
      </c>
      <c r="F37" s="440"/>
      <c r="G37" s="111"/>
      <c r="H37" s="112"/>
      <c r="I37" s="71">
        <f>G37*H37</f>
        <v>0</v>
      </c>
      <c r="J37" s="4"/>
      <c r="K37" s="4"/>
      <c r="L37" s="160"/>
    </row>
    <row r="38" spans="2:17" ht="13.5" thickBot="1" x14ac:dyDescent="0.25">
      <c r="B38" s="446"/>
      <c r="C38" s="127"/>
      <c r="D38" s="4"/>
      <c r="E38" s="441" t="s">
        <v>27</v>
      </c>
      <c r="F38" s="442"/>
      <c r="G38" s="111"/>
      <c r="H38" s="112"/>
      <c r="I38" s="71">
        <f>G38*H38</f>
        <v>0</v>
      </c>
      <c r="J38" s="4"/>
      <c r="K38" s="4"/>
      <c r="L38" s="160"/>
    </row>
    <row r="39" spans="2:17" ht="13.5" thickBot="1" x14ac:dyDescent="0.25">
      <c r="B39" s="447"/>
      <c r="C39" s="178"/>
      <c r="D39" s="9"/>
      <c r="E39" s="443" t="s">
        <v>52</v>
      </c>
      <c r="F39" s="444"/>
      <c r="G39" s="113"/>
      <c r="H39" s="114"/>
      <c r="I39" s="179">
        <f>G39*H39</f>
        <v>0</v>
      </c>
      <c r="J39" s="9"/>
      <c r="K39" s="180"/>
      <c r="L39" s="157"/>
    </row>
    <row r="40" spans="2:17" ht="13.5" thickBot="1" x14ac:dyDescent="0.25">
      <c r="B40" s="258"/>
      <c r="C40" s="259"/>
      <c r="D40" s="260"/>
      <c r="E40" s="261"/>
      <c r="F40" s="261"/>
      <c r="G40" s="262"/>
      <c r="H40" s="263"/>
      <c r="I40" s="264"/>
      <c r="J40" s="260"/>
      <c r="K40" s="265"/>
      <c r="L40" s="265"/>
    </row>
    <row r="41" spans="2:17" ht="26.25" thickBot="1" x14ac:dyDescent="0.25">
      <c r="B41" s="445">
        <v>2</v>
      </c>
      <c r="C41" s="149" t="s">
        <v>195</v>
      </c>
      <c r="D41" s="253"/>
      <c r="E41" s="150"/>
      <c r="F41" s="150" t="s">
        <v>47</v>
      </c>
      <c r="G41" s="150" t="s">
        <v>48</v>
      </c>
      <c r="H41" s="128" t="s">
        <v>118</v>
      </c>
      <c r="I41" s="150" t="s">
        <v>53</v>
      </c>
      <c r="J41" s="151" t="s">
        <v>43</v>
      </c>
      <c r="K41" s="152" t="s">
        <v>44</v>
      </c>
      <c r="L41" s="254" t="s">
        <v>45</v>
      </c>
    </row>
    <row r="42" spans="2:17" s="251" customFormat="1" ht="13.5" thickBot="1" x14ac:dyDescent="0.25">
      <c r="B42" s="446"/>
      <c r="C42" s="448"/>
      <c r="D42" s="449"/>
      <c r="E42" s="450"/>
      <c r="F42" s="106"/>
      <c r="G42" s="107"/>
      <c r="H42" s="154">
        <f>P42</f>
        <v>1</v>
      </c>
      <c r="I42" s="108"/>
      <c r="J42" s="155" t="e">
        <f>(SUM(K46:K51))+(SUM(I56:I60))</f>
        <v>#DIV/0!</v>
      </c>
      <c r="K42" s="156" t="e">
        <f>IF(F43="No",Q44,Q43)</f>
        <v>#DIV/0!</v>
      </c>
      <c r="L42" s="157" t="e">
        <f>SUM(J42:K42)</f>
        <v>#DIV/0!</v>
      </c>
      <c r="M42" s="1"/>
      <c r="N42" s="76">
        <f>IF(ISNUMBER(L42),L42,0)</f>
        <v>0</v>
      </c>
      <c r="O42" s="1">
        <f>(G42-F42)+1</f>
        <v>1</v>
      </c>
      <c r="P42" s="1">
        <f>IF(OR(O42=366,O42=365),52,(ROUNDUP(O42/7,0)))</f>
        <v>1</v>
      </c>
      <c r="Q42" s="1"/>
    </row>
    <row r="43" spans="2:17" s="251" customFormat="1" ht="13.5" thickBot="1" x14ac:dyDescent="0.25">
      <c r="B43" s="446"/>
      <c r="C43" s="477" t="s">
        <v>248</v>
      </c>
      <c r="D43" s="478"/>
      <c r="E43" s="479"/>
      <c r="F43" s="428"/>
      <c r="G43" s="429"/>
      <c r="H43" s="158"/>
      <c r="I43" s="147"/>
      <c r="J43" s="29"/>
      <c r="K43" s="159"/>
      <c r="L43" s="160"/>
      <c r="M43" s="1"/>
      <c r="N43" s="76"/>
      <c r="O43" s="1"/>
      <c r="P43" s="62" t="s">
        <v>243</v>
      </c>
      <c r="Q43" s="62" t="e">
        <f>IF(F43="Exempt all taxes",0,(J42*FICA)+(J42*Medicare))</f>
        <v>#DIV/0!</v>
      </c>
    </row>
    <row r="44" spans="2:17" s="251" customFormat="1" ht="13.5" thickBot="1" x14ac:dyDescent="0.25">
      <c r="B44" s="446"/>
      <c r="C44" s="451"/>
      <c r="D44" s="452"/>
      <c r="E44" s="452"/>
      <c r="F44" s="452"/>
      <c r="G44" s="452"/>
      <c r="H44" s="452"/>
      <c r="I44" s="452"/>
      <c r="J44" s="452"/>
      <c r="K44" s="452"/>
      <c r="L44" s="453"/>
      <c r="M44" s="1"/>
      <c r="N44" s="76"/>
      <c r="O44" s="1"/>
      <c r="P44" s="62" t="s">
        <v>244</v>
      </c>
      <c r="Q44" s="266" t="e">
        <f>IF(J42&gt;=SUTA_Max,((FUTA_Max*FUTA)+(SUTA_Max*I44)+(J42*FICA)+(J42*Medicare)),IF(J42&gt;=FUTA_Max,((FUTA_Max*FUTA)+(J42*I42)+(J42*FICA)+(J42*Medicare)),IF(J42&lt;FUTA_Max,(J42*(Total_Tax+I42)))))</f>
        <v>#DIV/0!</v>
      </c>
    </row>
    <row r="45" spans="2:17" s="251" customFormat="1" ht="27" thickBot="1" x14ac:dyDescent="0.3">
      <c r="B45" s="446"/>
      <c r="C45" s="161" t="s">
        <v>54</v>
      </c>
      <c r="D45" s="61"/>
      <c r="E45" s="454"/>
      <c r="F45" s="455"/>
      <c r="G45" s="162" t="s">
        <v>49</v>
      </c>
      <c r="H45" s="163" t="s">
        <v>41</v>
      </c>
      <c r="I45" s="164" t="s">
        <v>46</v>
      </c>
      <c r="J45" s="164" t="s">
        <v>51</v>
      </c>
      <c r="K45" s="165" t="s">
        <v>42</v>
      </c>
      <c r="L45" s="160"/>
      <c r="M45" s="1"/>
      <c r="N45" s="76"/>
      <c r="O45" s="1"/>
      <c r="P45" s="1"/>
      <c r="Q45" s="1"/>
    </row>
    <row r="46" spans="2:17" s="251" customFormat="1" ht="13.5" thickBot="1" x14ac:dyDescent="0.25">
      <c r="B46" s="446"/>
      <c r="C46" s="250"/>
      <c r="E46" s="480" t="s">
        <v>116</v>
      </c>
      <c r="F46" s="481"/>
      <c r="G46" s="70"/>
      <c r="H46" s="181"/>
      <c r="I46" s="166">
        <f>$H$21</f>
        <v>1</v>
      </c>
      <c r="J46" s="167"/>
      <c r="K46" s="168">
        <f>G46*H46*I46</f>
        <v>0</v>
      </c>
      <c r="L46" s="160"/>
      <c r="M46" s="1"/>
      <c r="N46" s="76"/>
      <c r="O46" s="240" t="e">
        <f>(G46/Q48)*H46</f>
        <v>#DIV/0!</v>
      </c>
      <c r="P46" s="62"/>
      <c r="Q46" s="241" t="e">
        <f>SUM(O46:O50)</f>
        <v>#DIV/0!</v>
      </c>
    </row>
    <row r="47" spans="2:17" s="251" customFormat="1" ht="13.5" thickBot="1" x14ac:dyDescent="0.25">
      <c r="B47" s="446"/>
      <c r="C47" s="250"/>
      <c r="E47" s="488" t="s">
        <v>227</v>
      </c>
      <c r="F47" s="489"/>
      <c r="G47" s="70"/>
      <c r="H47" s="181"/>
      <c r="I47" s="166">
        <f>$H$21</f>
        <v>1</v>
      </c>
      <c r="J47" s="215"/>
      <c r="K47" s="168">
        <f>G47*H47*I47</f>
        <v>0</v>
      </c>
      <c r="L47" s="160"/>
      <c r="M47" s="1"/>
      <c r="N47" s="76"/>
      <c r="O47" s="240" t="e">
        <f>(G47/Q48)*H47</f>
        <v>#DIV/0!</v>
      </c>
      <c r="P47" s="62"/>
      <c r="Q47" s="241"/>
    </row>
    <row r="48" spans="2:17" s="251" customFormat="1" ht="13.5" thickBot="1" x14ac:dyDescent="0.25">
      <c r="B48" s="446"/>
      <c r="C48" s="250"/>
      <c r="E48" s="488" t="s">
        <v>95</v>
      </c>
      <c r="F48" s="490"/>
      <c r="G48" s="70"/>
      <c r="H48" s="181"/>
      <c r="I48" s="166">
        <f t="shared" ref="I48:I50" si="2">$H$21</f>
        <v>1</v>
      </c>
      <c r="J48" s="215"/>
      <c r="K48" s="168">
        <f>G48*H48*I48</f>
        <v>0</v>
      </c>
      <c r="L48" s="160"/>
      <c r="M48" s="1"/>
      <c r="N48" s="76"/>
      <c r="O48" s="240" t="e">
        <f>(G48/Q48)*H48</f>
        <v>#DIV/0!</v>
      </c>
      <c r="P48" s="62"/>
      <c r="Q48" s="241">
        <f>SUM(G46:G50)</f>
        <v>0</v>
      </c>
    </row>
    <row r="49" spans="2:17" s="251" customFormat="1" ht="13.5" thickBot="1" x14ac:dyDescent="0.25">
      <c r="B49" s="446"/>
      <c r="C49" s="250"/>
      <c r="E49" s="430" t="s">
        <v>233</v>
      </c>
      <c r="F49" s="431"/>
      <c r="G49" s="70"/>
      <c r="H49" s="181"/>
      <c r="I49" s="166">
        <f t="shared" si="2"/>
        <v>1</v>
      </c>
      <c r="J49" s="257"/>
      <c r="K49" s="168">
        <f t="shared" ref="K49:K50" si="3">G49*H49*I49</f>
        <v>0</v>
      </c>
      <c r="L49" s="160"/>
      <c r="M49" s="1"/>
      <c r="N49" s="76"/>
      <c r="O49" s="240" t="e">
        <f>(G49/Q48)*H49</f>
        <v>#DIV/0!</v>
      </c>
      <c r="P49" s="62"/>
      <c r="Q49" s="241"/>
    </row>
    <row r="50" spans="2:17" s="251" customFormat="1" ht="13.5" thickBot="1" x14ac:dyDescent="0.25">
      <c r="B50" s="446"/>
      <c r="C50" s="250"/>
      <c r="E50" s="430" t="s">
        <v>234</v>
      </c>
      <c r="F50" s="431"/>
      <c r="G50" s="70"/>
      <c r="H50" s="181"/>
      <c r="I50" s="166">
        <f t="shared" si="2"/>
        <v>1</v>
      </c>
      <c r="J50" s="257"/>
      <c r="K50" s="168">
        <f t="shared" si="3"/>
        <v>0</v>
      </c>
      <c r="L50" s="160"/>
      <c r="M50" s="1"/>
      <c r="N50" s="76"/>
      <c r="O50" s="240" t="e">
        <f>(G50/Q48)*H50</f>
        <v>#DIV/0!</v>
      </c>
      <c r="P50" s="62"/>
      <c r="Q50" s="241"/>
    </row>
    <row r="51" spans="2:17" s="251" customFormat="1" ht="13.5" thickBot="1" x14ac:dyDescent="0.25">
      <c r="B51" s="446"/>
      <c r="C51" s="250"/>
      <c r="E51" s="432" t="s">
        <v>24</v>
      </c>
      <c r="F51" s="433"/>
      <c r="G51" s="70"/>
      <c r="H51" s="214"/>
      <c r="I51" s="169">
        <f>H42</f>
        <v>1</v>
      </c>
      <c r="J51" s="170" t="e">
        <f>Q46*1.5</f>
        <v>#DIV/0!</v>
      </c>
      <c r="K51" s="171" t="e">
        <f>G51*I51*J51</f>
        <v>#DIV/0!</v>
      </c>
      <c r="L51" s="160"/>
      <c r="M51" s="1"/>
      <c r="N51" s="76"/>
      <c r="O51" s="1"/>
      <c r="P51" s="1"/>
      <c r="Q51" s="1"/>
    </row>
    <row r="52" spans="2:17" s="251" customFormat="1" x14ac:dyDescent="0.2">
      <c r="B52" s="446"/>
      <c r="C52" s="250"/>
      <c r="D52" s="434" t="s">
        <v>145</v>
      </c>
      <c r="E52" s="434"/>
      <c r="F52" s="434"/>
      <c r="G52" s="434"/>
      <c r="H52" s="434"/>
      <c r="I52" s="434"/>
      <c r="J52" s="434"/>
      <c r="K52" s="434"/>
      <c r="L52" s="172"/>
      <c r="M52" s="1"/>
      <c r="N52" s="76"/>
      <c r="O52" s="1"/>
      <c r="P52" s="1"/>
      <c r="Q52" s="1"/>
    </row>
    <row r="53" spans="2:17" s="251" customFormat="1" x14ac:dyDescent="0.2">
      <c r="B53" s="446"/>
      <c r="C53" s="173"/>
      <c r="D53" s="434"/>
      <c r="E53" s="434"/>
      <c r="F53" s="434"/>
      <c r="G53" s="434"/>
      <c r="H53" s="434"/>
      <c r="I53" s="434"/>
      <c r="J53" s="434"/>
      <c r="K53" s="434"/>
      <c r="L53" s="172"/>
      <c r="M53" s="1"/>
      <c r="N53" s="76"/>
      <c r="O53" s="1"/>
      <c r="P53" s="1"/>
      <c r="Q53" s="1"/>
    </row>
    <row r="54" spans="2:17" s="251" customFormat="1" ht="13.5" thickBot="1" x14ac:dyDescent="0.25">
      <c r="B54" s="446"/>
      <c r="C54" s="249"/>
      <c r="D54" s="5"/>
      <c r="E54" s="5"/>
      <c r="F54" s="5"/>
      <c r="G54" s="5"/>
      <c r="H54" s="5"/>
      <c r="I54" s="5"/>
      <c r="J54" s="5"/>
      <c r="K54" s="5"/>
      <c r="L54" s="174"/>
      <c r="M54" s="1"/>
      <c r="N54" s="76"/>
      <c r="O54" s="1"/>
      <c r="P54" s="1"/>
      <c r="Q54" s="1"/>
    </row>
    <row r="55" spans="2:17" s="251" customFormat="1" ht="27" thickBot="1" x14ac:dyDescent="0.3">
      <c r="B55" s="446"/>
      <c r="C55" s="161" t="s">
        <v>55</v>
      </c>
      <c r="D55" s="61"/>
      <c r="E55" s="435"/>
      <c r="F55" s="436"/>
      <c r="G55" s="175" t="s">
        <v>50</v>
      </c>
      <c r="H55" s="176" t="s">
        <v>56</v>
      </c>
      <c r="I55" s="177" t="s">
        <v>42</v>
      </c>
      <c r="L55" s="160"/>
      <c r="M55" s="1"/>
      <c r="N55" s="76"/>
      <c r="O55" s="1"/>
      <c r="P55" s="1"/>
      <c r="Q55" s="1"/>
    </row>
    <row r="56" spans="2:17" s="251" customFormat="1" ht="13.5" thickBot="1" x14ac:dyDescent="0.25">
      <c r="B56" s="446"/>
      <c r="C56" s="249"/>
      <c r="E56" s="437" t="s">
        <v>28</v>
      </c>
      <c r="F56" s="438"/>
      <c r="G56" s="109"/>
      <c r="H56" s="110"/>
      <c r="I56" s="71">
        <f>G56*H56</f>
        <v>0</v>
      </c>
      <c r="L56" s="160"/>
      <c r="M56" s="1"/>
      <c r="N56" s="76"/>
      <c r="O56" s="1"/>
      <c r="P56" s="1"/>
      <c r="Q56" s="1"/>
    </row>
    <row r="57" spans="2:17" s="251" customFormat="1" ht="13.5" thickBot="1" x14ac:dyDescent="0.25">
      <c r="B57" s="446"/>
      <c r="C57" s="249"/>
      <c r="E57" s="439" t="s">
        <v>25</v>
      </c>
      <c r="F57" s="440"/>
      <c r="G57" s="111"/>
      <c r="H57" s="112"/>
      <c r="I57" s="71">
        <f>G57*H57</f>
        <v>0</v>
      </c>
      <c r="L57" s="160"/>
      <c r="M57" s="1"/>
      <c r="N57" s="76"/>
      <c r="O57" s="1"/>
      <c r="P57" s="1"/>
      <c r="Q57" s="1"/>
    </row>
    <row r="58" spans="2:17" s="251" customFormat="1" ht="13.5" thickBot="1" x14ac:dyDescent="0.25">
      <c r="B58" s="446"/>
      <c r="C58" s="249"/>
      <c r="E58" s="439" t="s">
        <v>26</v>
      </c>
      <c r="F58" s="440"/>
      <c r="G58" s="111"/>
      <c r="H58" s="112"/>
      <c r="I58" s="71">
        <f>G58*H58</f>
        <v>0</v>
      </c>
      <c r="L58" s="160"/>
      <c r="M58" s="1"/>
      <c r="N58" s="76"/>
      <c r="O58" s="1"/>
      <c r="P58" s="1"/>
      <c r="Q58" s="1"/>
    </row>
    <row r="59" spans="2:17" s="251" customFormat="1" ht="13.5" thickBot="1" x14ac:dyDescent="0.25">
      <c r="B59" s="446"/>
      <c r="C59" s="249"/>
      <c r="E59" s="441" t="s">
        <v>27</v>
      </c>
      <c r="F59" s="442"/>
      <c r="G59" s="111"/>
      <c r="H59" s="112"/>
      <c r="I59" s="71">
        <f>G59*H59</f>
        <v>0</v>
      </c>
      <c r="L59" s="160"/>
      <c r="M59" s="1"/>
      <c r="N59" s="76"/>
      <c r="O59" s="1"/>
      <c r="P59" s="1"/>
      <c r="Q59" s="1"/>
    </row>
    <row r="60" spans="2:17" s="251" customFormat="1" ht="13.5" thickBot="1" x14ac:dyDescent="0.25">
      <c r="B60" s="447"/>
      <c r="C60" s="178"/>
      <c r="D60" s="252"/>
      <c r="E60" s="443" t="s">
        <v>52</v>
      </c>
      <c r="F60" s="444"/>
      <c r="G60" s="113"/>
      <c r="H60" s="114"/>
      <c r="I60" s="179">
        <f>G60*H60</f>
        <v>0</v>
      </c>
      <c r="J60" s="252"/>
      <c r="K60" s="180"/>
      <c r="L60" s="157"/>
      <c r="M60" s="1"/>
      <c r="N60" s="76"/>
      <c r="O60" s="1"/>
      <c r="P60" s="1"/>
      <c r="Q60" s="1"/>
    </row>
    <row r="61" spans="2:17" s="251" customFormat="1" ht="13.5" thickBot="1" x14ac:dyDescent="0.25">
      <c r="B61" s="258"/>
      <c r="C61" s="259"/>
      <c r="D61" s="260"/>
      <c r="E61" s="261"/>
      <c r="F61" s="261"/>
      <c r="G61" s="262"/>
      <c r="H61" s="263"/>
      <c r="I61" s="264"/>
      <c r="J61" s="260"/>
      <c r="K61" s="265"/>
      <c r="L61" s="265"/>
      <c r="M61" s="1"/>
      <c r="N61" s="76"/>
      <c r="O61" s="1"/>
      <c r="P61" s="1"/>
      <c r="Q61" s="1"/>
    </row>
    <row r="62" spans="2:17" s="251" customFormat="1" ht="26.25" thickBot="1" x14ac:dyDescent="0.25">
      <c r="B62" s="445">
        <v>3</v>
      </c>
      <c r="C62" s="149" t="s">
        <v>195</v>
      </c>
      <c r="D62" s="253"/>
      <c r="E62" s="150"/>
      <c r="F62" s="150" t="s">
        <v>47</v>
      </c>
      <c r="G62" s="150" t="s">
        <v>48</v>
      </c>
      <c r="H62" s="128" t="s">
        <v>118</v>
      </c>
      <c r="I62" s="150" t="s">
        <v>53</v>
      </c>
      <c r="J62" s="151" t="s">
        <v>43</v>
      </c>
      <c r="K62" s="152" t="s">
        <v>44</v>
      </c>
      <c r="L62" s="254" t="s">
        <v>45</v>
      </c>
      <c r="M62" s="1"/>
      <c r="N62" s="76"/>
      <c r="O62" s="1"/>
      <c r="P62" s="1"/>
      <c r="Q62" s="1"/>
    </row>
    <row r="63" spans="2:17" s="251" customFormat="1" ht="13.5" thickBot="1" x14ac:dyDescent="0.25">
      <c r="B63" s="446"/>
      <c r="C63" s="448"/>
      <c r="D63" s="449"/>
      <c r="E63" s="450"/>
      <c r="F63" s="106"/>
      <c r="G63" s="107"/>
      <c r="H63" s="154">
        <f t="shared" ref="H63" si="4">P63</f>
        <v>1</v>
      </c>
      <c r="I63" s="108"/>
      <c r="J63" s="155" t="e">
        <f t="shared" ref="J63" si="5">(SUM(K67:K72))+(SUM(I77:I81))</f>
        <v>#DIV/0!</v>
      </c>
      <c r="K63" s="156" t="e">
        <f t="shared" ref="K63" si="6">IF(F64="No",Q65,Q64)</f>
        <v>#DIV/0!</v>
      </c>
      <c r="L63" s="157" t="e">
        <f t="shared" ref="L63" si="7">SUM(J63:K63)</f>
        <v>#DIV/0!</v>
      </c>
      <c r="M63" s="1"/>
      <c r="N63" s="76">
        <f t="shared" ref="N63" si="8">IF(ISNUMBER(L63),L63,0)</f>
        <v>0</v>
      </c>
      <c r="O63" s="1">
        <f t="shared" ref="O63" si="9">(G63-F63)+1</f>
        <v>1</v>
      </c>
      <c r="P63" s="1">
        <f t="shared" ref="P63" si="10">IF(OR(O63=366,O63=365),52,(ROUNDUP(O63/7,0)))</f>
        <v>1</v>
      </c>
      <c r="Q63" s="1"/>
    </row>
    <row r="64" spans="2:17" s="251" customFormat="1" ht="13.5" thickBot="1" x14ac:dyDescent="0.25">
      <c r="B64" s="446"/>
      <c r="C64" s="477" t="s">
        <v>248</v>
      </c>
      <c r="D64" s="478"/>
      <c r="E64" s="479"/>
      <c r="F64" s="428"/>
      <c r="G64" s="429"/>
      <c r="H64" s="158"/>
      <c r="I64" s="147"/>
      <c r="J64" s="29"/>
      <c r="K64" s="159"/>
      <c r="L64" s="160"/>
      <c r="M64" s="1"/>
      <c r="N64" s="76"/>
      <c r="O64" s="1"/>
      <c r="P64" s="62" t="s">
        <v>243</v>
      </c>
      <c r="Q64" s="62" t="e">
        <f>IF(F64="Exempt all taxes",0,(J63*FICA)+(J63*Medicare))</f>
        <v>#DIV/0!</v>
      </c>
    </row>
    <row r="65" spans="2:17" s="251" customFormat="1" ht="13.5" thickBot="1" x14ac:dyDescent="0.25">
      <c r="B65" s="446"/>
      <c r="C65" s="451"/>
      <c r="D65" s="452"/>
      <c r="E65" s="452"/>
      <c r="F65" s="452"/>
      <c r="G65" s="452"/>
      <c r="H65" s="452"/>
      <c r="I65" s="452"/>
      <c r="J65" s="452"/>
      <c r="K65" s="452"/>
      <c r="L65" s="453"/>
      <c r="M65" s="1"/>
      <c r="N65" s="76"/>
      <c r="O65" s="1"/>
      <c r="P65" s="62" t="s">
        <v>244</v>
      </c>
      <c r="Q65" s="266" t="e">
        <f>IF(J63&gt;=SUTA_Max,((FUTA_Max*FUTA)+(SUTA_Max*I65)+(J63*FICA)+(J63*Medicare)),IF(J63&gt;=FUTA_Max,((FUTA_Max*FUTA)+(J63*I63)+(J63*FICA)+(J63*Medicare)),IF(J63&lt;FUTA_Max,(J63*(Total_Tax+I63)))))</f>
        <v>#DIV/0!</v>
      </c>
    </row>
    <row r="66" spans="2:17" s="251" customFormat="1" ht="27" thickBot="1" x14ac:dyDescent="0.3">
      <c r="B66" s="446"/>
      <c r="C66" s="161" t="s">
        <v>54</v>
      </c>
      <c r="D66" s="61"/>
      <c r="E66" s="454"/>
      <c r="F66" s="455"/>
      <c r="G66" s="162" t="s">
        <v>49</v>
      </c>
      <c r="H66" s="163" t="s">
        <v>41</v>
      </c>
      <c r="I66" s="164" t="s">
        <v>46</v>
      </c>
      <c r="J66" s="164" t="s">
        <v>51</v>
      </c>
      <c r="K66" s="165" t="s">
        <v>42</v>
      </c>
      <c r="L66" s="160"/>
      <c r="M66" s="1"/>
      <c r="N66" s="76"/>
      <c r="O66" s="1"/>
      <c r="P66" s="1"/>
      <c r="Q66" s="1"/>
    </row>
    <row r="67" spans="2:17" s="251" customFormat="1" ht="13.5" thickBot="1" x14ac:dyDescent="0.25">
      <c r="B67" s="446"/>
      <c r="C67" s="250"/>
      <c r="E67" s="480" t="s">
        <v>116</v>
      </c>
      <c r="F67" s="481"/>
      <c r="G67" s="70"/>
      <c r="H67" s="181"/>
      <c r="I67" s="166">
        <f t="shared" ref="I67:I113" si="11">$H$21</f>
        <v>1</v>
      </c>
      <c r="J67" s="167"/>
      <c r="K67" s="168">
        <f t="shared" ref="K67:K71" si="12">G67*H67*I67</f>
        <v>0</v>
      </c>
      <c r="L67" s="160"/>
      <c r="M67" s="1"/>
      <c r="N67" s="76"/>
      <c r="O67" s="240" t="e">
        <f t="shared" ref="O67" si="13">(G67/Q69)*H67</f>
        <v>#DIV/0!</v>
      </c>
      <c r="P67" s="62"/>
      <c r="Q67" s="241" t="e">
        <f t="shared" ref="Q67" si="14">SUM(O67:O71)</f>
        <v>#DIV/0!</v>
      </c>
    </row>
    <row r="68" spans="2:17" s="251" customFormat="1" ht="13.5" thickBot="1" x14ac:dyDescent="0.25">
      <c r="B68" s="446"/>
      <c r="C68" s="250"/>
      <c r="E68" s="488" t="s">
        <v>227</v>
      </c>
      <c r="F68" s="489"/>
      <c r="G68" s="70"/>
      <c r="H68" s="181"/>
      <c r="I68" s="166">
        <f t="shared" si="11"/>
        <v>1</v>
      </c>
      <c r="J68" s="215"/>
      <c r="K68" s="168">
        <f t="shared" si="12"/>
        <v>0</v>
      </c>
      <c r="L68" s="160"/>
      <c r="M68" s="1"/>
      <c r="N68" s="76"/>
      <c r="O68" s="240" t="e">
        <f t="shared" ref="O68" si="15">(G68/Q69)*H68</f>
        <v>#DIV/0!</v>
      </c>
      <c r="P68" s="62"/>
      <c r="Q68" s="241"/>
    </row>
    <row r="69" spans="2:17" s="251" customFormat="1" ht="13.5" thickBot="1" x14ac:dyDescent="0.25">
      <c r="B69" s="446"/>
      <c r="C69" s="250"/>
      <c r="E69" s="488" t="s">
        <v>95</v>
      </c>
      <c r="F69" s="490"/>
      <c r="G69" s="70"/>
      <c r="H69" s="181"/>
      <c r="I69" s="166">
        <f t="shared" si="11"/>
        <v>1</v>
      </c>
      <c r="J69" s="215"/>
      <c r="K69" s="168">
        <f t="shared" si="12"/>
        <v>0</v>
      </c>
      <c r="L69" s="160"/>
      <c r="M69" s="1"/>
      <c r="N69" s="76"/>
      <c r="O69" s="240" t="e">
        <f t="shared" ref="O69" si="16">(G69/Q69)*H69</f>
        <v>#DIV/0!</v>
      </c>
      <c r="P69" s="62"/>
      <c r="Q69" s="241">
        <f t="shared" ref="Q69" si="17">SUM(G67:G71)</f>
        <v>0</v>
      </c>
    </row>
    <row r="70" spans="2:17" s="251" customFormat="1" ht="13.5" thickBot="1" x14ac:dyDescent="0.25">
      <c r="B70" s="446"/>
      <c r="C70" s="250"/>
      <c r="E70" s="430" t="s">
        <v>233</v>
      </c>
      <c r="F70" s="431"/>
      <c r="G70" s="70"/>
      <c r="H70" s="181"/>
      <c r="I70" s="166">
        <f t="shared" si="11"/>
        <v>1</v>
      </c>
      <c r="J70" s="257"/>
      <c r="K70" s="168">
        <f t="shared" si="12"/>
        <v>0</v>
      </c>
      <c r="L70" s="160"/>
      <c r="M70" s="1"/>
      <c r="N70" s="76"/>
      <c r="O70" s="240" t="e">
        <f t="shared" ref="O70" si="18">(G70/Q69)*H70</f>
        <v>#DIV/0!</v>
      </c>
      <c r="P70" s="62"/>
      <c r="Q70" s="241"/>
    </row>
    <row r="71" spans="2:17" s="251" customFormat="1" ht="13.5" thickBot="1" x14ac:dyDescent="0.25">
      <c r="B71" s="446"/>
      <c r="C71" s="250"/>
      <c r="E71" s="430" t="s">
        <v>234</v>
      </c>
      <c r="F71" s="431"/>
      <c r="G71" s="70"/>
      <c r="H71" s="181"/>
      <c r="I71" s="166">
        <f t="shared" si="11"/>
        <v>1</v>
      </c>
      <c r="J71" s="257"/>
      <c r="K71" s="168">
        <f t="shared" si="12"/>
        <v>0</v>
      </c>
      <c r="L71" s="160"/>
      <c r="M71" s="1"/>
      <c r="N71" s="76"/>
      <c r="O71" s="240" t="e">
        <f t="shared" ref="O71" si="19">(G71/Q69)*H71</f>
        <v>#DIV/0!</v>
      </c>
      <c r="P71" s="62"/>
      <c r="Q71" s="241"/>
    </row>
    <row r="72" spans="2:17" s="251" customFormat="1" ht="13.5" thickBot="1" x14ac:dyDescent="0.25">
      <c r="B72" s="446"/>
      <c r="C72" s="250"/>
      <c r="E72" s="432" t="s">
        <v>24</v>
      </c>
      <c r="F72" s="433"/>
      <c r="G72" s="70"/>
      <c r="H72" s="214"/>
      <c r="I72" s="169">
        <f t="shared" ref="I72" si="20">H63</f>
        <v>1</v>
      </c>
      <c r="J72" s="170" t="e">
        <f t="shared" ref="J72" si="21">Q67*1.5</f>
        <v>#DIV/0!</v>
      </c>
      <c r="K72" s="171" t="e">
        <f t="shared" ref="K72" si="22">G72*I72*J72</f>
        <v>#DIV/0!</v>
      </c>
      <c r="L72" s="160"/>
      <c r="M72" s="1"/>
      <c r="N72" s="76"/>
      <c r="O72" s="1"/>
      <c r="P72" s="1"/>
      <c r="Q72" s="1"/>
    </row>
    <row r="73" spans="2:17" s="251" customFormat="1" x14ac:dyDescent="0.2">
      <c r="B73" s="446"/>
      <c r="C73" s="250"/>
      <c r="D73" s="434" t="s">
        <v>145</v>
      </c>
      <c r="E73" s="434"/>
      <c r="F73" s="434"/>
      <c r="G73" s="434"/>
      <c r="H73" s="434"/>
      <c r="I73" s="434"/>
      <c r="J73" s="434"/>
      <c r="K73" s="434"/>
      <c r="L73" s="172"/>
      <c r="M73" s="1"/>
      <c r="N73" s="76"/>
      <c r="O73" s="1"/>
      <c r="P73" s="1"/>
      <c r="Q73" s="1"/>
    </row>
    <row r="74" spans="2:17" s="251" customFormat="1" x14ac:dyDescent="0.2">
      <c r="B74" s="446"/>
      <c r="C74" s="173"/>
      <c r="D74" s="434"/>
      <c r="E74" s="434"/>
      <c r="F74" s="434"/>
      <c r="G74" s="434"/>
      <c r="H74" s="434"/>
      <c r="I74" s="434"/>
      <c r="J74" s="434"/>
      <c r="K74" s="434"/>
      <c r="L74" s="172"/>
      <c r="M74" s="1"/>
      <c r="N74" s="76"/>
      <c r="O74" s="1"/>
      <c r="P74" s="1"/>
      <c r="Q74" s="1"/>
    </row>
    <row r="75" spans="2:17" s="251" customFormat="1" ht="13.5" thickBot="1" x14ac:dyDescent="0.25">
      <c r="B75" s="446"/>
      <c r="C75" s="249"/>
      <c r="D75" s="5"/>
      <c r="E75" s="5"/>
      <c r="F75" s="5"/>
      <c r="G75" s="5"/>
      <c r="H75" s="5"/>
      <c r="I75" s="5"/>
      <c r="J75" s="5"/>
      <c r="K75" s="5"/>
      <c r="L75" s="174"/>
      <c r="M75" s="1"/>
      <c r="N75" s="76"/>
      <c r="O75" s="1"/>
      <c r="P75" s="1"/>
      <c r="Q75" s="1"/>
    </row>
    <row r="76" spans="2:17" s="251" customFormat="1" ht="27" thickBot="1" x14ac:dyDescent="0.3">
      <c r="B76" s="446"/>
      <c r="C76" s="161" t="s">
        <v>55</v>
      </c>
      <c r="D76" s="61"/>
      <c r="E76" s="435"/>
      <c r="F76" s="436"/>
      <c r="G76" s="175" t="s">
        <v>50</v>
      </c>
      <c r="H76" s="176" t="s">
        <v>56</v>
      </c>
      <c r="I76" s="177" t="s">
        <v>42</v>
      </c>
      <c r="L76" s="160"/>
      <c r="M76" s="1"/>
      <c r="N76" s="76"/>
      <c r="O76" s="1"/>
      <c r="P76" s="1"/>
      <c r="Q76" s="1"/>
    </row>
    <row r="77" spans="2:17" s="251" customFormat="1" ht="13.5" thickBot="1" x14ac:dyDescent="0.25">
      <c r="B77" s="446"/>
      <c r="C77" s="249"/>
      <c r="E77" s="437" t="s">
        <v>28</v>
      </c>
      <c r="F77" s="438"/>
      <c r="G77" s="109"/>
      <c r="H77" s="110"/>
      <c r="I77" s="71">
        <f t="shared" ref="I77:I81" si="23">G77*H77</f>
        <v>0</v>
      </c>
      <c r="L77" s="160"/>
      <c r="M77" s="1"/>
      <c r="N77" s="76"/>
      <c r="O77" s="1"/>
      <c r="P77" s="1"/>
      <c r="Q77" s="1"/>
    </row>
    <row r="78" spans="2:17" s="251" customFormat="1" ht="13.5" thickBot="1" x14ac:dyDescent="0.25">
      <c r="B78" s="446"/>
      <c r="C78" s="249"/>
      <c r="E78" s="439" t="s">
        <v>25</v>
      </c>
      <c r="F78" s="440"/>
      <c r="G78" s="111"/>
      <c r="H78" s="112"/>
      <c r="I78" s="71">
        <f t="shared" si="23"/>
        <v>0</v>
      </c>
      <c r="L78" s="160"/>
      <c r="M78" s="1"/>
      <c r="N78" s="76"/>
      <c r="O78" s="1"/>
      <c r="P78" s="1"/>
      <c r="Q78" s="1"/>
    </row>
    <row r="79" spans="2:17" s="251" customFormat="1" ht="13.5" thickBot="1" x14ac:dyDescent="0.25">
      <c r="B79" s="446"/>
      <c r="C79" s="249"/>
      <c r="E79" s="439" t="s">
        <v>26</v>
      </c>
      <c r="F79" s="440"/>
      <c r="G79" s="111"/>
      <c r="H79" s="112"/>
      <c r="I79" s="71">
        <f t="shared" si="23"/>
        <v>0</v>
      </c>
      <c r="L79" s="160"/>
      <c r="M79" s="1"/>
      <c r="N79" s="76"/>
      <c r="O79" s="1"/>
      <c r="P79" s="1"/>
      <c r="Q79" s="1"/>
    </row>
    <row r="80" spans="2:17" s="251" customFormat="1" ht="13.5" thickBot="1" x14ac:dyDescent="0.25">
      <c r="B80" s="446"/>
      <c r="C80" s="249"/>
      <c r="E80" s="441" t="s">
        <v>27</v>
      </c>
      <c r="F80" s="442"/>
      <c r="G80" s="111"/>
      <c r="H80" s="112"/>
      <c r="I80" s="71">
        <f t="shared" si="23"/>
        <v>0</v>
      </c>
      <c r="L80" s="160"/>
      <c r="M80" s="1"/>
      <c r="N80" s="76"/>
      <c r="O80" s="1"/>
      <c r="P80" s="1"/>
      <c r="Q80" s="1"/>
    </row>
    <row r="81" spans="2:17" s="251" customFormat="1" ht="13.5" thickBot="1" x14ac:dyDescent="0.25">
      <c r="B81" s="447"/>
      <c r="C81" s="178"/>
      <c r="D81" s="252"/>
      <c r="E81" s="443" t="s">
        <v>52</v>
      </c>
      <c r="F81" s="444"/>
      <c r="G81" s="113"/>
      <c r="H81" s="114"/>
      <c r="I81" s="179">
        <f t="shared" si="23"/>
        <v>0</v>
      </c>
      <c r="J81" s="252"/>
      <c r="K81" s="180"/>
      <c r="L81" s="157"/>
      <c r="M81" s="1"/>
      <c r="N81" s="76"/>
      <c r="O81" s="1"/>
      <c r="P81" s="1"/>
      <c r="Q81" s="1"/>
    </row>
    <row r="82" spans="2:17" s="251" customFormat="1" ht="13.5" thickBot="1" x14ac:dyDescent="0.25">
      <c r="B82" s="258"/>
      <c r="C82" s="259"/>
      <c r="D82" s="260"/>
      <c r="E82" s="261"/>
      <c r="F82" s="261"/>
      <c r="G82" s="262"/>
      <c r="H82" s="263"/>
      <c r="I82" s="264"/>
      <c r="J82" s="260"/>
      <c r="K82" s="265"/>
      <c r="L82" s="265"/>
      <c r="M82" s="1"/>
      <c r="N82" s="76"/>
      <c r="O82" s="1"/>
      <c r="P82" s="1"/>
      <c r="Q82" s="1"/>
    </row>
    <row r="83" spans="2:17" s="251" customFormat="1" ht="26.25" thickBot="1" x14ac:dyDescent="0.25">
      <c r="B83" s="445">
        <v>4</v>
      </c>
      <c r="C83" s="149" t="s">
        <v>195</v>
      </c>
      <c r="D83" s="253"/>
      <c r="E83" s="150"/>
      <c r="F83" s="150" t="s">
        <v>47</v>
      </c>
      <c r="G83" s="150" t="s">
        <v>48</v>
      </c>
      <c r="H83" s="128" t="s">
        <v>118</v>
      </c>
      <c r="I83" s="150" t="s">
        <v>53</v>
      </c>
      <c r="J83" s="151" t="s">
        <v>43</v>
      </c>
      <c r="K83" s="152" t="s">
        <v>44</v>
      </c>
      <c r="L83" s="254" t="s">
        <v>45</v>
      </c>
      <c r="M83" s="1"/>
      <c r="N83" s="76"/>
      <c r="O83" s="1"/>
      <c r="P83" s="1"/>
      <c r="Q83" s="1"/>
    </row>
    <row r="84" spans="2:17" s="251" customFormat="1" ht="13.5" thickBot="1" x14ac:dyDescent="0.25">
      <c r="B84" s="446"/>
      <c r="C84" s="448"/>
      <c r="D84" s="449"/>
      <c r="E84" s="450"/>
      <c r="F84" s="106"/>
      <c r="G84" s="107"/>
      <c r="H84" s="154">
        <f t="shared" ref="H84" si="24">P84</f>
        <v>1</v>
      </c>
      <c r="I84" s="108"/>
      <c r="J84" s="155" t="e">
        <f t="shared" ref="J84" si="25">(SUM(K88:K93))+(SUM(I98:I102))</f>
        <v>#DIV/0!</v>
      </c>
      <c r="K84" s="156" t="e">
        <f t="shared" ref="K84" si="26">IF(F85="No",Q86,Q85)</f>
        <v>#DIV/0!</v>
      </c>
      <c r="L84" s="157" t="e">
        <f t="shared" ref="L84" si="27">SUM(J84:K84)</f>
        <v>#DIV/0!</v>
      </c>
      <c r="M84" s="1"/>
      <c r="N84" s="76">
        <f t="shared" ref="N84" si="28">IF(ISNUMBER(L84),L84,0)</f>
        <v>0</v>
      </c>
      <c r="O84" s="1">
        <f t="shared" ref="O84" si="29">(G84-F84)+1</f>
        <v>1</v>
      </c>
      <c r="P84" s="1">
        <f t="shared" ref="P84" si="30">IF(OR(O84=366,O84=365),52,(ROUNDUP(O84/7,0)))</f>
        <v>1</v>
      </c>
      <c r="Q84" s="1"/>
    </row>
    <row r="85" spans="2:17" s="251" customFormat="1" ht="13.5" thickBot="1" x14ac:dyDescent="0.25">
      <c r="B85" s="446"/>
      <c r="C85" s="477" t="s">
        <v>248</v>
      </c>
      <c r="D85" s="478"/>
      <c r="E85" s="479"/>
      <c r="F85" s="428"/>
      <c r="G85" s="429"/>
      <c r="H85" s="158"/>
      <c r="I85" s="147"/>
      <c r="J85" s="29"/>
      <c r="K85" s="159"/>
      <c r="L85" s="160"/>
      <c r="M85" s="1"/>
      <c r="N85" s="76"/>
      <c r="O85" s="1"/>
      <c r="P85" s="62" t="s">
        <v>243</v>
      </c>
      <c r="Q85" s="62" t="e">
        <f>IF(F85="Exempt all taxes",0,(J84*FICA)+(J84*Medicare))</f>
        <v>#DIV/0!</v>
      </c>
    </row>
    <row r="86" spans="2:17" s="251" customFormat="1" ht="13.5" thickBot="1" x14ac:dyDescent="0.25">
      <c r="B86" s="446"/>
      <c r="C86" s="451"/>
      <c r="D86" s="452"/>
      <c r="E86" s="452"/>
      <c r="F86" s="452"/>
      <c r="G86" s="452"/>
      <c r="H86" s="452"/>
      <c r="I86" s="452"/>
      <c r="J86" s="452"/>
      <c r="K86" s="452"/>
      <c r="L86" s="453"/>
      <c r="M86" s="1"/>
      <c r="N86" s="76"/>
      <c r="O86" s="1"/>
      <c r="P86" s="62" t="s">
        <v>244</v>
      </c>
      <c r="Q86" s="266" t="e">
        <f>IF(J84&gt;=SUTA_Max,((FUTA_Max*FUTA)+(SUTA_Max*I86)+(J84*FICA)+(J84*Medicare)),IF(J84&gt;=FUTA_Max,((FUTA_Max*FUTA)+(J84*I84)+(J84*FICA)+(J84*Medicare)),IF(J84&lt;FUTA_Max,(J84*(Total_Tax+I84)))))</f>
        <v>#DIV/0!</v>
      </c>
    </row>
    <row r="87" spans="2:17" s="251" customFormat="1" ht="27" thickBot="1" x14ac:dyDescent="0.3">
      <c r="B87" s="446"/>
      <c r="C87" s="161" t="s">
        <v>54</v>
      </c>
      <c r="D87" s="61"/>
      <c r="E87" s="454"/>
      <c r="F87" s="455"/>
      <c r="G87" s="162" t="s">
        <v>49</v>
      </c>
      <c r="H87" s="163" t="s">
        <v>41</v>
      </c>
      <c r="I87" s="164" t="s">
        <v>46</v>
      </c>
      <c r="J87" s="164" t="s">
        <v>51</v>
      </c>
      <c r="K87" s="165" t="s">
        <v>42</v>
      </c>
      <c r="L87" s="160"/>
      <c r="M87" s="1"/>
      <c r="N87" s="76"/>
      <c r="O87" s="1"/>
      <c r="P87" s="1"/>
      <c r="Q87" s="1"/>
    </row>
    <row r="88" spans="2:17" s="251" customFormat="1" ht="13.5" thickBot="1" x14ac:dyDescent="0.25">
      <c r="B88" s="446"/>
      <c r="C88" s="250"/>
      <c r="E88" s="480" t="s">
        <v>116</v>
      </c>
      <c r="F88" s="481"/>
      <c r="G88" s="70"/>
      <c r="H88" s="181"/>
      <c r="I88" s="166">
        <f t="shared" ref="I88:I89" si="31">$H$21</f>
        <v>1</v>
      </c>
      <c r="J88" s="167"/>
      <c r="K88" s="168">
        <f t="shared" ref="K88:K92" si="32">G88*H88*I88</f>
        <v>0</v>
      </c>
      <c r="L88" s="160"/>
      <c r="M88" s="1"/>
      <c r="N88" s="76"/>
      <c r="O88" s="240" t="e">
        <f t="shared" ref="O88" si="33">(G88/Q90)*H88</f>
        <v>#DIV/0!</v>
      </c>
      <c r="P88" s="62"/>
      <c r="Q88" s="241" t="e">
        <f t="shared" ref="Q88" si="34">SUM(O88:O92)</f>
        <v>#DIV/0!</v>
      </c>
    </row>
    <row r="89" spans="2:17" s="251" customFormat="1" ht="13.5" thickBot="1" x14ac:dyDescent="0.25">
      <c r="B89" s="446"/>
      <c r="C89" s="250"/>
      <c r="E89" s="488" t="s">
        <v>227</v>
      </c>
      <c r="F89" s="489"/>
      <c r="G89" s="70"/>
      <c r="H89" s="181"/>
      <c r="I89" s="166">
        <f t="shared" si="31"/>
        <v>1</v>
      </c>
      <c r="J89" s="215"/>
      <c r="K89" s="168">
        <f t="shared" si="32"/>
        <v>0</v>
      </c>
      <c r="L89" s="160"/>
      <c r="M89" s="1"/>
      <c r="N89" s="76"/>
      <c r="O89" s="240" t="e">
        <f t="shared" ref="O89" si="35">(G89/Q90)*H89</f>
        <v>#DIV/0!</v>
      </c>
      <c r="P89" s="62"/>
      <c r="Q89" s="241"/>
    </row>
    <row r="90" spans="2:17" s="251" customFormat="1" ht="13.5" thickBot="1" x14ac:dyDescent="0.25">
      <c r="B90" s="446"/>
      <c r="C90" s="250"/>
      <c r="E90" s="488" t="s">
        <v>95</v>
      </c>
      <c r="F90" s="490"/>
      <c r="G90" s="70"/>
      <c r="H90" s="181"/>
      <c r="I90" s="166">
        <f t="shared" si="11"/>
        <v>1</v>
      </c>
      <c r="J90" s="215"/>
      <c r="K90" s="168">
        <f t="shared" si="32"/>
        <v>0</v>
      </c>
      <c r="L90" s="160"/>
      <c r="M90" s="1"/>
      <c r="N90" s="76"/>
      <c r="O90" s="240" t="e">
        <f t="shared" ref="O90" si="36">(G90/Q90)*H90</f>
        <v>#DIV/0!</v>
      </c>
      <c r="P90" s="62"/>
      <c r="Q90" s="241">
        <f t="shared" ref="Q90" si="37">SUM(G88:G92)</f>
        <v>0</v>
      </c>
    </row>
    <row r="91" spans="2:17" s="251" customFormat="1" ht="13.5" thickBot="1" x14ac:dyDescent="0.25">
      <c r="B91" s="446"/>
      <c r="C91" s="250"/>
      <c r="E91" s="430" t="s">
        <v>233</v>
      </c>
      <c r="F91" s="431"/>
      <c r="G91" s="70"/>
      <c r="H91" s="181"/>
      <c r="I91" s="166">
        <f t="shared" si="11"/>
        <v>1</v>
      </c>
      <c r="J91" s="257"/>
      <c r="K91" s="168">
        <f t="shared" si="32"/>
        <v>0</v>
      </c>
      <c r="L91" s="160"/>
      <c r="M91" s="1"/>
      <c r="N91" s="76"/>
      <c r="O91" s="240" t="e">
        <f t="shared" ref="O91" si="38">(G91/Q90)*H91</f>
        <v>#DIV/0!</v>
      </c>
      <c r="P91" s="62"/>
      <c r="Q91" s="241"/>
    </row>
    <row r="92" spans="2:17" s="251" customFormat="1" ht="13.5" thickBot="1" x14ac:dyDescent="0.25">
      <c r="B92" s="446"/>
      <c r="C92" s="250"/>
      <c r="E92" s="430" t="s">
        <v>234</v>
      </c>
      <c r="F92" s="431"/>
      <c r="G92" s="70"/>
      <c r="H92" s="181"/>
      <c r="I92" s="166">
        <f t="shared" si="11"/>
        <v>1</v>
      </c>
      <c r="J92" s="257"/>
      <c r="K92" s="168">
        <f t="shared" si="32"/>
        <v>0</v>
      </c>
      <c r="L92" s="160"/>
      <c r="M92" s="1"/>
      <c r="N92" s="76"/>
      <c r="O92" s="240" t="e">
        <f t="shared" ref="O92" si="39">(G92/Q90)*H92</f>
        <v>#DIV/0!</v>
      </c>
      <c r="P92" s="62"/>
      <c r="Q92" s="241"/>
    </row>
    <row r="93" spans="2:17" s="251" customFormat="1" ht="13.5" thickBot="1" x14ac:dyDescent="0.25">
      <c r="B93" s="446"/>
      <c r="C93" s="250"/>
      <c r="E93" s="432" t="s">
        <v>24</v>
      </c>
      <c r="F93" s="433"/>
      <c r="G93" s="70"/>
      <c r="H93" s="214"/>
      <c r="I93" s="169">
        <f t="shared" ref="I93" si="40">H84</f>
        <v>1</v>
      </c>
      <c r="J93" s="170" t="e">
        <f t="shared" ref="J93" si="41">Q88*1.5</f>
        <v>#DIV/0!</v>
      </c>
      <c r="K93" s="171" t="e">
        <f t="shared" ref="K93" si="42">G93*I93*J93</f>
        <v>#DIV/0!</v>
      </c>
      <c r="L93" s="160"/>
      <c r="M93" s="1"/>
      <c r="N93" s="76"/>
      <c r="O93" s="1"/>
      <c r="P93" s="1"/>
      <c r="Q93" s="1"/>
    </row>
    <row r="94" spans="2:17" s="251" customFormat="1" x14ac:dyDescent="0.2">
      <c r="B94" s="446"/>
      <c r="C94" s="250"/>
      <c r="D94" s="434" t="s">
        <v>145</v>
      </c>
      <c r="E94" s="434"/>
      <c r="F94" s="434"/>
      <c r="G94" s="434"/>
      <c r="H94" s="434"/>
      <c r="I94" s="434"/>
      <c r="J94" s="434"/>
      <c r="K94" s="434"/>
      <c r="L94" s="172"/>
      <c r="M94" s="1"/>
      <c r="N94" s="76"/>
      <c r="O94" s="1"/>
      <c r="P94" s="1"/>
      <c r="Q94" s="1"/>
    </row>
    <row r="95" spans="2:17" s="251" customFormat="1" x14ac:dyDescent="0.2">
      <c r="B95" s="446"/>
      <c r="C95" s="173"/>
      <c r="D95" s="434"/>
      <c r="E95" s="434"/>
      <c r="F95" s="434"/>
      <c r="G95" s="434"/>
      <c r="H95" s="434"/>
      <c r="I95" s="434"/>
      <c r="J95" s="434"/>
      <c r="K95" s="434"/>
      <c r="L95" s="172"/>
      <c r="M95" s="1"/>
      <c r="N95" s="76"/>
      <c r="O95" s="1"/>
      <c r="P95" s="1"/>
      <c r="Q95" s="1"/>
    </row>
    <row r="96" spans="2:17" s="251" customFormat="1" ht="13.5" thickBot="1" x14ac:dyDescent="0.25">
      <c r="B96" s="446"/>
      <c r="C96" s="249"/>
      <c r="D96" s="5"/>
      <c r="E96" s="5"/>
      <c r="F96" s="5"/>
      <c r="G96" s="5"/>
      <c r="H96" s="5"/>
      <c r="I96" s="5"/>
      <c r="J96" s="5"/>
      <c r="K96" s="5"/>
      <c r="L96" s="174"/>
      <c r="M96" s="1"/>
      <c r="N96" s="76"/>
      <c r="O96" s="1"/>
      <c r="P96" s="1"/>
      <c r="Q96" s="1"/>
    </row>
    <row r="97" spans="2:17" s="251" customFormat="1" ht="27" thickBot="1" x14ac:dyDescent="0.3">
      <c r="B97" s="446"/>
      <c r="C97" s="161" t="s">
        <v>55</v>
      </c>
      <c r="D97" s="61"/>
      <c r="E97" s="435"/>
      <c r="F97" s="436"/>
      <c r="G97" s="175" t="s">
        <v>50</v>
      </c>
      <c r="H97" s="176" t="s">
        <v>56</v>
      </c>
      <c r="I97" s="177" t="s">
        <v>42</v>
      </c>
      <c r="L97" s="160"/>
      <c r="M97" s="1"/>
      <c r="N97" s="76"/>
      <c r="O97" s="1"/>
      <c r="P97" s="1"/>
      <c r="Q97" s="1"/>
    </row>
    <row r="98" spans="2:17" s="251" customFormat="1" ht="13.5" thickBot="1" x14ac:dyDescent="0.25">
      <c r="B98" s="446"/>
      <c r="C98" s="249"/>
      <c r="E98" s="437" t="s">
        <v>28</v>
      </c>
      <c r="F98" s="438"/>
      <c r="G98" s="109"/>
      <c r="H98" s="110"/>
      <c r="I98" s="71">
        <f t="shared" ref="I98:I102" si="43">G98*H98</f>
        <v>0</v>
      </c>
      <c r="L98" s="160"/>
      <c r="M98" s="1"/>
      <c r="N98" s="76"/>
      <c r="O98" s="1"/>
      <c r="P98" s="1"/>
      <c r="Q98" s="1"/>
    </row>
    <row r="99" spans="2:17" s="251" customFormat="1" ht="13.5" thickBot="1" x14ac:dyDescent="0.25">
      <c r="B99" s="446"/>
      <c r="C99" s="249"/>
      <c r="E99" s="439" t="s">
        <v>25</v>
      </c>
      <c r="F99" s="440"/>
      <c r="G99" s="111"/>
      <c r="H99" s="112"/>
      <c r="I99" s="71">
        <f t="shared" si="43"/>
        <v>0</v>
      </c>
      <c r="L99" s="160"/>
      <c r="M99" s="1"/>
      <c r="N99" s="76"/>
      <c r="O99" s="1"/>
      <c r="P99" s="1"/>
      <c r="Q99" s="1"/>
    </row>
    <row r="100" spans="2:17" s="251" customFormat="1" ht="13.5" thickBot="1" x14ac:dyDescent="0.25">
      <c r="B100" s="446"/>
      <c r="C100" s="249"/>
      <c r="E100" s="439" t="s">
        <v>26</v>
      </c>
      <c r="F100" s="440"/>
      <c r="G100" s="111"/>
      <c r="H100" s="112"/>
      <c r="I100" s="71">
        <f t="shared" si="43"/>
        <v>0</v>
      </c>
      <c r="L100" s="160"/>
      <c r="M100" s="1"/>
      <c r="N100" s="76"/>
      <c r="O100" s="1"/>
      <c r="P100" s="1"/>
      <c r="Q100" s="1"/>
    </row>
    <row r="101" spans="2:17" s="251" customFormat="1" ht="13.5" thickBot="1" x14ac:dyDescent="0.25">
      <c r="B101" s="446"/>
      <c r="C101" s="249"/>
      <c r="E101" s="441" t="s">
        <v>27</v>
      </c>
      <c r="F101" s="442"/>
      <c r="G101" s="111"/>
      <c r="H101" s="112"/>
      <c r="I101" s="71">
        <f t="shared" si="43"/>
        <v>0</v>
      </c>
      <c r="L101" s="160"/>
      <c r="M101" s="1"/>
      <c r="N101" s="76"/>
      <c r="O101" s="1"/>
      <c r="P101" s="1"/>
      <c r="Q101" s="1"/>
    </row>
    <row r="102" spans="2:17" s="251" customFormat="1" ht="13.5" thickBot="1" x14ac:dyDescent="0.25">
      <c r="B102" s="447"/>
      <c r="C102" s="178"/>
      <c r="D102" s="252"/>
      <c r="E102" s="443" t="s">
        <v>52</v>
      </c>
      <c r="F102" s="444"/>
      <c r="G102" s="113"/>
      <c r="H102" s="114"/>
      <c r="I102" s="179">
        <f t="shared" si="43"/>
        <v>0</v>
      </c>
      <c r="J102" s="252"/>
      <c r="K102" s="180"/>
      <c r="L102" s="157"/>
      <c r="M102" s="1"/>
      <c r="N102" s="76"/>
      <c r="O102" s="1"/>
      <c r="P102" s="1"/>
      <c r="Q102" s="1"/>
    </row>
    <row r="103" spans="2:17" s="251" customFormat="1" ht="13.5" thickBot="1" x14ac:dyDescent="0.25">
      <c r="B103" s="258"/>
      <c r="C103" s="259"/>
      <c r="D103" s="260"/>
      <c r="E103" s="261"/>
      <c r="F103" s="261"/>
      <c r="G103" s="262"/>
      <c r="H103" s="263"/>
      <c r="I103" s="264"/>
      <c r="J103" s="260"/>
      <c r="K103" s="265"/>
      <c r="L103" s="265"/>
      <c r="M103" s="1"/>
      <c r="N103" s="76"/>
      <c r="O103" s="1"/>
      <c r="P103" s="1"/>
      <c r="Q103" s="1"/>
    </row>
    <row r="104" spans="2:17" s="251" customFormat="1" ht="26.25" thickBot="1" x14ac:dyDescent="0.25">
      <c r="B104" s="445">
        <v>5</v>
      </c>
      <c r="C104" s="149" t="s">
        <v>195</v>
      </c>
      <c r="D104" s="253"/>
      <c r="E104" s="150"/>
      <c r="F104" s="150" t="s">
        <v>47</v>
      </c>
      <c r="G104" s="150" t="s">
        <v>48</v>
      </c>
      <c r="H104" s="128" t="s">
        <v>118</v>
      </c>
      <c r="I104" s="150" t="s">
        <v>53</v>
      </c>
      <c r="J104" s="151" t="s">
        <v>43</v>
      </c>
      <c r="K104" s="152" t="s">
        <v>44</v>
      </c>
      <c r="L104" s="254" t="s">
        <v>45</v>
      </c>
      <c r="M104" s="1"/>
      <c r="N104" s="76"/>
      <c r="O104" s="1"/>
      <c r="P104" s="1"/>
      <c r="Q104" s="1"/>
    </row>
    <row r="105" spans="2:17" s="251" customFormat="1" ht="13.5" thickBot="1" x14ac:dyDescent="0.25">
      <c r="B105" s="446"/>
      <c r="C105" s="448"/>
      <c r="D105" s="449"/>
      <c r="E105" s="450"/>
      <c r="F105" s="106"/>
      <c r="G105" s="107"/>
      <c r="H105" s="154">
        <f t="shared" ref="H105" si="44">P105</f>
        <v>1</v>
      </c>
      <c r="I105" s="108"/>
      <c r="J105" s="155" t="e">
        <f t="shared" ref="J105" si="45">(SUM(K109:K114))+(SUM(I119:I123))</f>
        <v>#DIV/0!</v>
      </c>
      <c r="K105" s="156" t="e">
        <f t="shared" ref="K105" si="46">IF(F106="No",Q107,Q106)</f>
        <v>#DIV/0!</v>
      </c>
      <c r="L105" s="157" t="e">
        <f t="shared" ref="L105" si="47">SUM(J105:K105)</f>
        <v>#DIV/0!</v>
      </c>
      <c r="M105" s="1"/>
      <c r="N105" s="76">
        <f t="shared" ref="N105" si="48">IF(ISNUMBER(L105),L105,0)</f>
        <v>0</v>
      </c>
      <c r="O105" s="1">
        <f t="shared" ref="O105" si="49">(G105-F105)+1</f>
        <v>1</v>
      </c>
      <c r="P105" s="1">
        <f t="shared" ref="P105" si="50">IF(OR(O105=366,O105=365),52,(ROUNDUP(O105/7,0)))</f>
        <v>1</v>
      </c>
      <c r="Q105" s="1"/>
    </row>
    <row r="106" spans="2:17" s="251" customFormat="1" ht="13.5" thickBot="1" x14ac:dyDescent="0.25">
      <c r="B106" s="446"/>
      <c r="C106" s="477" t="s">
        <v>248</v>
      </c>
      <c r="D106" s="478"/>
      <c r="E106" s="479"/>
      <c r="F106" s="428"/>
      <c r="G106" s="429"/>
      <c r="H106" s="158"/>
      <c r="I106" s="147"/>
      <c r="J106" s="29"/>
      <c r="K106" s="159"/>
      <c r="L106" s="160"/>
      <c r="M106" s="1"/>
      <c r="N106" s="76"/>
      <c r="O106" s="1"/>
      <c r="P106" s="62" t="s">
        <v>243</v>
      </c>
      <c r="Q106" s="62" t="e">
        <f>IF(F106="Exempt all taxes",0,(J105*FICA)+(J105*Medicare))</f>
        <v>#DIV/0!</v>
      </c>
    </row>
    <row r="107" spans="2:17" s="251" customFormat="1" ht="13.5" thickBot="1" x14ac:dyDescent="0.25">
      <c r="B107" s="446"/>
      <c r="C107" s="451"/>
      <c r="D107" s="452"/>
      <c r="E107" s="452"/>
      <c r="F107" s="452"/>
      <c r="G107" s="452"/>
      <c r="H107" s="452"/>
      <c r="I107" s="452"/>
      <c r="J107" s="452"/>
      <c r="K107" s="452"/>
      <c r="L107" s="453"/>
      <c r="M107" s="1"/>
      <c r="N107" s="76"/>
      <c r="O107" s="1"/>
      <c r="P107" s="62" t="s">
        <v>244</v>
      </c>
      <c r="Q107" s="266" t="e">
        <f>IF(J105&gt;=SUTA_Max,((FUTA_Max*FUTA)+(SUTA_Max*I107)+(J105*FICA)+(J105*Medicare)),IF(J105&gt;=FUTA_Max,((FUTA_Max*FUTA)+(J105*I105)+(J105*FICA)+(J105*Medicare)),IF(J105&lt;FUTA_Max,(J105*(Total_Tax+I105)))))</f>
        <v>#DIV/0!</v>
      </c>
    </row>
    <row r="108" spans="2:17" s="251" customFormat="1" ht="27" thickBot="1" x14ac:dyDescent="0.3">
      <c r="B108" s="446"/>
      <c r="C108" s="161" t="s">
        <v>54</v>
      </c>
      <c r="D108" s="61"/>
      <c r="E108" s="454"/>
      <c r="F108" s="455"/>
      <c r="G108" s="162" t="s">
        <v>49</v>
      </c>
      <c r="H108" s="163" t="s">
        <v>41</v>
      </c>
      <c r="I108" s="164" t="s">
        <v>46</v>
      </c>
      <c r="J108" s="164" t="s">
        <v>51</v>
      </c>
      <c r="K108" s="165" t="s">
        <v>42</v>
      </c>
      <c r="L108" s="160"/>
      <c r="M108" s="1"/>
      <c r="N108" s="76"/>
      <c r="O108" s="1"/>
      <c r="P108" s="1"/>
      <c r="Q108" s="1"/>
    </row>
    <row r="109" spans="2:17" s="251" customFormat="1" ht="13.5" thickBot="1" x14ac:dyDescent="0.25">
      <c r="B109" s="446"/>
      <c r="C109" s="250"/>
      <c r="E109" s="480" t="s">
        <v>116</v>
      </c>
      <c r="F109" s="481"/>
      <c r="G109" s="70"/>
      <c r="H109" s="181"/>
      <c r="I109" s="166">
        <f t="shared" ref="I109:I110" si="51">$H$21</f>
        <v>1</v>
      </c>
      <c r="J109" s="167"/>
      <c r="K109" s="168">
        <f t="shared" ref="K109:K113" si="52">G109*H109*I109</f>
        <v>0</v>
      </c>
      <c r="L109" s="160"/>
      <c r="M109" s="1"/>
      <c r="N109" s="76"/>
      <c r="O109" s="240" t="e">
        <f t="shared" ref="O109" si="53">(G109/Q111)*H109</f>
        <v>#DIV/0!</v>
      </c>
      <c r="P109" s="62"/>
      <c r="Q109" s="241" t="e">
        <f t="shared" ref="Q109" si="54">SUM(O109:O113)</f>
        <v>#DIV/0!</v>
      </c>
    </row>
    <row r="110" spans="2:17" s="251" customFormat="1" ht="13.5" thickBot="1" x14ac:dyDescent="0.25">
      <c r="B110" s="446"/>
      <c r="C110" s="250"/>
      <c r="E110" s="488" t="s">
        <v>227</v>
      </c>
      <c r="F110" s="489"/>
      <c r="G110" s="70"/>
      <c r="H110" s="181"/>
      <c r="I110" s="166">
        <f t="shared" si="51"/>
        <v>1</v>
      </c>
      <c r="J110" s="215"/>
      <c r="K110" s="168">
        <f t="shared" si="52"/>
        <v>0</v>
      </c>
      <c r="L110" s="160"/>
      <c r="M110" s="1"/>
      <c r="N110" s="76"/>
      <c r="O110" s="240" t="e">
        <f t="shared" ref="O110" si="55">(G110/Q111)*H110</f>
        <v>#DIV/0!</v>
      </c>
      <c r="P110" s="62"/>
      <c r="Q110" s="241"/>
    </row>
    <row r="111" spans="2:17" s="251" customFormat="1" ht="13.5" thickBot="1" x14ac:dyDescent="0.25">
      <c r="B111" s="446"/>
      <c r="C111" s="250"/>
      <c r="E111" s="488" t="s">
        <v>95</v>
      </c>
      <c r="F111" s="490"/>
      <c r="G111" s="70"/>
      <c r="H111" s="181"/>
      <c r="I111" s="166">
        <f t="shared" si="11"/>
        <v>1</v>
      </c>
      <c r="J111" s="215"/>
      <c r="K111" s="168">
        <f t="shared" si="52"/>
        <v>0</v>
      </c>
      <c r="L111" s="160"/>
      <c r="M111" s="1"/>
      <c r="N111" s="76"/>
      <c r="O111" s="240" t="e">
        <f t="shared" ref="O111" si="56">(G111/Q111)*H111</f>
        <v>#DIV/0!</v>
      </c>
      <c r="P111" s="62"/>
      <c r="Q111" s="241">
        <f t="shared" ref="Q111" si="57">SUM(G109:G113)</f>
        <v>0</v>
      </c>
    </row>
    <row r="112" spans="2:17" s="251" customFormat="1" ht="13.5" thickBot="1" x14ac:dyDescent="0.25">
      <c r="B112" s="446"/>
      <c r="C112" s="250"/>
      <c r="E112" s="430" t="s">
        <v>233</v>
      </c>
      <c r="F112" s="431"/>
      <c r="G112" s="70"/>
      <c r="H112" s="181"/>
      <c r="I112" s="166">
        <f t="shared" si="11"/>
        <v>1</v>
      </c>
      <c r="J112" s="257"/>
      <c r="K112" s="168">
        <f t="shared" si="52"/>
        <v>0</v>
      </c>
      <c r="L112" s="160"/>
      <c r="M112" s="1"/>
      <c r="N112" s="76"/>
      <c r="O112" s="240" t="e">
        <f t="shared" ref="O112" si="58">(G112/Q111)*H112</f>
        <v>#DIV/0!</v>
      </c>
      <c r="P112" s="62"/>
      <c r="Q112" s="241"/>
    </row>
    <row r="113" spans="2:17" s="251" customFormat="1" ht="13.5" thickBot="1" x14ac:dyDescent="0.25">
      <c r="B113" s="446"/>
      <c r="C113" s="250"/>
      <c r="E113" s="430" t="s">
        <v>234</v>
      </c>
      <c r="F113" s="431"/>
      <c r="G113" s="70"/>
      <c r="H113" s="181"/>
      <c r="I113" s="166">
        <f t="shared" si="11"/>
        <v>1</v>
      </c>
      <c r="J113" s="257"/>
      <c r="K113" s="168">
        <f t="shared" si="52"/>
        <v>0</v>
      </c>
      <c r="L113" s="160"/>
      <c r="M113" s="1"/>
      <c r="N113" s="76"/>
      <c r="O113" s="240" t="e">
        <f t="shared" ref="O113" si="59">(G113/Q111)*H113</f>
        <v>#DIV/0!</v>
      </c>
      <c r="P113" s="62"/>
      <c r="Q113" s="241"/>
    </row>
    <row r="114" spans="2:17" s="251" customFormat="1" ht="13.5" thickBot="1" x14ac:dyDescent="0.25">
      <c r="B114" s="446"/>
      <c r="C114" s="250"/>
      <c r="E114" s="432" t="s">
        <v>24</v>
      </c>
      <c r="F114" s="433"/>
      <c r="G114" s="70"/>
      <c r="H114" s="214"/>
      <c r="I114" s="169">
        <f t="shared" ref="I114" si="60">H105</f>
        <v>1</v>
      </c>
      <c r="J114" s="170" t="e">
        <f t="shared" ref="J114" si="61">Q109*1.5</f>
        <v>#DIV/0!</v>
      </c>
      <c r="K114" s="171" t="e">
        <f t="shared" ref="K114" si="62">G114*I114*J114</f>
        <v>#DIV/0!</v>
      </c>
      <c r="L114" s="160"/>
      <c r="M114" s="1"/>
      <c r="N114" s="76"/>
      <c r="O114" s="1"/>
      <c r="P114" s="1"/>
      <c r="Q114" s="1"/>
    </row>
    <row r="115" spans="2:17" s="251" customFormat="1" x14ac:dyDescent="0.2">
      <c r="B115" s="446"/>
      <c r="C115" s="250"/>
      <c r="D115" s="434" t="s">
        <v>145</v>
      </c>
      <c r="E115" s="434"/>
      <c r="F115" s="434"/>
      <c r="G115" s="434"/>
      <c r="H115" s="434"/>
      <c r="I115" s="434"/>
      <c r="J115" s="434"/>
      <c r="K115" s="434"/>
      <c r="L115" s="172"/>
      <c r="M115" s="1"/>
      <c r="N115" s="76"/>
      <c r="O115" s="1"/>
      <c r="P115" s="1"/>
      <c r="Q115" s="1"/>
    </row>
    <row r="116" spans="2:17" s="251" customFormat="1" x14ac:dyDescent="0.2">
      <c r="B116" s="446"/>
      <c r="C116" s="173"/>
      <c r="D116" s="434"/>
      <c r="E116" s="434"/>
      <c r="F116" s="434"/>
      <c r="G116" s="434"/>
      <c r="H116" s="434"/>
      <c r="I116" s="434"/>
      <c r="J116" s="434"/>
      <c r="K116" s="434"/>
      <c r="L116" s="172"/>
      <c r="M116" s="1"/>
      <c r="N116" s="76"/>
      <c r="O116" s="1"/>
      <c r="P116" s="1"/>
      <c r="Q116" s="1"/>
    </row>
    <row r="117" spans="2:17" s="251" customFormat="1" ht="13.5" thickBot="1" x14ac:dyDescent="0.25">
      <c r="B117" s="446"/>
      <c r="C117" s="249"/>
      <c r="D117" s="5"/>
      <c r="E117" s="5"/>
      <c r="F117" s="5"/>
      <c r="G117" s="5"/>
      <c r="H117" s="5"/>
      <c r="I117" s="5"/>
      <c r="J117" s="5"/>
      <c r="K117" s="5"/>
      <c r="L117" s="174"/>
      <c r="M117" s="1"/>
      <c r="N117" s="76"/>
      <c r="O117" s="1"/>
      <c r="P117" s="1"/>
      <c r="Q117" s="1"/>
    </row>
    <row r="118" spans="2:17" s="251" customFormat="1" ht="27" thickBot="1" x14ac:dyDescent="0.3">
      <c r="B118" s="446"/>
      <c r="C118" s="161" t="s">
        <v>55</v>
      </c>
      <c r="D118" s="61"/>
      <c r="E118" s="435"/>
      <c r="F118" s="436"/>
      <c r="G118" s="175" t="s">
        <v>50</v>
      </c>
      <c r="H118" s="176" t="s">
        <v>56</v>
      </c>
      <c r="I118" s="177" t="s">
        <v>42</v>
      </c>
      <c r="L118" s="160"/>
      <c r="M118" s="1"/>
      <c r="N118" s="76"/>
      <c r="O118" s="1"/>
      <c r="P118" s="1"/>
      <c r="Q118" s="1"/>
    </row>
    <row r="119" spans="2:17" s="251" customFormat="1" ht="13.5" thickBot="1" x14ac:dyDescent="0.25">
      <c r="B119" s="446"/>
      <c r="C119" s="249"/>
      <c r="E119" s="437" t="s">
        <v>28</v>
      </c>
      <c r="F119" s="438"/>
      <c r="G119" s="109"/>
      <c r="H119" s="110"/>
      <c r="I119" s="71">
        <f t="shared" ref="I119:I123" si="63">G119*H119</f>
        <v>0</v>
      </c>
      <c r="L119" s="160"/>
      <c r="M119" s="1"/>
      <c r="N119" s="76"/>
      <c r="O119" s="1"/>
      <c r="P119" s="1"/>
      <c r="Q119" s="1"/>
    </row>
    <row r="120" spans="2:17" s="251" customFormat="1" ht="13.5" thickBot="1" x14ac:dyDescent="0.25">
      <c r="B120" s="446"/>
      <c r="C120" s="249"/>
      <c r="E120" s="439" t="s">
        <v>25</v>
      </c>
      <c r="F120" s="440"/>
      <c r="G120" s="111"/>
      <c r="H120" s="112"/>
      <c r="I120" s="71">
        <f t="shared" si="63"/>
        <v>0</v>
      </c>
      <c r="L120" s="160"/>
      <c r="M120" s="1"/>
      <c r="N120" s="76"/>
      <c r="O120" s="1"/>
      <c r="P120" s="1"/>
      <c r="Q120" s="1"/>
    </row>
    <row r="121" spans="2:17" s="251" customFormat="1" ht="13.5" thickBot="1" x14ac:dyDescent="0.25">
      <c r="B121" s="446"/>
      <c r="C121" s="249"/>
      <c r="E121" s="439" t="s">
        <v>26</v>
      </c>
      <c r="F121" s="440"/>
      <c r="G121" s="111"/>
      <c r="H121" s="112"/>
      <c r="I121" s="71">
        <f t="shared" si="63"/>
        <v>0</v>
      </c>
      <c r="L121" s="160"/>
      <c r="M121" s="1"/>
      <c r="N121" s="76"/>
      <c r="O121" s="1"/>
      <c r="P121" s="1"/>
      <c r="Q121" s="1"/>
    </row>
    <row r="122" spans="2:17" s="251" customFormat="1" ht="13.5" thickBot="1" x14ac:dyDescent="0.25">
      <c r="B122" s="446"/>
      <c r="C122" s="249"/>
      <c r="E122" s="441" t="s">
        <v>27</v>
      </c>
      <c r="F122" s="442"/>
      <c r="G122" s="111"/>
      <c r="H122" s="112"/>
      <c r="I122" s="71">
        <f t="shared" si="63"/>
        <v>0</v>
      </c>
      <c r="L122" s="160"/>
      <c r="M122" s="1"/>
      <c r="N122" s="76"/>
      <c r="O122" s="1"/>
      <c r="P122" s="1"/>
      <c r="Q122" s="1"/>
    </row>
    <row r="123" spans="2:17" s="251" customFormat="1" ht="13.5" thickBot="1" x14ac:dyDescent="0.25">
      <c r="B123" s="447"/>
      <c r="C123" s="178"/>
      <c r="D123" s="252"/>
      <c r="E123" s="443" t="s">
        <v>52</v>
      </c>
      <c r="F123" s="444"/>
      <c r="G123" s="113"/>
      <c r="H123" s="114"/>
      <c r="I123" s="179">
        <f t="shared" si="63"/>
        <v>0</v>
      </c>
      <c r="J123" s="252"/>
      <c r="K123" s="180"/>
      <c r="L123" s="157"/>
      <c r="M123" s="1"/>
      <c r="N123" s="76"/>
      <c r="O123" s="1"/>
      <c r="P123" s="1"/>
      <c r="Q123" s="1"/>
    </row>
    <row r="124" spans="2:17" s="251" customFormat="1" ht="13.5" thickBot="1" x14ac:dyDescent="0.25">
      <c r="B124" s="258"/>
      <c r="C124" s="259"/>
      <c r="D124" s="260"/>
      <c r="E124" s="261"/>
      <c r="F124" s="261"/>
      <c r="G124" s="262"/>
      <c r="H124" s="263"/>
      <c r="I124" s="264"/>
      <c r="J124" s="260"/>
      <c r="K124" s="265"/>
      <c r="L124" s="265"/>
      <c r="M124" s="1"/>
      <c r="N124" s="76"/>
      <c r="O124" s="1"/>
      <c r="P124" s="1"/>
      <c r="Q124" s="1"/>
    </row>
    <row r="125" spans="2:17" s="251" customFormat="1" ht="26.25" thickBot="1" x14ac:dyDescent="0.25">
      <c r="B125" s="445">
        <v>6</v>
      </c>
      <c r="C125" s="149" t="s">
        <v>195</v>
      </c>
      <c r="D125" s="253"/>
      <c r="E125" s="150"/>
      <c r="F125" s="150" t="s">
        <v>47</v>
      </c>
      <c r="G125" s="150" t="s">
        <v>48</v>
      </c>
      <c r="H125" s="128" t="s">
        <v>118</v>
      </c>
      <c r="I125" s="150" t="s">
        <v>53</v>
      </c>
      <c r="J125" s="151" t="s">
        <v>43</v>
      </c>
      <c r="K125" s="152" t="s">
        <v>44</v>
      </c>
      <c r="L125" s="254" t="s">
        <v>45</v>
      </c>
      <c r="M125" s="1"/>
      <c r="N125" s="76"/>
      <c r="O125" s="1"/>
      <c r="P125" s="1"/>
      <c r="Q125" s="1"/>
    </row>
    <row r="126" spans="2:17" s="251" customFormat="1" ht="13.5" thickBot="1" x14ac:dyDescent="0.25">
      <c r="B126" s="446"/>
      <c r="C126" s="448"/>
      <c r="D126" s="449"/>
      <c r="E126" s="450"/>
      <c r="F126" s="106"/>
      <c r="G126" s="107"/>
      <c r="H126" s="154">
        <f t="shared" ref="H126" si="64">P126</f>
        <v>1</v>
      </c>
      <c r="I126" s="108"/>
      <c r="J126" s="155" t="e">
        <f t="shared" ref="J126" si="65">(SUM(K130:K135))+(SUM(I140:I144))</f>
        <v>#DIV/0!</v>
      </c>
      <c r="K126" s="156" t="e">
        <f t="shared" ref="K126" si="66">IF(F127="No",Q128,Q127)</f>
        <v>#DIV/0!</v>
      </c>
      <c r="L126" s="157" t="e">
        <f t="shared" ref="L126" si="67">SUM(J126:K126)</f>
        <v>#DIV/0!</v>
      </c>
      <c r="M126" s="1"/>
      <c r="N126" s="76">
        <f t="shared" ref="N126" si="68">IF(ISNUMBER(L126),L126,0)</f>
        <v>0</v>
      </c>
      <c r="O126" s="1">
        <f t="shared" ref="O126" si="69">(G126-F126)+1</f>
        <v>1</v>
      </c>
      <c r="P126" s="1">
        <f t="shared" ref="P126" si="70">IF(OR(O126=366,O126=365),52,(ROUNDUP(O126/7,0)))</f>
        <v>1</v>
      </c>
      <c r="Q126" s="1"/>
    </row>
    <row r="127" spans="2:17" s="251" customFormat="1" ht="13.5" thickBot="1" x14ac:dyDescent="0.25">
      <c r="B127" s="446"/>
      <c r="C127" s="477" t="s">
        <v>248</v>
      </c>
      <c r="D127" s="478"/>
      <c r="E127" s="479"/>
      <c r="F127" s="428"/>
      <c r="G127" s="429"/>
      <c r="H127" s="158"/>
      <c r="I127" s="147"/>
      <c r="J127" s="29"/>
      <c r="K127" s="159"/>
      <c r="L127" s="160"/>
      <c r="M127" s="1"/>
      <c r="N127" s="76"/>
      <c r="O127" s="1"/>
      <c r="P127" s="62" t="s">
        <v>243</v>
      </c>
      <c r="Q127" s="62" t="e">
        <f>IF(F127="Exempt all taxes",0,(J126*FICA)+(J126*Medicare))</f>
        <v>#DIV/0!</v>
      </c>
    </row>
    <row r="128" spans="2:17" s="251" customFormat="1" ht="13.5" thickBot="1" x14ac:dyDescent="0.25">
      <c r="B128" s="446"/>
      <c r="C128" s="451"/>
      <c r="D128" s="452"/>
      <c r="E128" s="452"/>
      <c r="F128" s="452"/>
      <c r="G128" s="452"/>
      <c r="H128" s="452"/>
      <c r="I128" s="452"/>
      <c r="J128" s="452"/>
      <c r="K128" s="452"/>
      <c r="L128" s="453"/>
      <c r="M128" s="1"/>
      <c r="N128" s="76"/>
      <c r="O128" s="1"/>
      <c r="P128" s="62" t="s">
        <v>244</v>
      </c>
      <c r="Q128" s="266" t="e">
        <f>IF(J126&gt;=SUTA_Max,((FUTA_Max*FUTA)+(SUTA_Max*I128)+(J126*FICA)+(J126*Medicare)),IF(J126&gt;=FUTA_Max,((FUTA_Max*FUTA)+(J126*I126)+(J126*FICA)+(J126*Medicare)),IF(J126&lt;FUTA_Max,(J126*(Total_Tax+I126)))))</f>
        <v>#DIV/0!</v>
      </c>
    </row>
    <row r="129" spans="2:17" s="251" customFormat="1" ht="27" thickBot="1" x14ac:dyDescent="0.3">
      <c r="B129" s="446"/>
      <c r="C129" s="161" t="s">
        <v>54</v>
      </c>
      <c r="D129" s="61"/>
      <c r="E129" s="454"/>
      <c r="F129" s="455"/>
      <c r="G129" s="162" t="s">
        <v>49</v>
      </c>
      <c r="H129" s="163" t="s">
        <v>41</v>
      </c>
      <c r="I129" s="164" t="s">
        <v>46</v>
      </c>
      <c r="J129" s="164" t="s">
        <v>51</v>
      </c>
      <c r="K129" s="165" t="s">
        <v>42</v>
      </c>
      <c r="L129" s="160"/>
      <c r="M129" s="1"/>
      <c r="N129" s="76"/>
      <c r="O129" s="1"/>
      <c r="P129" s="1"/>
      <c r="Q129" s="1"/>
    </row>
    <row r="130" spans="2:17" s="251" customFormat="1" ht="13.5" thickBot="1" x14ac:dyDescent="0.25">
      <c r="B130" s="446"/>
      <c r="C130" s="250"/>
      <c r="E130" s="480" t="s">
        <v>116</v>
      </c>
      <c r="F130" s="481"/>
      <c r="G130" s="70"/>
      <c r="H130" s="181"/>
      <c r="I130" s="166">
        <f t="shared" ref="I130:I176" si="71">$H$21</f>
        <v>1</v>
      </c>
      <c r="J130" s="167"/>
      <c r="K130" s="168">
        <f t="shared" ref="K130:K134" si="72">G130*H130*I130</f>
        <v>0</v>
      </c>
      <c r="L130" s="160"/>
      <c r="M130" s="1"/>
      <c r="N130" s="76"/>
      <c r="O130" s="240" t="e">
        <f t="shared" ref="O130" si="73">(G130/Q132)*H130</f>
        <v>#DIV/0!</v>
      </c>
      <c r="P130" s="62"/>
      <c r="Q130" s="241" t="e">
        <f t="shared" ref="Q130" si="74">SUM(O130:O134)</f>
        <v>#DIV/0!</v>
      </c>
    </row>
    <row r="131" spans="2:17" s="251" customFormat="1" ht="13.5" thickBot="1" x14ac:dyDescent="0.25">
      <c r="B131" s="446"/>
      <c r="C131" s="250"/>
      <c r="E131" s="488" t="s">
        <v>227</v>
      </c>
      <c r="F131" s="489"/>
      <c r="G131" s="70"/>
      <c r="H131" s="181"/>
      <c r="I131" s="166">
        <f t="shared" si="71"/>
        <v>1</v>
      </c>
      <c r="J131" s="215"/>
      <c r="K131" s="168">
        <f t="shared" si="72"/>
        <v>0</v>
      </c>
      <c r="L131" s="160"/>
      <c r="M131" s="1"/>
      <c r="N131" s="76"/>
      <c r="O131" s="240" t="e">
        <f t="shared" ref="O131" si="75">(G131/Q132)*H131</f>
        <v>#DIV/0!</v>
      </c>
      <c r="P131" s="62"/>
      <c r="Q131" s="241"/>
    </row>
    <row r="132" spans="2:17" s="251" customFormat="1" ht="13.5" thickBot="1" x14ac:dyDescent="0.25">
      <c r="B132" s="446"/>
      <c r="C132" s="250"/>
      <c r="E132" s="488" t="s">
        <v>95</v>
      </c>
      <c r="F132" s="490"/>
      <c r="G132" s="70"/>
      <c r="H132" s="181"/>
      <c r="I132" s="166">
        <f t="shared" si="71"/>
        <v>1</v>
      </c>
      <c r="J132" s="215"/>
      <c r="K132" s="168">
        <f t="shared" si="72"/>
        <v>0</v>
      </c>
      <c r="L132" s="160"/>
      <c r="M132" s="1"/>
      <c r="N132" s="76"/>
      <c r="O132" s="240" t="e">
        <f t="shared" ref="O132" si="76">(G132/Q132)*H132</f>
        <v>#DIV/0!</v>
      </c>
      <c r="P132" s="62"/>
      <c r="Q132" s="241">
        <f t="shared" ref="Q132" si="77">SUM(G130:G134)</f>
        <v>0</v>
      </c>
    </row>
    <row r="133" spans="2:17" s="251" customFormat="1" ht="13.5" thickBot="1" x14ac:dyDescent="0.25">
      <c r="B133" s="446"/>
      <c r="C133" s="250"/>
      <c r="E133" s="430" t="s">
        <v>233</v>
      </c>
      <c r="F133" s="431"/>
      <c r="G133" s="70"/>
      <c r="H133" s="181"/>
      <c r="I133" s="166">
        <f t="shared" si="71"/>
        <v>1</v>
      </c>
      <c r="J133" s="257"/>
      <c r="K133" s="168">
        <f t="shared" si="72"/>
        <v>0</v>
      </c>
      <c r="L133" s="160"/>
      <c r="M133" s="1"/>
      <c r="N133" s="76"/>
      <c r="O133" s="240" t="e">
        <f t="shared" ref="O133" si="78">(G133/Q132)*H133</f>
        <v>#DIV/0!</v>
      </c>
      <c r="P133" s="62"/>
      <c r="Q133" s="241"/>
    </row>
    <row r="134" spans="2:17" s="251" customFormat="1" ht="13.5" thickBot="1" x14ac:dyDescent="0.25">
      <c r="B134" s="446"/>
      <c r="C134" s="250"/>
      <c r="E134" s="430" t="s">
        <v>234</v>
      </c>
      <c r="F134" s="431"/>
      <c r="G134" s="70"/>
      <c r="H134" s="181"/>
      <c r="I134" s="166">
        <f t="shared" si="71"/>
        <v>1</v>
      </c>
      <c r="J134" s="257"/>
      <c r="K134" s="168">
        <f t="shared" si="72"/>
        <v>0</v>
      </c>
      <c r="L134" s="160"/>
      <c r="M134" s="1"/>
      <c r="N134" s="76"/>
      <c r="O134" s="240" t="e">
        <f t="shared" ref="O134" si="79">(G134/Q132)*H134</f>
        <v>#DIV/0!</v>
      </c>
      <c r="P134" s="62"/>
      <c r="Q134" s="241"/>
    </row>
    <row r="135" spans="2:17" s="251" customFormat="1" ht="13.5" thickBot="1" x14ac:dyDescent="0.25">
      <c r="B135" s="446"/>
      <c r="C135" s="250"/>
      <c r="E135" s="432" t="s">
        <v>24</v>
      </c>
      <c r="F135" s="433"/>
      <c r="G135" s="70"/>
      <c r="H135" s="214"/>
      <c r="I135" s="169">
        <f t="shared" ref="I135" si="80">H126</f>
        <v>1</v>
      </c>
      <c r="J135" s="170" t="e">
        <f t="shared" ref="J135" si="81">Q130*1.5</f>
        <v>#DIV/0!</v>
      </c>
      <c r="K135" s="171" t="e">
        <f t="shared" ref="K135" si="82">G135*I135*J135</f>
        <v>#DIV/0!</v>
      </c>
      <c r="L135" s="160"/>
      <c r="M135" s="1"/>
      <c r="N135" s="76"/>
      <c r="O135" s="1"/>
      <c r="P135" s="1"/>
      <c r="Q135" s="1"/>
    </row>
    <row r="136" spans="2:17" s="251" customFormat="1" x14ac:dyDescent="0.2">
      <c r="B136" s="446"/>
      <c r="C136" s="250"/>
      <c r="D136" s="434" t="s">
        <v>145</v>
      </c>
      <c r="E136" s="434"/>
      <c r="F136" s="434"/>
      <c r="G136" s="434"/>
      <c r="H136" s="434"/>
      <c r="I136" s="434"/>
      <c r="J136" s="434"/>
      <c r="K136" s="434"/>
      <c r="L136" s="172"/>
      <c r="M136" s="1"/>
      <c r="N136" s="76"/>
      <c r="O136" s="1"/>
      <c r="P136" s="1"/>
      <c r="Q136" s="1"/>
    </row>
    <row r="137" spans="2:17" s="251" customFormat="1" x14ac:dyDescent="0.2">
      <c r="B137" s="446"/>
      <c r="C137" s="173"/>
      <c r="D137" s="434"/>
      <c r="E137" s="434"/>
      <c r="F137" s="434"/>
      <c r="G137" s="434"/>
      <c r="H137" s="434"/>
      <c r="I137" s="434"/>
      <c r="J137" s="434"/>
      <c r="K137" s="434"/>
      <c r="L137" s="172"/>
      <c r="M137" s="1"/>
      <c r="N137" s="76"/>
      <c r="O137" s="1"/>
      <c r="P137" s="1"/>
      <c r="Q137" s="1"/>
    </row>
    <row r="138" spans="2:17" s="251" customFormat="1" ht="13.5" thickBot="1" x14ac:dyDescent="0.25">
      <c r="B138" s="446"/>
      <c r="C138" s="249"/>
      <c r="D138" s="5"/>
      <c r="E138" s="5"/>
      <c r="F138" s="5"/>
      <c r="G138" s="5"/>
      <c r="H138" s="5"/>
      <c r="I138" s="5"/>
      <c r="J138" s="5"/>
      <c r="K138" s="5"/>
      <c r="L138" s="174"/>
      <c r="M138" s="1"/>
      <c r="N138" s="76"/>
      <c r="O138" s="1"/>
      <c r="P138" s="1"/>
      <c r="Q138" s="1"/>
    </row>
    <row r="139" spans="2:17" s="251" customFormat="1" ht="27" thickBot="1" x14ac:dyDescent="0.3">
      <c r="B139" s="446"/>
      <c r="C139" s="161" t="s">
        <v>55</v>
      </c>
      <c r="D139" s="61"/>
      <c r="E139" s="435"/>
      <c r="F139" s="436"/>
      <c r="G139" s="175" t="s">
        <v>50</v>
      </c>
      <c r="H139" s="176" t="s">
        <v>56</v>
      </c>
      <c r="I139" s="177" t="s">
        <v>42</v>
      </c>
      <c r="L139" s="160"/>
      <c r="M139" s="1"/>
      <c r="N139" s="76"/>
      <c r="O139" s="1"/>
      <c r="P139" s="1"/>
      <c r="Q139" s="1"/>
    </row>
    <row r="140" spans="2:17" s="251" customFormat="1" ht="13.5" thickBot="1" x14ac:dyDescent="0.25">
      <c r="B140" s="446"/>
      <c r="C140" s="249"/>
      <c r="E140" s="437" t="s">
        <v>28</v>
      </c>
      <c r="F140" s="438"/>
      <c r="G140" s="109"/>
      <c r="H140" s="110"/>
      <c r="I140" s="71">
        <f t="shared" ref="I140:I144" si="83">G140*H140</f>
        <v>0</v>
      </c>
      <c r="L140" s="160"/>
      <c r="M140" s="1"/>
      <c r="N140" s="76"/>
      <c r="O140" s="1"/>
      <c r="P140" s="1"/>
      <c r="Q140" s="1"/>
    </row>
    <row r="141" spans="2:17" s="251" customFormat="1" ht="13.5" thickBot="1" x14ac:dyDescent="0.25">
      <c r="B141" s="446"/>
      <c r="C141" s="249"/>
      <c r="E141" s="439" t="s">
        <v>25</v>
      </c>
      <c r="F141" s="440"/>
      <c r="G141" s="111"/>
      <c r="H141" s="112"/>
      <c r="I141" s="71">
        <f t="shared" si="83"/>
        <v>0</v>
      </c>
      <c r="L141" s="160"/>
      <c r="M141" s="1"/>
      <c r="N141" s="76"/>
      <c r="O141" s="1"/>
      <c r="P141" s="1"/>
      <c r="Q141" s="1"/>
    </row>
    <row r="142" spans="2:17" s="251" customFormat="1" ht="13.5" thickBot="1" x14ac:dyDescent="0.25">
      <c r="B142" s="446"/>
      <c r="C142" s="249"/>
      <c r="E142" s="439" t="s">
        <v>26</v>
      </c>
      <c r="F142" s="440"/>
      <c r="G142" s="111"/>
      <c r="H142" s="112"/>
      <c r="I142" s="71">
        <f t="shared" si="83"/>
        <v>0</v>
      </c>
      <c r="L142" s="160"/>
      <c r="M142" s="1"/>
      <c r="N142" s="76"/>
      <c r="O142" s="1"/>
      <c r="P142" s="1"/>
      <c r="Q142" s="1"/>
    </row>
    <row r="143" spans="2:17" s="251" customFormat="1" ht="13.5" thickBot="1" x14ac:dyDescent="0.25">
      <c r="B143" s="446"/>
      <c r="C143" s="249"/>
      <c r="E143" s="441" t="s">
        <v>27</v>
      </c>
      <c r="F143" s="442"/>
      <c r="G143" s="111"/>
      <c r="H143" s="112"/>
      <c r="I143" s="71">
        <f t="shared" si="83"/>
        <v>0</v>
      </c>
      <c r="L143" s="160"/>
      <c r="M143" s="1"/>
      <c r="N143" s="76"/>
      <c r="O143" s="1"/>
      <c r="P143" s="1"/>
      <c r="Q143" s="1"/>
    </row>
    <row r="144" spans="2:17" s="251" customFormat="1" ht="13.5" thickBot="1" x14ac:dyDescent="0.25">
      <c r="B144" s="447"/>
      <c r="C144" s="178"/>
      <c r="D144" s="252"/>
      <c r="E144" s="443" t="s">
        <v>52</v>
      </c>
      <c r="F144" s="444"/>
      <c r="G144" s="113"/>
      <c r="H144" s="114"/>
      <c r="I144" s="179">
        <f t="shared" si="83"/>
        <v>0</v>
      </c>
      <c r="J144" s="252"/>
      <c r="K144" s="180"/>
      <c r="L144" s="157"/>
      <c r="M144" s="1"/>
      <c r="N144" s="76"/>
      <c r="O144" s="1"/>
      <c r="P144" s="1"/>
      <c r="Q144" s="1"/>
    </row>
    <row r="145" spans="2:17" s="251" customFormat="1" ht="13.5" thickBot="1" x14ac:dyDescent="0.25">
      <c r="B145" s="258"/>
      <c r="C145" s="259"/>
      <c r="D145" s="260"/>
      <c r="E145" s="261"/>
      <c r="F145" s="261"/>
      <c r="G145" s="262"/>
      <c r="H145" s="263"/>
      <c r="I145" s="264"/>
      <c r="J145" s="260"/>
      <c r="K145" s="265"/>
      <c r="L145" s="265"/>
      <c r="M145" s="1"/>
      <c r="N145" s="76"/>
      <c r="O145" s="1"/>
      <c r="P145" s="1"/>
      <c r="Q145" s="1"/>
    </row>
    <row r="146" spans="2:17" s="251" customFormat="1" ht="26.25" thickBot="1" x14ac:dyDescent="0.25">
      <c r="B146" s="445">
        <v>7</v>
      </c>
      <c r="C146" s="149" t="s">
        <v>195</v>
      </c>
      <c r="D146" s="253"/>
      <c r="E146" s="150"/>
      <c r="F146" s="150" t="s">
        <v>47</v>
      </c>
      <c r="G146" s="150" t="s">
        <v>48</v>
      </c>
      <c r="H146" s="128" t="s">
        <v>118</v>
      </c>
      <c r="I146" s="150" t="s">
        <v>53</v>
      </c>
      <c r="J146" s="151" t="s">
        <v>43</v>
      </c>
      <c r="K146" s="152" t="s">
        <v>44</v>
      </c>
      <c r="L146" s="254" t="s">
        <v>45</v>
      </c>
      <c r="M146" s="1"/>
      <c r="N146" s="76"/>
      <c r="O146" s="1"/>
      <c r="P146" s="1"/>
      <c r="Q146" s="1"/>
    </row>
    <row r="147" spans="2:17" s="251" customFormat="1" ht="13.5" thickBot="1" x14ac:dyDescent="0.25">
      <c r="B147" s="446"/>
      <c r="C147" s="448"/>
      <c r="D147" s="449"/>
      <c r="E147" s="450"/>
      <c r="F147" s="106"/>
      <c r="G147" s="107"/>
      <c r="H147" s="154">
        <f t="shared" ref="H147" si="84">P147</f>
        <v>1</v>
      </c>
      <c r="I147" s="108"/>
      <c r="J147" s="155" t="e">
        <f t="shared" ref="J147" si="85">(SUM(K151:K156))+(SUM(I161:I165))</f>
        <v>#DIV/0!</v>
      </c>
      <c r="K147" s="156" t="e">
        <f t="shared" ref="K147" si="86">IF(F148="No",Q149,Q148)</f>
        <v>#DIV/0!</v>
      </c>
      <c r="L147" s="157" t="e">
        <f t="shared" ref="L147" si="87">SUM(J147:K147)</f>
        <v>#DIV/0!</v>
      </c>
      <c r="M147" s="1"/>
      <c r="N147" s="76">
        <f t="shared" ref="N147" si="88">IF(ISNUMBER(L147),L147,0)</f>
        <v>0</v>
      </c>
      <c r="O147" s="1">
        <f t="shared" ref="O147" si="89">(G147-F147)+1</f>
        <v>1</v>
      </c>
      <c r="P147" s="1">
        <f t="shared" ref="P147" si="90">IF(OR(O147=366,O147=365),52,(ROUNDUP(O147/7,0)))</f>
        <v>1</v>
      </c>
      <c r="Q147" s="1"/>
    </row>
    <row r="148" spans="2:17" s="251" customFormat="1" ht="13.5" thickBot="1" x14ac:dyDescent="0.25">
      <c r="B148" s="446"/>
      <c r="C148" s="477" t="s">
        <v>248</v>
      </c>
      <c r="D148" s="478"/>
      <c r="E148" s="479"/>
      <c r="F148" s="428"/>
      <c r="G148" s="429"/>
      <c r="H148" s="158"/>
      <c r="I148" s="147"/>
      <c r="J148" s="29"/>
      <c r="K148" s="159"/>
      <c r="L148" s="160"/>
      <c r="M148" s="1"/>
      <c r="N148" s="76"/>
      <c r="O148" s="1"/>
      <c r="P148" s="62" t="s">
        <v>243</v>
      </c>
      <c r="Q148" s="62" t="e">
        <f>IF(F148="Exempt all taxes",0,(J147*FICA)+(J147*Medicare))</f>
        <v>#DIV/0!</v>
      </c>
    </row>
    <row r="149" spans="2:17" s="251" customFormat="1" ht="13.5" thickBot="1" x14ac:dyDescent="0.25">
      <c r="B149" s="446"/>
      <c r="C149" s="451"/>
      <c r="D149" s="452"/>
      <c r="E149" s="452"/>
      <c r="F149" s="452"/>
      <c r="G149" s="452"/>
      <c r="H149" s="452"/>
      <c r="I149" s="452"/>
      <c r="J149" s="452"/>
      <c r="K149" s="452"/>
      <c r="L149" s="453"/>
      <c r="M149" s="1"/>
      <c r="N149" s="76"/>
      <c r="O149" s="1"/>
      <c r="P149" s="62" t="s">
        <v>244</v>
      </c>
      <c r="Q149" s="266" t="e">
        <f>IF(J147&gt;=SUTA_Max,((FUTA_Max*FUTA)+(SUTA_Max*I149)+(J147*FICA)+(J147*Medicare)),IF(J147&gt;=FUTA_Max,((FUTA_Max*FUTA)+(J147*I147)+(J147*FICA)+(J147*Medicare)),IF(J147&lt;FUTA_Max,(J147*(Total_Tax+I147)))))</f>
        <v>#DIV/0!</v>
      </c>
    </row>
    <row r="150" spans="2:17" s="251" customFormat="1" ht="27" thickBot="1" x14ac:dyDescent="0.3">
      <c r="B150" s="446"/>
      <c r="C150" s="161" t="s">
        <v>54</v>
      </c>
      <c r="D150" s="61"/>
      <c r="E150" s="454"/>
      <c r="F150" s="455"/>
      <c r="G150" s="162" t="s">
        <v>49</v>
      </c>
      <c r="H150" s="163" t="s">
        <v>41</v>
      </c>
      <c r="I150" s="164" t="s">
        <v>46</v>
      </c>
      <c r="J150" s="164" t="s">
        <v>51</v>
      </c>
      <c r="K150" s="165" t="s">
        <v>42</v>
      </c>
      <c r="L150" s="160"/>
      <c r="M150" s="1"/>
      <c r="N150" s="76"/>
      <c r="O150" s="1"/>
      <c r="P150" s="1"/>
      <c r="Q150" s="1"/>
    </row>
    <row r="151" spans="2:17" s="251" customFormat="1" ht="13.5" thickBot="1" x14ac:dyDescent="0.25">
      <c r="B151" s="446"/>
      <c r="C151" s="250"/>
      <c r="E151" s="480" t="s">
        <v>116</v>
      </c>
      <c r="F151" s="481"/>
      <c r="G151" s="70"/>
      <c r="H151" s="181"/>
      <c r="I151" s="166">
        <f t="shared" ref="I151:I152" si="91">$H$21</f>
        <v>1</v>
      </c>
      <c r="J151" s="167"/>
      <c r="K151" s="168">
        <f t="shared" ref="K151:K155" si="92">G151*H151*I151</f>
        <v>0</v>
      </c>
      <c r="L151" s="160"/>
      <c r="M151" s="1"/>
      <c r="N151" s="76"/>
      <c r="O151" s="240" t="e">
        <f t="shared" ref="O151" si="93">(G151/Q153)*H151</f>
        <v>#DIV/0!</v>
      </c>
      <c r="P151" s="62"/>
      <c r="Q151" s="241" t="e">
        <f t="shared" ref="Q151" si="94">SUM(O151:O155)</f>
        <v>#DIV/0!</v>
      </c>
    </row>
    <row r="152" spans="2:17" s="251" customFormat="1" ht="13.5" thickBot="1" x14ac:dyDescent="0.25">
      <c r="B152" s="446"/>
      <c r="C152" s="250"/>
      <c r="E152" s="488" t="s">
        <v>227</v>
      </c>
      <c r="F152" s="489"/>
      <c r="G152" s="70"/>
      <c r="H152" s="181"/>
      <c r="I152" s="166">
        <f t="shared" si="91"/>
        <v>1</v>
      </c>
      <c r="J152" s="215"/>
      <c r="K152" s="168">
        <f t="shared" si="92"/>
        <v>0</v>
      </c>
      <c r="L152" s="160"/>
      <c r="M152" s="1"/>
      <c r="N152" s="76"/>
      <c r="O152" s="240" t="e">
        <f t="shared" ref="O152" si="95">(G152/Q153)*H152</f>
        <v>#DIV/0!</v>
      </c>
      <c r="P152" s="62"/>
      <c r="Q152" s="241"/>
    </row>
    <row r="153" spans="2:17" s="251" customFormat="1" ht="13.5" thickBot="1" x14ac:dyDescent="0.25">
      <c r="B153" s="446"/>
      <c r="C153" s="250"/>
      <c r="E153" s="488" t="s">
        <v>95</v>
      </c>
      <c r="F153" s="490"/>
      <c r="G153" s="70"/>
      <c r="H153" s="181"/>
      <c r="I153" s="166">
        <f t="shared" si="71"/>
        <v>1</v>
      </c>
      <c r="J153" s="215"/>
      <c r="K153" s="168">
        <f t="shared" si="92"/>
        <v>0</v>
      </c>
      <c r="L153" s="160"/>
      <c r="M153" s="1"/>
      <c r="N153" s="76"/>
      <c r="O153" s="240" t="e">
        <f t="shared" ref="O153" si="96">(G153/Q153)*H153</f>
        <v>#DIV/0!</v>
      </c>
      <c r="P153" s="62"/>
      <c r="Q153" s="241">
        <f t="shared" ref="Q153" si="97">SUM(G151:G155)</f>
        <v>0</v>
      </c>
    </row>
    <row r="154" spans="2:17" s="251" customFormat="1" ht="13.5" thickBot="1" x14ac:dyDescent="0.25">
      <c r="B154" s="446"/>
      <c r="C154" s="250"/>
      <c r="E154" s="430" t="s">
        <v>233</v>
      </c>
      <c r="F154" s="431"/>
      <c r="G154" s="70"/>
      <c r="H154" s="181"/>
      <c r="I154" s="166">
        <f t="shared" si="71"/>
        <v>1</v>
      </c>
      <c r="J154" s="257"/>
      <c r="K154" s="168">
        <f t="shared" si="92"/>
        <v>0</v>
      </c>
      <c r="L154" s="160"/>
      <c r="M154" s="1"/>
      <c r="N154" s="76"/>
      <c r="O154" s="240" t="e">
        <f t="shared" ref="O154" si="98">(G154/Q153)*H154</f>
        <v>#DIV/0!</v>
      </c>
      <c r="P154" s="62"/>
      <c r="Q154" s="241"/>
    </row>
    <row r="155" spans="2:17" s="251" customFormat="1" ht="13.5" thickBot="1" x14ac:dyDescent="0.25">
      <c r="B155" s="446"/>
      <c r="C155" s="250"/>
      <c r="E155" s="430" t="s">
        <v>234</v>
      </c>
      <c r="F155" s="431"/>
      <c r="G155" s="70"/>
      <c r="H155" s="181"/>
      <c r="I155" s="166">
        <f t="shared" si="71"/>
        <v>1</v>
      </c>
      <c r="J155" s="257"/>
      <c r="K155" s="168">
        <f t="shared" si="92"/>
        <v>0</v>
      </c>
      <c r="L155" s="160"/>
      <c r="M155" s="1"/>
      <c r="N155" s="76"/>
      <c r="O155" s="240" t="e">
        <f t="shared" ref="O155" si="99">(G155/Q153)*H155</f>
        <v>#DIV/0!</v>
      </c>
      <c r="P155" s="62"/>
      <c r="Q155" s="241"/>
    </row>
    <row r="156" spans="2:17" s="251" customFormat="1" ht="13.5" thickBot="1" x14ac:dyDescent="0.25">
      <c r="B156" s="446"/>
      <c r="C156" s="250"/>
      <c r="E156" s="432" t="s">
        <v>24</v>
      </c>
      <c r="F156" s="433"/>
      <c r="G156" s="70"/>
      <c r="H156" s="214"/>
      <c r="I156" s="169">
        <f t="shared" ref="I156" si="100">H147</f>
        <v>1</v>
      </c>
      <c r="J156" s="170" t="e">
        <f t="shared" ref="J156" si="101">Q151*1.5</f>
        <v>#DIV/0!</v>
      </c>
      <c r="K156" s="171" t="e">
        <f t="shared" ref="K156" si="102">G156*I156*J156</f>
        <v>#DIV/0!</v>
      </c>
      <c r="L156" s="160"/>
      <c r="M156" s="1"/>
      <c r="N156" s="76"/>
      <c r="O156" s="1"/>
      <c r="P156" s="1"/>
      <c r="Q156" s="1"/>
    </row>
    <row r="157" spans="2:17" s="251" customFormat="1" x14ac:dyDescent="0.2">
      <c r="B157" s="446"/>
      <c r="C157" s="250"/>
      <c r="D157" s="434" t="s">
        <v>145</v>
      </c>
      <c r="E157" s="434"/>
      <c r="F157" s="434"/>
      <c r="G157" s="434"/>
      <c r="H157" s="434"/>
      <c r="I157" s="434"/>
      <c r="J157" s="434"/>
      <c r="K157" s="434"/>
      <c r="L157" s="172"/>
      <c r="M157" s="1"/>
      <c r="N157" s="76"/>
      <c r="O157" s="1"/>
      <c r="P157" s="1"/>
      <c r="Q157" s="1"/>
    </row>
    <row r="158" spans="2:17" s="251" customFormat="1" x14ac:dyDescent="0.2">
      <c r="B158" s="446"/>
      <c r="C158" s="173"/>
      <c r="D158" s="434"/>
      <c r="E158" s="434"/>
      <c r="F158" s="434"/>
      <c r="G158" s="434"/>
      <c r="H158" s="434"/>
      <c r="I158" s="434"/>
      <c r="J158" s="434"/>
      <c r="K158" s="434"/>
      <c r="L158" s="172"/>
      <c r="M158" s="1"/>
      <c r="N158" s="76"/>
      <c r="O158" s="1"/>
      <c r="P158" s="1"/>
      <c r="Q158" s="1"/>
    </row>
    <row r="159" spans="2:17" s="251" customFormat="1" ht="13.5" thickBot="1" x14ac:dyDescent="0.25">
      <c r="B159" s="446"/>
      <c r="C159" s="249"/>
      <c r="D159" s="5"/>
      <c r="E159" s="5"/>
      <c r="F159" s="5"/>
      <c r="G159" s="5"/>
      <c r="H159" s="5"/>
      <c r="I159" s="5"/>
      <c r="J159" s="5"/>
      <c r="K159" s="5"/>
      <c r="L159" s="174"/>
      <c r="M159" s="1"/>
      <c r="N159" s="76"/>
      <c r="O159" s="1"/>
      <c r="P159" s="1"/>
      <c r="Q159" s="1"/>
    </row>
    <row r="160" spans="2:17" s="251" customFormat="1" ht="27" thickBot="1" x14ac:dyDescent="0.3">
      <c r="B160" s="446"/>
      <c r="C160" s="161" t="s">
        <v>55</v>
      </c>
      <c r="D160" s="61"/>
      <c r="E160" s="435"/>
      <c r="F160" s="436"/>
      <c r="G160" s="175" t="s">
        <v>50</v>
      </c>
      <c r="H160" s="176" t="s">
        <v>56</v>
      </c>
      <c r="I160" s="177" t="s">
        <v>42</v>
      </c>
      <c r="L160" s="160"/>
      <c r="M160" s="1"/>
      <c r="N160" s="76"/>
      <c r="O160" s="1"/>
      <c r="P160" s="1"/>
      <c r="Q160" s="1"/>
    </row>
    <row r="161" spans="2:17" s="251" customFormat="1" ht="13.5" thickBot="1" x14ac:dyDescent="0.25">
      <c r="B161" s="446"/>
      <c r="C161" s="249"/>
      <c r="E161" s="437" t="s">
        <v>28</v>
      </c>
      <c r="F161" s="438"/>
      <c r="G161" s="109"/>
      <c r="H161" s="110"/>
      <c r="I161" s="71">
        <f t="shared" ref="I161:I165" si="103">G161*H161</f>
        <v>0</v>
      </c>
      <c r="L161" s="160"/>
      <c r="M161" s="1"/>
      <c r="N161" s="76"/>
      <c r="O161" s="1"/>
      <c r="P161" s="1"/>
      <c r="Q161" s="1"/>
    </row>
    <row r="162" spans="2:17" s="251" customFormat="1" ht="13.5" thickBot="1" x14ac:dyDescent="0.25">
      <c r="B162" s="446"/>
      <c r="C162" s="249"/>
      <c r="E162" s="439" t="s">
        <v>25</v>
      </c>
      <c r="F162" s="440"/>
      <c r="G162" s="111"/>
      <c r="H162" s="112"/>
      <c r="I162" s="71">
        <f t="shared" si="103"/>
        <v>0</v>
      </c>
      <c r="L162" s="160"/>
      <c r="M162" s="1"/>
      <c r="N162" s="76"/>
      <c r="O162" s="1"/>
      <c r="P162" s="1"/>
      <c r="Q162" s="1"/>
    </row>
    <row r="163" spans="2:17" s="251" customFormat="1" ht="13.5" thickBot="1" x14ac:dyDescent="0.25">
      <c r="B163" s="446"/>
      <c r="C163" s="249"/>
      <c r="E163" s="439" t="s">
        <v>26</v>
      </c>
      <c r="F163" s="440"/>
      <c r="G163" s="111"/>
      <c r="H163" s="112"/>
      <c r="I163" s="71">
        <f t="shared" si="103"/>
        <v>0</v>
      </c>
      <c r="L163" s="160"/>
      <c r="M163" s="1"/>
      <c r="N163" s="76"/>
      <c r="O163" s="1"/>
      <c r="P163" s="1"/>
      <c r="Q163" s="1"/>
    </row>
    <row r="164" spans="2:17" s="251" customFormat="1" ht="13.5" thickBot="1" x14ac:dyDescent="0.25">
      <c r="B164" s="446"/>
      <c r="C164" s="249"/>
      <c r="E164" s="441" t="s">
        <v>27</v>
      </c>
      <c r="F164" s="442"/>
      <c r="G164" s="111"/>
      <c r="H164" s="112"/>
      <c r="I164" s="71">
        <f t="shared" si="103"/>
        <v>0</v>
      </c>
      <c r="L164" s="160"/>
      <c r="M164" s="1"/>
      <c r="N164" s="76"/>
      <c r="O164" s="1"/>
      <c r="P164" s="1"/>
      <c r="Q164" s="1"/>
    </row>
    <row r="165" spans="2:17" s="251" customFormat="1" ht="13.5" thickBot="1" x14ac:dyDescent="0.25">
      <c r="B165" s="447"/>
      <c r="C165" s="178"/>
      <c r="D165" s="252"/>
      <c r="E165" s="443" t="s">
        <v>52</v>
      </c>
      <c r="F165" s="444"/>
      <c r="G165" s="113"/>
      <c r="H165" s="114"/>
      <c r="I165" s="179">
        <f t="shared" si="103"/>
        <v>0</v>
      </c>
      <c r="J165" s="252"/>
      <c r="K165" s="180"/>
      <c r="L165" s="157"/>
      <c r="M165" s="1"/>
      <c r="N165" s="76"/>
      <c r="O165" s="1"/>
      <c r="P165" s="1"/>
      <c r="Q165" s="1"/>
    </row>
    <row r="166" spans="2:17" s="251" customFormat="1" ht="13.5" thickBot="1" x14ac:dyDescent="0.25">
      <c r="B166" s="258"/>
      <c r="C166" s="259"/>
      <c r="D166" s="260"/>
      <c r="E166" s="261"/>
      <c r="F166" s="261"/>
      <c r="G166" s="262"/>
      <c r="H166" s="263"/>
      <c r="I166" s="264"/>
      <c r="J166" s="260"/>
      <c r="K166" s="265"/>
      <c r="L166" s="265"/>
      <c r="M166" s="1"/>
      <c r="N166" s="76"/>
      <c r="O166" s="1"/>
      <c r="P166" s="1"/>
      <c r="Q166" s="1"/>
    </row>
    <row r="167" spans="2:17" s="251" customFormat="1" ht="26.25" thickBot="1" x14ac:dyDescent="0.25">
      <c r="B167" s="445">
        <v>8</v>
      </c>
      <c r="C167" s="149" t="s">
        <v>195</v>
      </c>
      <c r="D167" s="253"/>
      <c r="E167" s="150"/>
      <c r="F167" s="150" t="s">
        <v>47</v>
      </c>
      <c r="G167" s="150" t="s">
        <v>48</v>
      </c>
      <c r="H167" s="128" t="s">
        <v>118</v>
      </c>
      <c r="I167" s="150" t="s">
        <v>53</v>
      </c>
      <c r="J167" s="151" t="s">
        <v>43</v>
      </c>
      <c r="K167" s="152" t="s">
        <v>44</v>
      </c>
      <c r="L167" s="254" t="s">
        <v>45</v>
      </c>
      <c r="M167" s="1"/>
      <c r="N167" s="76"/>
      <c r="O167" s="1"/>
      <c r="P167" s="1"/>
      <c r="Q167" s="1"/>
    </row>
    <row r="168" spans="2:17" s="251" customFormat="1" ht="13.5" thickBot="1" x14ac:dyDescent="0.25">
      <c r="B168" s="446"/>
      <c r="C168" s="448"/>
      <c r="D168" s="449"/>
      <c r="E168" s="450"/>
      <c r="F168" s="106"/>
      <c r="G168" s="107"/>
      <c r="H168" s="154">
        <f t="shared" ref="H168" si="104">P168</f>
        <v>1</v>
      </c>
      <c r="I168" s="108"/>
      <c r="J168" s="155" t="e">
        <f t="shared" ref="J168" si="105">(SUM(K172:K177))+(SUM(I182:I186))</f>
        <v>#DIV/0!</v>
      </c>
      <c r="K168" s="156" t="e">
        <f t="shared" ref="K168" si="106">IF(F169="No",Q170,Q169)</f>
        <v>#DIV/0!</v>
      </c>
      <c r="L168" s="157" t="e">
        <f t="shared" ref="L168" si="107">SUM(J168:K168)</f>
        <v>#DIV/0!</v>
      </c>
      <c r="M168" s="1"/>
      <c r="N168" s="76">
        <f t="shared" ref="N168" si="108">IF(ISNUMBER(L168),L168,0)</f>
        <v>0</v>
      </c>
      <c r="O168" s="1">
        <f t="shared" ref="O168" si="109">(G168-F168)+1</f>
        <v>1</v>
      </c>
      <c r="P168" s="1">
        <f t="shared" ref="P168" si="110">IF(OR(O168=366,O168=365),52,(ROUNDUP(O168/7,0)))</f>
        <v>1</v>
      </c>
      <c r="Q168" s="1"/>
    </row>
    <row r="169" spans="2:17" s="251" customFormat="1" ht="13.5" thickBot="1" x14ac:dyDescent="0.25">
      <c r="B169" s="446"/>
      <c r="C169" s="477" t="s">
        <v>248</v>
      </c>
      <c r="D169" s="478"/>
      <c r="E169" s="479"/>
      <c r="F169" s="428"/>
      <c r="G169" s="429"/>
      <c r="H169" s="158"/>
      <c r="I169" s="147"/>
      <c r="J169" s="29"/>
      <c r="K169" s="159"/>
      <c r="L169" s="160"/>
      <c r="M169" s="1"/>
      <c r="N169" s="76"/>
      <c r="O169" s="1"/>
      <c r="P169" s="62" t="s">
        <v>243</v>
      </c>
      <c r="Q169" s="62" t="e">
        <f>IF(F169="Exempt all taxes",0,(J168*FICA)+(J168*Medicare))</f>
        <v>#DIV/0!</v>
      </c>
    </row>
    <row r="170" spans="2:17" s="251" customFormat="1" ht="13.5" thickBot="1" x14ac:dyDescent="0.25">
      <c r="B170" s="446"/>
      <c r="C170" s="451"/>
      <c r="D170" s="452"/>
      <c r="E170" s="452"/>
      <c r="F170" s="452"/>
      <c r="G170" s="452"/>
      <c r="H170" s="452"/>
      <c r="I170" s="452"/>
      <c r="J170" s="452"/>
      <c r="K170" s="452"/>
      <c r="L170" s="453"/>
      <c r="M170" s="1"/>
      <c r="N170" s="76"/>
      <c r="O170" s="1"/>
      <c r="P170" s="62" t="s">
        <v>244</v>
      </c>
      <c r="Q170" s="266" t="e">
        <f>IF(J168&gt;=SUTA_Max,((FUTA_Max*FUTA)+(SUTA_Max*I170)+(J168*FICA)+(J168*Medicare)),IF(J168&gt;=FUTA_Max,((FUTA_Max*FUTA)+(J168*I168)+(J168*FICA)+(J168*Medicare)),IF(J168&lt;FUTA_Max,(J168*(Total_Tax+I168)))))</f>
        <v>#DIV/0!</v>
      </c>
    </row>
    <row r="171" spans="2:17" s="251" customFormat="1" ht="27" thickBot="1" x14ac:dyDescent="0.3">
      <c r="B171" s="446"/>
      <c r="C171" s="161" t="s">
        <v>54</v>
      </c>
      <c r="D171" s="61"/>
      <c r="E171" s="454"/>
      <c r="F171" s="455"/>
      <c r="G171" s="162" t="s">
        <v>49</v>
      </c>
      <c r="H171" s="163" t="s">
        <v>41</v>
      </c>
      <c r="I171" s="164" t="s">
        <v>46</v>
      </c>
      <c r="J171" s="164" t="s">
        <v>51</v>
      </c>
      <c r="K171" s="165" t="s">
        <v>42</v>
      </c>
      <c r="L171" s="160"/>
      <c r="M171" s="1"/>
      <c r="N171" s="76"/>
      <c r="O171" s="1"/>
      <c r="P171" s="1"/>
      <c r="Q171" s="1"/>
    </row>
    <row r="172" spans="2:17" s="251" customFormat="1" ht="13.5" thickBot="1" x14ac:dyDescent="0.25">
      <c r="B172" s="446"/>
      <c r="C172" s="250"/>
      <c r="E172" s="480" t="s">
        <v>116</v>
      </c>
      <c r="F172" s="481"/>
      <c r="G172" s="70"/>
      <c r="H172" s="181"/>
      <c r="I172" s="166">
        <f t="shared" ref="I172:I173" si="111">$H$21</f>
        <v>1</v>
      </c>
      <c r="J172" s="167"/>
      <c r="K172" s="168">
        <f t="shared" ref="K172:K176" si="112">G172*H172*I172</f>
        <v>0</v>
      </c>
      <c r="L172" s="160"/>
      <c r="M172" s="1"/>
      <c r="N172" s="76"/>
      <c r="O172" s="240" t="e">
        <f t="shared" ref="O172" si="113">(G172/Q174)*H172</f>
        <v>#DIV/0!</v>
      </c>
      <c r="P172" s="62"/>
      <c r="Q172" s="241" t="e">
        <f t="shared" ref="Q172" si="114">SUM(O172:O176)</f>
        <v>#DIV/0!</v>
      </c>
    </row>
    <row r="173" spans="2:17" s="251" customFormat="1" ht="13.5" thickBot="1" x14ac:dyDescent="0.25">
      <c r="B173" s="446"/>
      <c r="C173" s="250"/>
      <c r="E173" s="488" t="s">
        <v>227</v>
      </c>
      <c r="F173" s="489"/>
      <c r="G173" s="70"/>
      <c r="H173" s="181"/>
      <c r="I173" s="166">
        <f t="shared" si="111"/>
        <v>1</v>
      </c>
      <c r="J173" s="215"/>
      <c r="K173" s="168">
        <f t="shared" si="112"/>
        <v>0</v>
      </c>
      <c r="L173" s="160"/>
      <c r="M173" s="1"/>
      <c r="N173" s="76"/>
      <c r="O173" s="240" t="e">
        <f t="shared" ref="O173" si="115">(G173/Q174)*H173</f>
        <v>#DIV/0!</v>
      </c>
      <c r="P173" s="62"/>
      <c r="Q173" s="241"/>
    </row>
    <row r="174" spans="2:17" s="251" customFormat="1" ht="13.5" thickBot="1" x14ac:dyDescent="0.25">
      <c r="B174" s="446"/>
      <c r="C174" s="250"/>
      <c r="E174" s="488" t="s">
        <v>95</v>
      </c>
      <c r="F174" s="490"/>
      <c r="G174" s="70"/>
      <c r="H174" s="181"/>
      <c r="I174" s="166">
        <f t="shared" si="71"/>
        <v>1</v>
      </c>
      <c r="J174" s="215"/>
      <c r="K174" s="168">
        <f t="shared" si="112"/>
        <v>0</v>
      </c>
      <c r="L174" s="160"/>
      <c r="M174" s="1"/>
      <c r="N174" s="76"/>
      <c r="O174" s="240" t="e">
        <f t="shared" ref="O174" si="116">(G174/Q174)*H174</f>
        <v>#DIV/0!</v>
      </c>
      <c r="P174" s="62"/>
      <c r="Q174" s="241">
        <f t="shared" ref="Q174" si="117">SUM(G172:G176)</f>
        <v>0</v>
      </c>
    </row>
    <row r="175" spans="2:17" s="251" customFormat="1" ht="13.5" thickBot="1" x14ac:dyDescent="0.25">
      <c r="B175" s="446"/>
      <c r="C175" s="250"/>
      <c r="E175" s="430" t="s">
        <v>233</v>
      </c>
      <c r="F175" s="431"/>
      <c r="G175" s="70"/>
      <c r="H175" s="181"/>
      <c r="I175" s="166">
        <f t="shared" si="71"/>
        <v>1</v>
      </c>
      <c r="J175" s="257"/>
      <c r="K175" s="168">
        <f t="shared" si="112"/>
        <v>0</v>
      </c>
      <c r="L175" s="160"/>
      <c r="M175" s="1"/>
      <c r="N175" s="76"/>
      <c r="O175" s="240" t="e">
        <f t="shared" ref="O175" si="118">(G175/Q174)*H175</f>
        <v>#DIV/0!</v>
      </c>
      <c r="P175" s="62"/>
      <c r="Q175" s="241"/>
    </row>
    <row r="176" spans="2:17" s="251" customFormat="1" ht="13.5" thickBot="1" x14ac:dyDescent="0.25">
      <c r="B176" s="446"/>
      <c r="C176" s="250"/>
      <c r="E176" s="430" t="s">
        <v>234</v>
      </c>
      <c r="F176" s="431"/>
      <c r="G176" s="70"/>
      <c r="H176" s="181"/>
      <c r="I176" s="166">
        <f t="shared" si="71"/>
        <v>1</v>
      </c>
      <c r="J176" s="257"/>
      <c r="K176" s="168">
        <f t="shared" si="112"/>
        <v>0</v>
      </c>
      <c r="L176" s="160"/>
      <c r="M176" s="1"/>
      <c r="N176" s="76"/>
      <c r="O176" s="240" t="e">
        <f t="shared" ref="O176" si="119">(G176/Q174)*H176</f>
        <v>#DIV/0!</v>
      </c>
      <c r="P176" s="62"/>
      <c r="Q176" s="241"/>
    </row>
    <row r="177" spans="2:17" s="251" customFormat="1" ht="13.5" thickBot="1" x14ac:dyDescent="0.25">
      <c r="B177" s="446"/>
      <c r="C177" s="250"/>
      <c r="E177" s="432" t="s">
        <v>24</v>
      </c>
      <c r="F177" s="433"/>
      <c r="G177" s="70"/>
      <c r="H177" s="214"/>
      <c r="I177" s="169">
        <f t="shared" ref="I177" si="120">H168</f>
        <v>1</v>
      </c>
      <c r="J177" s="170" t="e">
        <f t="shared" ref="J177" si="121">Q172*1.5</f>
        <v>#DIV/0!</v>
      </c>
      <c r="K177" s="171" t="e">
        <f t="shared" ref="K177" si="122">G177*I177*J177</f>
        <v>#DIV/0!</v>
      </c>
      <c r="L177" s="160"/>
      <c r="M177" s="1"/>
      <c r="N177" s="76"/>
      <c r="O177" s="1"/>
      <c r="P177" s="1"/>
      <c r="Q177" s="1"/>
    </row>
    <row r="178" spans="2:17" s="251" customFormat="1" x14ac:dyDescent="0.2">
      <c r="B178" s="446"/>
      <c r="C178" s="250"/>
      <c r="D178" s="434" t="s">
        <v>145</v>
      </c>
      <c r="E178" s="434"/>
      <c r="F178" s="434"/>
      <c r="G178" s="434"/>
      <c r="H178" s="434"/>
      <c r="I178" s="434"/>
      <c r="J178" s="434"/>
      <c r="K178" s="434"/>
      <c r="L178" s="172"/>
      <c r="M178" s="1"/>
      <c r="N178" s="76"/>
      <c r="O178" s="1"/>
      <c r="P178" s="1"/>
      <c r="Q178" s="1"/>
    </row>
    <row r="179" spans="2:17" s="251" customFormat="1" x14ac:dyDescent="0.2">
      <c r="B179" s="446"/>
      <c r="C179" s="173"/>
      <c r="D179" s="434"/>
      <c r="E179" s="434"/>
      <c r="F179" s="434"/>
      <c r="G179" s="434"/>
      <c r="H179" s="434"/>
      <c r="I179" s="434"/>
      <c r="J179" s="434"/>
      <c r="K179" s="434"/>
      <c r="L179" s="172"/>
      <c r="M179" s="1"/>
      <c r="N179" s="76"/>
      <c r="O179" s="1"/>
      <c r="P179" s="1"/>
      <c r="Q179" s="1"/>
    </row>
    <row r="180" spans="2:17" s="251" customFormat="1" ht="13.5" thickBot="1" x14ac:dyDescent="0.25">
      <c r="B180" s="446"/>
      <c r="C180" s="249"/>
      <c r="D180" s="5"/>
      <c r="E180" s="5"/>
      <c r="F180" s="5"/>
      <c r="G180" s="5"/>
      <c r="H180" s="5"/>
      <c r="I180" s="5"/>
      <c r="J180" s="5"/>
      <c r="K180" s="5"/>
      <c r="L180" s="174"/>
      <c r="M180" s="1"/>
      <c r="N180" s="76"/>
      <c r="O180" s="1"/>
      <c r="P180" s="1"/>
      <c r="Q180" s="1"/>
    </row>
    <row r="181" spans="2:17" s="251" customFormat="1" ht="27" thickBot="1" x14ac:dyDescent="0.3">
      <c r="B181" s="446"/>
      <c r="C181" s="161" t="s">
        <v>55</v>
      </c>
      <c r="D181" s="61"/>
      <c r="E181" s="435"/>
      <c r="F181" s="436"/>
      <c r="G181" s="175" t="s">
        <v>50</v>
      </c>
      <c r="H181" s="176" t="s">
        <v>56</v>
      </c>
      <c r="I181" s="177" t="s">
        <v>42</v>
      </c>
      <c r="L181" s="160"/>
      <c r="M181" s="1"/>
      <c r="N181" s="76"/>
      <c r="O181" s="1"/>
      <c r="P181" s="1"/>
      <c r="Q181" s="1"/>
    </row>
    <row r="182" spans="2:17" s="251" customFormat="1" ht="13.5" thickBot="1" x14ac:dyDescent="0.25">
      <c r="B182" s="446"/>
      <c r="C182" s="249"/>
      <c r="E182" s="437" t="s">
        <v>28</v>
      </c>
      <c r="F182" s="438"/>
      <c r="G182" s="109"/>
      <c r="H182" s="110"/>
      <c r="I182" s="71">
        <f t="shared" ref="I182:I186" si="123">G182*H182</f>
        <v>0</v>
      </c>
      <c r="L182" s="160"/>
      <c r="M182" s="1"/>
      <c r="N182" s="76"/>
      <c r="O182" s="1"/>
      <c r="P182" s="1"/>
      <c r="Q182" s="1"/>
    </row>
    <row r="183" spans="2:17" s="251" customFormat="1" ht="13.5" thickBot="1" x14ac:dyDescent="0.25">
      <c r="B183" s="446"/>
      <c r="C183" s="249"/>
      <c r="E183" s="439" t="s">
        <v>25</v>
      </c>
      <c r="F183" s="440"/>
      <c r="G183" s="111"/>
      <c r="H183" s="112"/>
      <c r="I183" s="71">
        <f t="shared" si="123"/>
        <v>0</v>
      </c>
      <c r="L183" s="160"/>
      <c r="M183" s="1"/>
      <c r="N183" s="76"/>
      <c r="O183" s="1"/>
      <c r="P183" s="1"/>
      <c r="Q183" s="1"/>
    </row>
    <row r="184" spans="2:17" s="251" customFormat="1" ht="13.5" thickBot="1" x14ac:dyDescent="0.25">
      <c r="B184" s="446"/>
      <c r="C184" s="249"/>
      <c r="E184" s="439" t="s">
        <v>26</v>
      </c>
      <c r="F184" s="440"/>
      <c r="G184" s="111"/>
      <c r="H184" s="112"/>
      <c r="I184" s="71">
        <f t="shared" si="123"/>
        <v>0</v>
      </c>
      <c r="L184" s="160"/>
      <c r="M184" s="1"/>
      <c r="N184" s="76"/>
      <c r="O184" s="1"/>
      <c r="P184" s="1"/>
      <c r="Q184" s="1"/>
    </row>
    <row r="185" spans="2:17" s="251" customFormat="1" ht="13.5" thickBot="1" x14ac:dyDescent="0.25">
      <c r="B185" s="446"/>
      <c r="C185" s="249"/>
      <c r="E185" s="441" t="s">
        <v>27</v>
      </c>
      <c r="F185" s="442"/>
      <c r="G185" s="111"/>
      <c r="H185" s="112"/>
      <c r="I185" s="71">
        <f t="shared" si="123"/>
        <v>0</v>
      </c>
      <c r="L185" s="160"/>
      <c r="M185" s="1"/>
      <c r="N185" s="76"/>
      <c r="O185" s="1"/>
      <c r="P185" s="1"/>
      <c r="Q185" s="1"/>
    </row>
    <row r="186" spans="2:17" s="251" customFormat="1" ht="13.5" thickBot="1" x14ac:dyDescent="0.25">
      <c r="B186" s="447"/>
      <c r="C186" s="178"/>
      <c r="D186" s="252"/>
      <c r="E186" s="443" t="s">
        <v>52</v>
      </c>
      <c r="F186" s="444"/>
      <c r="G186" s="113"/>
      <c r="H186" s="114"/>
      <c r="I186" s="179">
        <f t="shared" si="123"/>
        <v>0</v>
      </c>
      <c r="J186" s="252"/>
      <c r="K186" s="180"/>
      <c r="L186" s="157"/>
      <c r="M186" s="1"/>
      <c r="N186" s="76"/>
      <c r="O186" s="1"/>
      <c r="P186" s="1"/>
      <c r="Q186" s="1"/>
    </row>
    <row r="187" spans="2:17" s="251" customFormat="1" ht="13.5" thickBot="1" x14ac:dyDescent="0.25">
      <c r="B187" s="258"/>
      <c r="C187" s="259"/>
      <c r="D187" s="260"/>
      <c r="E187" s="261"/>
      <c r="F187" s="261"/>
      <c r="G187" s="262"/>
      <c r="H187" s="263"/>
      <c r="I187" s="264"/>
      <c r="J187" s="260"/>
      <c r="K187" s="265"/>
      <c r="L187" s="265"/>
      <c r="M187" s="1"/>
      <c r="N187" s="76"/>
      <c r="O187" s="1"/>
      <c r="P187" s="1"/>
      <c r="Q187" s="1"/>
    </row>
    <row r="188" spans="2:17" s="251" customFormat="1" ht="26.25" thickBot="1" x14ac:dyDescent="0.25">
      <c r="B188" s="445">
        <v>9</v>
      </c>
      <c r="C188" s="149" t="s">
        <v>195</v>
      </c>
      <c r="D188" s="253"/>
      <c r="E188" s="150"/>
      <c r="F188" s="150" t="s">
        <v>47</v>
      </c>
      <c r="G188" s="150" t="s">
        <v>48</v>
      </c>
      <c r="H188" s="128" t="s">
        <v>118</v>
      </c>
      <c r="I188" s="150" t="s">
        <v>53</v>
      </c>
      <c r="J188" s="151" t="s">
        <v>43</v>
      </c>
      <c r="K188" s="152" t="s">
        <v>44</v>
      </c>
      <c r="L188" s="254" t="s">
        <v>45</v>
      </c>
      <c r="M188" s="1"/>
      <c r="N188" s="76"/>
      <c r="O188" s="1"/>
      <c r="P188" s="1"/>
      <c r="Q188" s="1"/>
    </row>
    <row r="189" spans="2:17" s="251" customFormat="1" ht="13.5" thickBot="1" x14ac:dyDescent="0.25">
      <c r="B189" s="446"/>
      <c r="C189" s="448"/>
      <c r="D189" s="449"/>
      <c r="E189" s="450"/>
      <c r="F189" s="106"/>
      <c r="G189" s="107"/>
      <c r="H189" s="154">
        <f t="shared" ref="H189" si="124">P189</f>
        <v>1</v>
      </c>
      <c r="I189" s="108"/>
      <c r="J189" s="155" t="e">
        <f t="shared" ref="J189" si="125">(SUM(K193:K198))+(SUM(I203:I207))</f>
        <v>#DIV/0!</v>
      </c>
      <c r="K189" s="156" t="e">
        <f t="shared" ref="K189" si="126">IF(F190="No",Q191,Q190)</f>
        <v>#DIV/0!</v>
      </c>
      <c r="L189" s="157" t="e">
        <f t="shared" ref="L189" si="127">SUM(J189:K189)</f>
        <v>#DIV/0!</v>
      </c>
      <c r="M189" s="1"/>
      <c r="N189" s="76">
        <f t="shared" ref="N189" si="128">IF(ISNUMBER(L189),L189,0)</f>
        <v>0</v>
      </c>
      <c r="O189" s="1">
        <f t="shared" ref="O189" si="129">(G189-F189)+1</f>
        <v>1</v>
      </c>
      <c r="P189" s="1">
        <f t="shared" ref="P189" si="130">IF(OR(O189=366,O189=365),52,(ROUNDUP(O189/7,0)))</f>
        <v>1</v>
      </c>
      <c r="Q189" s="1"/>
    </row>
    <row r="190" spans="2:17" s="251" customFormat="1" ht="13.5" thickBot="1" x14ac:dyDescent="0.25">
      <c r="B190" s="446"/>
      <c r="C190" s="477" t="s">
        <v>248</v>
      </c>
      <c r="D190" s="478"/>
      <c r="E190" s="479"/>
      <c r="F190" s="428"/>
      <c r="G190" s="429"/>
      <c r="H190" s="158"/>
      <c r="I190" s="147"/>
      <c r="J190" s="29"/>
      <c r="K190" s="159"/>
      <c r="L190" s="160"/>
      <c r="M190" s="1"/>
      <c r="N190" s="76"/>
      <c r="O190" s="1"/>
      <c r="P190" s="62" t="s">
        <v>243</v>
      </c>
      <c r="Q190" s="62" t="e">
        <f>IF(F190="Exempt all taxes",0,(J189*FICA)+(J189*Medicare))</f>
        <v>#DIV/0!</v>
      </c>
    </row>
    <row r="191" spans="2:17" s="251" customFormat="1" ht="13.5" thickBot="1" x14ac:dyDescent="0.25">
      <c r="B191" s="446"/>
      <c r="C191" s="451"/>
      <c r="D191" s="452"/>
      <c r="E191" s="452"/>
      <c r="F191" s="452"/>
      <c r="G191" s="452"/>
      <c r="H191" s="452"/>
      <c r="I191" s="452"/>
      <c r="J191" s="452"/>
      <c r="K191" s="452"/>
      <c r="L191" s="453"/>
      <c r="M191" s="1"/>
      <c r="N191" s="76"/>
      <c r="O191" s="1"/>
      <c r="P191" s="62" t="s">
        <v>244</v>
      </c>
      <c r="Q191" s="266" t="e">
        <f>IF(J189&gt;=SUTA_Max,((FUTA_Max*FUTA)+(SUTA_Max*I191)+(J189*FICA)+(J189*Medicare)),IF(J189&gt;=FUTA_Max,((FUTA_Max*FUTA)+(J189*I189)+(J189*FICA)+(J189*Medicare)),IF(J189&lt;FUTA_Max,(J189*(Total_Tax+I189)))))</f>
        <v>#DIV/0!</v>
      </c>
    </row>
    <row r="192" spans="2:17" s="251" customFormat="1" ht="27" thickBot="1" x14ac:dyDescent="0.3">
      <c r="B192" s="446"/>
      <c r="C192" s="161" t="s">
        <v>54</v>
      </c>
      <c r="D192" s="61"/>
      <c r="E192" s="454"/>
      <c r="F192" s="455"/>
      <c r="G192" s="162" t="s">
        <v>49</v>
      </c>
      <c r="H192" s="163" t="s">
        <v>41</v>
      </c>
      <c r="I192" s="164" t="s">
        <v>46</v>
      </c>
      <c r="J192" s="164" t="s">
        <v>51</v>
      </c>
      <c r="K192" s="165" t="s">
        <v>42</v>
      </c>
      <c r="L192" s="160"/>
      <c r="M192" s="1"/>
      <c r="N192" s="76"/>
      <c r="O192" s="1"/>
      <c r="P192" s="1"/>
      <c r="Q192" s="1"/>
    </row>
    <row r="193" spans="2:17" s="251" customFormat="1" ht="13.5" thickBot="1" x14ac:dyDescent="0.25">
      <c r="B193" s="446"/>
      <c r="C193" s="250"/>
      <c r="E193" s="480" t="s">
        <v>116</v>
      </c>
      <c r="F193" s="481"/>
      <c r="G193" s="70"/>
      <c r="H193" s="181"/>
      <c r="I193" s="166">
        <f t="shared" ref="I193:I239" si="131">$H$21</f>
        <v>1</v>
      </c>
      <c r="J193" s="167"/>
      <c r="K193" s="168">
        <f t="shared" ref="K193:K197" si="132">G193*H193*I193</f>
        <v>0</v>
      </c>
      <c r="L193" s="160"/>
      <c r="M193" s="1"/>
      <c r="N193" s="76"/>
      <c r="O193" s="240" t="e">
        <f t="shared" ref="O193" si="133">(G193/Q195)*H193</f>
        <v>#DIV/0!</v>
      </c>
      <c r="P193" s="62"/>
      <c r="Q193" s="241" t="e">
        <f t="shared" ref="Q193" si="134">SUM(O193:O197)</f>
        <v>#DIV/0!</v>
      </c>
    </row>
    <row r="194" spans="2:17" s="251" customFormat="1" ht="13.5" thickBot="1" x14ac:dyDescent="0.25">
      <c r="B194" s="446"/>
      <c r="C194" s="250"/>
      <c r="E194" s="488" t="s">
        <v>227</v>
      </c>
      <c r="F194" s="489"/>
      <c r="G194" s="70"/>
      <c r="H194" s="181"/>
      <c r="I194" s="166">
        <f t="shared" si="131"/>
        <v>1</v>
      </c>
      <c r="J194" s="215"/>
      <c r="K194" s="168">
        <f t="shared" si="132"/>
        <v>0</v>
      </c>
      <c r="L194" s="160"/>
      <c r="M194" s="1"/>
      <c r="N194" s="76"/>
      <c r="O194" s="240" t="e">
        <f t="shared" ref="O194" si="135">(G194/Q195)*H194</f>
        <v>#DIV/0!</v>
      </c>
      <c r="P194" s="62"/>
      <c r="Q194" s="241"/>
    </row>
    <row r="195" spans="2:17" s="251" customFormat="1" ht="13.5" thickBot="1" x14ac:dyDescent="0.25">
      <c r="B195" s="446"/>
      <c r="C195" s="250"/>
      <c r="E195" s="488" t="s">
        <v>95</v>
      </c>
      <c r="F195" s="490"/>
      <c r="G195" s="70"/>
      <c r="H195" s="181"/>
      <c r="I195" s="166">
        <f t="shared" si="131"/>
        <v>1</v>
      </c>
      <c r="J195" s="215"/>
      <c r="K195" s="168">
        <f t="shared" si="132"/>
        <v>0</v>
      </c>
      <c r="L195" s="160"/>
      <c r="M195" s="1"/>
      <c r="N195" s="76"/>
      <c r="O195" s="240" t="e">
        <f t="shared" ref="O195" si="136">(G195/Q195)*H195</f>
        <v>#DIV/0!</v>
      </c>
      <c r="P195" s="62"/>
      <c r="Q195" s="241">
        <f t="shared" ref="Q195" si="137">SUM(G193:G197)</f>
        <v>0</v>
      </c>
    </row>
    <row r="196" spans="2:17" s="251" customFormat="1" ht="13.5" thickBot="1" x14ac:dyDescent="0.25">
      <c r="B196" s="446"/>
      <c r="C196" s="250"/>
      <c r="E196" s="430" t="s">
        <v>233</v>
      </c>
      <c r="F196" s="431"/>
      <c r="G196" s="70"/>
      <c r="H196" s="181"/>
      <c r="I196" s="166">
        <f t="shared" si="131"/>
        <v>1</v>
      </c>
      <c r="J196" s="257"/>
      <c r="K196" s="168">
        <f t="shared" si="132"/>
        <v>0</v>
      </c>
      <c r="L196" s="160"/>
      <c r="M196" s="1"/>
      <c r="N196" s="76"/>
      <c r="O196" s="240" t="e">
        <f t="shared" ref="O196" si="138">(G196/Q195)*H196</f>
        <v>#DIV/0!</v>
      </c>
      <c r="P196" s="62"/>
      <c r="Q196" s="241"/>
    </row>
    <row r="197" spans="2:17" s="251" customFormat="1" ht="13.5" thickBot="1" x14ac:dyDescent="0.25">
      <c r="B197" s="446"/>
      <c r="C197" s="250"/>
      <c r="E197" s="430" t="s">
        <v>234</v>
      </c>
      <c r="F197" s="431"/>
      <c r="G197" s="70"/>
      <c r="H197" s="181"/>
      <c r="I197" s="166">
        <f t="shared" si="131"/>
        <v>1</v>
      </c>
      <c r="J197" s="257"/>
      <c r="K197" s="168">
        <f t="shared" si="132"/>
        <v>0</v>
      </c>
      <c r="L197" s="160"/>
      <c r="M197" s="1"/>
      <c r="N197" s="76"/>
      <c r="O197" s="240" t="e">
        <f t="shared" ref="O197" si="139">(G197/Q195)*H197</f>
        <v>#DIV/0!</v>
      </c>
      <c r="P197" s="62"/>
      <c r="Q197" s="241"/>
    </row>
    <row r="198" spans="2:17" s="251" customFormat="1" ht="13.5" thickBot="1" x14ac:dyDescent="0.25">
      <c r="B198" s="446"/>
      <c r="C198" s="250"/>
      <c r="E198" s="432" t="s">
        <v>24</v>
      </c>
      <c r="F198" s="433"/>
      <c r="G198" s="70"/>
      <c r="H198" s="214"/>
      <c r="I198" s="169">
        <f t="shared" ref="I198" si="140">H189</f>
        <v>1</v>
      </c>
      <c r="J198" s="170" t="e">
        <f t="shared" ref="J198" si="141">Q193*1.5</f>
        <v>#DIV/0!</v>
      </c>
      <c r="K198" s="171" t="e">
        <f t="shared" ref="K198" si="142">G198*I198*J198</f>
        <v>#DIV/0!</v>
      </c>
      <c r="L198" s="160"/>
      <c r="M198" s="1"/>
      <c r="N198" s="76"/>
      <c r="O198" s="1"/>
      <c r="P198" s="1"/>
      <c r="Q198" s="1"/>
    </row>
    <row r="199" spans="2:17" s="251" customFormat="1" x14ac:dyDescent="0.2">
      <c r="B199" s="446"/>
      <c r="C199" s="250"/>
      <c r="D199" s="434" t="s">
        <v>145</v>
      </c>
      <c r="E199" s="434"/>
      <c r="F199" s="434"/>
      <c r="G199" s="434"/>
      <c r="H199" s="434"/>
      <c r="I199" s="434"/>
      <c r="J199" s="434"/>
      <c r="K199" s="434"/>
      <c r="L199" s="172"/>
      <c r="M199" s="1"/>
      <c r="N199" s="76"/>
      <c r="O199" s="1"/>
      <c r="P199" s="1"/>
      <c r="Q199" s="1"/>
    </row>
    <row r="200" spans="2:17" s="251" customFormat="1" x14ac:dyDescent="0.2">
      <c r="B200" s="446"/>
      <c r="C200" s="173"/>
      <c r="D200" s="434"/>
      <c r="E200" s="434"/>
      <c r="F200" s="434"/>
      <c r="G200" s="434"/>
      <c r="H200" s="434"/>
      <c r="I200" s="434"/>
      <c r="J200" s="434"/>
      <c r="K200" s="434"/>
      <c r="L200" s="172"/>
      <c r="M200" s="1"/>
      <c r="N200" s="76"/>
      <c r="O200" s="1"/>
      <c r="P200" s="1"/>
      <c r="Q200" s="1"/>
    </row>
    <row r="201" spans="2:17" s="251" customFormat="1" ht="13.5" thickBot="1" x14ac:dyDescent="0.25">
      <c r="B201" s="446"/>
      <c r="C201" s="249"/>
      <c r="D201" s="5"/>
      <c r="E201" s="5"/>
      <c r="F201" s="5"/>
      <c r="G201" s="5"/>
      <c r="H201" s="5"/>
      <c r="I201" s="5"/>
      <c r="J201" s="5"/>
      <c r="K201" s="5"/>
      <c r="L201" s="174"/>
      <c r="M201" s="1"/>
      <c r="N201" s="76"/>
      <c r="O201" s="1"/>
      <c r="P201" s="1"/>
      <c r="Q201" s="1"/>
    </row>
    <row r="202" spans="2:17" s="251" customFormat="1" ht="27" thickBot="1" x14ac:dyDescent="0.3">
      <c r="B202" s="446"/>
      <c r="C202" s="161" t="s">
        <v>55</v>
      </c>
      <c r="D202" s="61"/>
      <c r="E202" s="435"/>
      <c r="F202" s="436"/>
      <c r="G202" s="175" t="s">
        <v>50</v>
      </c>
      <c r="H202" s="176" t="s">
        <v>56</v>
      </c>
      <c r="I202" s="177" t="s">
        <v>42</v>
      </c>
      <c r="L202" s="160"/>
      <c r="M202" s="1"/>
      <c r="N202" s="76"/>
      <c r="O202" s="1"/>
      <c r="P202" s="1"/>
      <c r="Q202" s="1"/>
    </row>
    <row r="203" spans="2:17" s="251" customFormat="1" ht="13.5" thickBot="1" x14ac:dyDescent="0.25">
      <c r="B203" s="446"/>
      <c r="C203" s="249"/>
      <c r="E203" s="437" t="s">
        <v>28</v>
      </c>
      <c r="F203" s="438"/>
      <c r="G203" s="109"/>
      <c r="H203" s="110"/>
      <c r="I203" s="71">
        <f t="shared" ref="I203:I207" si="143">G203*H203</f>
        <v>0</v>
      </c>
      <c r="L203" s="160"/>
      <c r="M203" s="1"/>
      <c r="N203" s="76"/>
      <c r="O203" s="1"/>
      <c r="P203" s="1"/>
      <c r="Q203" s="1"/>
    </row>
    <row r="204" spans="2:17" s="251" customFormat="1" ht="13.5" thickBot="1" x14ac:dyDescent="0.25">
      <c r="B204" s="446"/>
      <c r="C204" s="249"/>
      <c r="E204" s="439" t="s">
        <v>25</v>
      </c>
      <c r="F204" s="440"/>
      <c r="G204" s="111"/>
      <c r="H204" s="112"/>
      <c r="I204" s="71">
        <f t="shared" si="143"/>
        <v>0</v>
      </c>
      <c r="L204" s="160"/>
      <c r="M204" s="1"/>
      <c r="N204" s="76"/>
      <c r="O204" s="1"/>
      <c r="P204" s="1"/>
      <c r="Q204" s="1"/>
    </row>
    <row r="205" spans="2:17" s="251" customFormat="1" ht="13.5" thickBot="1" x14ac:dyDescent="0.25">
      <c r="B205" s="446"/>
      <c r="C205" s="249"/>
      <c r="E205" s="439" t="s">
        <v>26</v>
      </c>
      <c r="F205" s="440"/>
      <c r="G205" s="111"/>
      <c r="H205" s="112"/>
      <c r="I205" s="71">
        <f t="shared" si="143"/>
        <v>0</v>
      </c>
      <c r="L205" s="160"/>
      <c r="M205" s="1"/>
      <c r="N205" s="76"/>
      <c r="O205" s="1"/>
      <c r="P205" s="1"/>
      <c r="Q205" s="1"/>
    </row>
    <row r="206" spans="2:17" s="251" customFormat="1" ht="13.5" thickBot="1" x14ac:dyDescent="0.25">
      <c r="B206" s="446"/>
      <c r="C206" s="249"/>
      <c r="E206" s="441" t="s">
        <v>27</v>
      </c>
      <c r="F206" s="442"/>
      <c r="G206" s="111"/>
      <c r="H206" s="112"/>
      <c r="I206" s="71">
        <f t="shared" si="143"/>
        <v>0</v>
      </c>
      <c r="L206" s="160"/>
      <c r="M206" s="1"/>
      <c r="N206" s="76"/>
      <c r="O206" s="1"/>
      <c r="P206" s="1"/>
      <c r="Q206" s="1"/>
    </row>
    <row r="207" spans="2:17" s="251" customFormat="1" ht="13.5" thickBot="1" x14ac:dyDescent="0.25">
      <c r="B207" s="447"/>
      <c r="C207" s="178"/>
      <c r="D207" s="252"/>
      <c r="E207" s="443" t="s">
        <v>52</v>
      </c>
      <c r="F207" s="444"/>
      <c r="G207" s="113"/>
      <c r="H207" s="114"/>
      <c r="I207" s="179">
        <f t="shared" si="143"/>
        <v>0</v>
      </c>
      <c r="J207" s="252"/>
      <c r="K207" s="180"/>
      <c r="L207" s="157"/>
      <c r="M207" s="1"/>
      <c r="N207" s="76"/>
      <c r="O207" s="1"/>
      <c r="P207" s="1"/>
      <c r="Q207" s="1"/>
    </row>
    <row r="208" spans="2:17" s="251" customFormat="1" ht="13.5" thickBot="1" x14ac:dyDescent="0.25">
      <c r="B208" s="258"/>
      <c r="C208" s="259"/>
      <c r="D208" s="260"/>
      <c r="E208" s="261"/>
      <c r="F208" s="261"/>
      <c r="G208" s="262"/>
      <c r="H208" s="263"/>
      <c r="I208" s="264"/>
      <c r="J208" s="260"/>
      <c r="K208" s="265"/>
      <c r="L208" s="265"/>
      <c r="M208" s="1"/>
      <c r="N208" s="76"/>
      <c r="O208" s="1"/>
      <c r="P208" s="1"/>
      <c r="Q208" s="1"/>
    </row>
    <row r="209" spans="2:17" s="251" customFormat="1" ht="26.25" thickBot="1" x14ac:dyDescent="0.25">
      <c r="B209" s="445">
        <v>10</v>
      </c>
      <c r="C209" s="149" t="s">
        <v>195</v>
      </c>
      <c r="D209" s="253"/>
      <c r="E209" s="150"/>
      <c r="F209" s="150" t="s">
        <v>47</v>
      </c>
      <c r="G209" s="150" t="s">
        <v>48</v>
      </c>
      <c r="H209" s="128" t="s">
        <v>118</v>
      </c>
      <c r="I209" s="150" t="s">
        <v>53</v>
      </c>
      <c r="J209" s="151" t="s">
        <v>43</v>
      </c>
      <c r="K209" s="152" t="s">
        <v>44</v>
      </c>
      <c r="L209" s="254" t="s">
        <v>45</v>
      </c>
      <c r="M209" s="1"/>
      <c r="N209" s="76"/>
      <c r="O209" s="1"/>
      <c r="P209" s="1"/>
      <c r="Q209" s="1"/>
    </row>
    <row r="210" spans="2:17" s="251" customFormat="1" ht="13.5" thickBot="1" x14ac:dyDescent="0.25">
      <c r="B210" s="446"/>
      <c r="C210" s="448"/>
      <c r="D210" s="449"/>
      <c r="E210" s="450"/>
      <c r="F210" s="106"/>
      <c r="G210" s="107"/>
      <c r="H210" s="154">
        <f t="shared" ref="H210" si="144">P210</f>
        <v>1</v>
      </c>
      <c r="I210" s="108"/>
      <c r="J210" s="155" t="e">
        <f t="shared" ref="J210" si="145">(SUM(K214:K219))+(SUM(I224:I228))</f>
        <v>#DIV/0!</v>
      </c>
      <c r="K210" s="156" t="e">
        <f t="shared" ref="K210" si="146">IF(F211="No",Q212,Q211)</f>
        <v>#DIV/0!</v>
      </c>
      <c r="L210" s="157" t="e">
        <f t="shared" ref="L210" si="147">SUM(J210:K210)</f>
        <v>#DIV/0!</v>
      </c>
      <c r="M210" s="1"/>
      <c r="N210" s="76">
        <f t="shared" ref="N210" si="148">IF(ISNUMBER(L210),L210,0)</f>
        <v>0</v>
      </c>
      <c r="O210" s="1">
        <f t="shared" ref="O210" si="149">(G210-F210)+1</f>
        <v>1</v>
      </c>
      <c r="P210" s="1">
        <f t="shared" ref="P210" si="150">IF(OR(O210=366,O210=365),52,(ROUNDUP(O210/7,0)))</f>
        <v>1</v>
      </c>
      <c r="Q210" s="1"/>
    </row>
    <row r="211" spans="2:17" s="251" customFormat="1" ht="13.5" thickBot="1" x14ac:dyDescent="0.25">
      <c r="B211" s="446"/>
      <c r="C211" s="477" t="s">
        <v>248</v>
      </c>
      <c r="D211" s="478"/>
      <c r="E211" s="479"/>
      <c r="F211" s="428"/>
      <c r="G211" s="429"/>
      <c r="H211" s="158"/>
      <c r="I211" s="147"/>
      <c r="J211" s="29"/>
      <c r="K211" s="159"/>
      <c r="L211" s="160"/>
      <c r="M211" s="1"/>
      <c r="N211" s="76"/>
      <c r="O211" s="1"/>
      <c r="P211" s="62" t="s">
        <v>243</v>
      </c>
      <c r="Q211" s="62" t="e">
        <f>IF(F211="Exempt all taxes",0,(J210*FICA)+(J210*Medicare))</f>
        <v>#DIV/0!</v>
      </c>
    </row>
    <row r="212" spans="2:17" s="251" customFormat="1" ht="13.5" thickBot="1" x14ac:dyDescent="0.25">
      <c r="B212" s="446"/>
      <c r="C212" s="451"/>
      <c r="D212" s="452"/>
      <c r="E212" s="452"/>
      <c r="F212" s="452"/>
      <c r="G212" s="452"/>
      <c r="H212" s="452"/>
      <c r="I212" s="452"/>
      <c r="J212" s="452"/>
      <c r="K212" s="452"/>
      <c r="L212" s="453"/>
      <c r="M212" s="1"/>
      <c r="N212" s="76"/>
      <c r="O212" s="1"/>
      <c r="P212" s="62" t="s">
        <v>244</v>
      </c>
      <c r="Q212" s="266" t="e">
        <f>IF(J210&gt;=SUTA_Max,((FUTA_Max*FUTA)+(SUTA_Max*I212)+(J210*FICA)+(J210*Medicare)),IF(J210&gt;=FUTA_Max,((FUTA_Max*FUTA)+(J210*I210)+(J210*FICA)+(J210*Medicare)),IF(J210&lt;FUTA_Max,(J210*(Total_Tax+I210)))))</f>
        <v>#DIV/0!</v>
      </c>
    </row>
    <row r="213" spans="2:17" s="251" customFormat="1" ht="27" thickBot="1" x14ac:dyDescent="0.3">
      <c r="B213" s="446"/>
      <c r="C213" s="161" t="s">
        <v>54</v>
      </c>
      <c r="D213" s="61"/>
      <c r="E213" s="454"/>
      <c r="F213" s="455"/>
      <c r="G213" s="162" t="s">
        <v>49</v>
      </c>
      <c r="H213" s="163" t="s">
        <v>41</v>
      </c>
      <c r="I213" s="164" t="s">
        <v>46</v>
      </c>
      <c r="J213" s="164" t="s">
        <v>51</v>
      </c>
      <c r="K213" s="165" t="s">
        <v>42</v>
      </c>
      <c r="L213" s="160"/>
      <c r="M213" s="1"/>
      <c r="N213" s="76"/>
      <c r="O213" s="1"/>
      <c r="P213" s="1"/>
      <c r="Q213" s="1"/>
    </row>
    <row r="214" spans="2:17" s="251" customFormat="1" ht="13.5" thickBot="1" x14ac:dyDescent="0.25">
      <c r="B214" s="446"/>
      <c r="C214" s="250"/>
      <c r="E214" s="480" t="s">
        <v>116</v>
      </c>
      <c r="F214" s="481"/>
      <c r="G214" s="70"/>
      <c r="H214" s="181"/>
      <c r="I214" s="166">
        <f t="shared" ref="I214:I215" si="151">$H$21</f>
        <v>1</v>
      </c>
      <c r="J214" s="167"/>
      <c r="K214" s="168">
        <f t="shared" ref="K214:K218" si="152">G214*H214*I214</f>
        <v>0</v>
      </c>
      <c r="L214" s="160"/>
      <c r="M214" s="1"/>
      <c r="N214" s="76"/>
      <c r="O214" s="240" t="e">
        <f t="shared" ref="O214" si="153">(G214/Q216)*H214</f>
        <v>#DIV/0!</v>
      </c>
      <c r="P214" s="62"/>
      <c r="Q214" s="241" t="e">
        <f t="shared" ref="Q214" si="154">SUM(O214:O218)</f>
        <v>#DIV/0!</v>
      </c>
    </row>
    <row r="215" spans="2:17" s="251" customFormat="1" ht="13.5" thickBot="1" x14ac:dyDescent="0.25">
      <c r="B215" s="446"/>
      <c r="C215" s="250"/>
      <c r="E215" s="488" t="s">
        <v>227</v>
      </c>
      <c r="F215" s="489"/>
      <c r="G215" s="70"/>
      <c r="H215" s="181"/>
      <c r="I215" s="166">
        <f t="shared" si="151"/>
        <v>1</v>
      </c>
      <c r="J215" s="215"/>
      <c r="K215" s="168">
        <f t="shared" si="152"/>
        <v>0</v>
      </c>
      <c r="L215" s="160"/>
      <c r="M215" s="1"/>
      <c r="N215" s="76"/>
      <c r="O215" s="240" t="e">
        <f t="shared" ref="O215" si="155">(G215/Q216)*H215</f>
        <v>#DIV/0!</v>
      </c>
      <c r="P215" s="62"/>
      <c r="Q215" s="241"/>
    </row>
    <row r="216" spans="2:17" s="251" customFormat="1" ht="13.5" thickBot="1" x14ac:dyDescent="0.25">
      <c r="B216" s="446"/>
      <c r="C216" s="250"/>
      <c r="E216" s="488" t="s">
        <v>95</v>
      </c>
      <c r="F216" s="490"/>
      <c r="G216" s="70"/>
      <c r="H216" s="181"/>
      <c r="I216" s="166">
        <f t="shared" si="131"/>
        <v>1</v>
      </c>
      <c r="J216" s="215"/>
      <c r="K216" s="168">
        <f t="shared" si="152"/>
        <v>0</v>
      </c>
      <c r="L216" s="160"/>
      <c r="M216" s="1"/>
      <c r="N216" s="76"/>
      <c r="O216" s="240" t="e">
        <f t="shared" ref="O216" si="156">(G216/Q216)*H216</f>
        <v>#DIV/0!</v>
      </c>
      <c r="P216" s="62"/>
      <c r="Q216" s="241">
        <f t="shared" ref="Q216" si="157">SUM(G214:G218)</f>
        <v>0</v>
      </c>
    </row>
    <row r="217" spans="2:17" s="251" customFormat="1" ht="13.5" thickBot="1" x14ac:dyDescent="0.25">
      <c r="B217" s="446"/>
      <c r="C217" s="250"/>
      <c r="E217" s="430" t="s">
        <v>233</v>
      </c>
      <c r="F217" s="431"/>
      <c r="G217" s="70"/>
      <c r="H217" s="181"/>
      <c r="I217" s="166">
        <f t="shared" si="131"/>
        <v>1</v>
      </c>
      <c r="J217" s="257"/>
      <c r="K217" s="168">
        <f t="shared" si="152"/>
        <v>0</v>
      </c>
      <c r="L217" s="160"/>
      <c r="M217" s="1"/>
      <c r="N217" s="76"/>
      <c r="O217" s="240" t="e">
        <f t="shared" ref="O217" si="158">(G217/Q216)*H217</f>
        <v>#DIV/0!</v>
      </c>
      <c r="P217" s="62"/>
      <c r="Q217" s="241"/>
    </row>
    <row r="218" spans="2:17" s="251" customFormat="1" ht="13.5" thickBot="1" x14ac:dyDescent="0.25">
      <c r="B218" s="446"/>
      <c r="C218" s="250"/>
      <c r="E218" s="430" t="s">
        <v>234</v>
      </c>
      <c r="F218" s="431"/>
      <c r="G218" s="70"/>
      <c r="H218" s="181"/>
      <c r="I218" s="166">
        <f t="shared" si="131"/>
        <v>1</v>
      </c>
      <c r="J218" s="257"/>
      <c r="K218" s="168">
        <f t="shared" si="152"/>
        <v>0</v>
      </c>
      <c r="L218" s="160"/>
      <c r="M218" s="1"/>
      <c r="N218" s="76"/>
      <c r="O218" s="240" t="e">
        <f t="shared" ref="O218" si="159">(G218/Q216)*H218</f>
        <v>#DIV/0!</v>
      </c>
      <c r="P218" s="62"/>
      <c r="Q218" s="241"/>
    </row>
    <row r="219" spans="2:17" s="251" customFormat="1" ht="13.5" thickBot="1" x14ac:dyDescent="0.25">
      <c r="B219" s="446"/>
      <c r="C219" s="250"/>
      <c r="E219" s="432" t="s">
        <v>24</v>
      </c>
      <c r="F219" s="433"/>
      <c r="G219" s="70"/>
      <c r="H219" s="214"/>
      <c r="I219" s="169">
        <f t="shared" ref="I219" si="160">H210</f>
        <v>1</v>
      </c>
      <c r="J219" s="170" t="e">
        <f t="shared" ref="J219" si="161">Q214*1.5</f>
        <v>#DIV/0!</v>
      </c>
      <c r="K219" s="171" t="e">
        <f t="shared" ref="K219" si="162">G219*I219*J219</f>
        <v>#DIV/0!</v>
      </c>
      <c r="L219" s="160"/>
      <c r="M219" s="1"/>
      <c r="N219" s="76"/>
      <c r="O219" s="1"/>
      <c r="P219" s="1"/>
      <c r="Q219" s="1"/>
    </row>
    <row r="220" spans="2:17" s="251" customFormat="1" x14ac:dyDescent="0.2">
      <c r="B220" s="446"/>
      <c r="C220" s="250"/>
      <c r="D220" s="434" t="s">
        <v>145</v>
      </c>
      <c r="E220" s="434"/>
      <c r="F220" s="434"/>
      <c r="G220" s="434"/>
      <c r="H220" s="434"/>
      <c r="I220" s="434"/>
      <c r="J220" s="434"/>
      <c r="K220" s="434"/>
      <c r="L220" s="172"/>
      <c r="M220" s="1"/>
      <c r="N220" s="76"/>
      <c r="O220" s="1"/>
      <c r="P220" s="1"/>
      <c r="Q220" s="1"/>
    </row>
    <row r="221" spans="2:17" s="251" customFormat="1" x14ac:dyDescent="0.2">
      <c r="B221" s="446"/>
      <c r="C221" s="173"/>
      <c r="D221" s="434"/>
      <c r="E221" s="434"/>
      <c r="F221" s="434"/>
      <c r="G221" s="434"/>
      <c r="H221" s="434"/>
      <c r="I221" s="434"/>
      <c r="J221" s="434"/>
      <c r="K221" s="434"/>
      <c r="L221" s="172"/>
      <c r="M221" s="1"/>
      <c r="N221" s="76"/>
      <c r="O221" s="1"/>
      <c r="P221" s="1"/>
      <c r="Q221" s="1"/>
    </row>
    <row r="222" spans="2:17" s="251" customFormat="1" ht="13.5" thickBot="1" x14ac:dyDescent="0.25">
      <c r="B222" s="446"/>
      <c r="C222" s="249"/>
      <c r="D222" s="5"/>
      <c r="E222" s="5"/>
      <c r="F222" s="5"/>
      <c r="G222" s="5"/>
      <c r="H222" s="5"/>
      <c r="I222" s="5"/>
      <c r="J222" s="5"/>
      <c r="K222" s="5"/>
      <c r="L222" s="174"/>
      <c r="M222" s="1"/>
      <c r="N222" s="76"/>
      <c r="O222" s="1"/>
      <c r="P222" s="1"/>
      <c r="Q222" s="1"/>
    </row>
    <row r="223" spans="2:17" s="251" customFormat="1" ht="27" thickBot="1" x14ac:dyDescent="0.3">
      <c r="B223" s="446"/>
      <c r="C223" s="161" t="s">
        <v>55</v>
      </c>
      <c r="D223" s="61"/>
      <c r="E223" s="435"/>
      <c r="F223" s="436"/>
      <c r="G223" s="175" t="s">
        <v>50</v>
      </c>
      <c r="H223" s="176" t="s">
        <v>56</v>
      </c>
      <c r="I223" s="177" t="s">
        <v>42</v>
      </c>
      <c r="L223" s="160"/>
      <c r="M223" s="1"/>
      <c r="N223" s="76"/>
      <c r="O223" s="1"/>
      <c r="P223" s="1"/>
      <c r="Q223" s="1"/>
    </row>
    <row r="224" spans="2:17" s="251" customFormat="1" ht="13.5" thickBot="1" x14ac:dyDescent="0.25">
      <c r="B224" s="446"/>
      <c r="C224" s="249"/>
      <c r="E224" s="437" t="s">
        <v>28</v>
      </c>
      <c r="F224" s="438"/>
      <c r="G224" s="109"/>
      <c r="H224" s="110"/>
      <c r="I224" s="71">
        <f t="shared" ref="I224:I228" si="163">G224*H224</f>
        <v>0</v>
      </c>
      <c r="L224" s="160"/>
      <c r="M224" s="1"/>
      <c r="N224" s="76"/>
      <c r="O224" s="1"/>
      <c r="P224" s="1"/>
      <c r="Q224" s="1"/>
    </row>
    <row r="225" spans="2:17" s="251" customFormat="1" ht="13.5" thickBot="1" x14ac:dyDescent="0.25">
      <c r="B225" s="446"/>
      <c r="C225" s="249"/>
      <c r="E225" s="439" t="s">
        <v>25</v>
      </c>
      <c r="F225" s="440"/>
      <c r="G225" s="111"/>
      <c r="H225" s="112"/>
      <c r="I225" s="71">
        <f t="shared" si="163"/>
        <v>0</v>
      </c>
      <c r="L225" s="160"/>
      <c r="M225" s="1"/>
      <c r="N225" s="76"/>
      <c r="O225" s="1"/>
      <c r="P225" s="1"/>
      <c r="Q225" s="1"/>
    </row>
    <row r="226" spans="2:17" s="251" customFormat="1" ht="13.5" thickBot="1" x14ac:dyDescent="0.25">
      <c r="B226" s="446"/>
      <c r="C226" s="249"/>
      <c r="E226" s="439" t="s">
        <v>26</v>
      </c>
      <c r="F226" s="440"/>
      <c r="G226" s="111"/>
      <c r="H226" s="112"/>
      <c r="I226" s="71">
        <f t="shared" si="163"/>
        <v>0</v>
      </c>
      <c r="L226" s="160"/>
      <c r="M226" s="1"/>
      <c r="N226" s="76"/>
      <c r="O226" s="1"/>
      <c r="P226" s="1"/>
      <c r="Q226" s="1"/>
    </row>
    <row r="227" spans="2:17" s="251" customFormat="1" ht="13.5" thickBot="1" x14ac:dyDescent="0.25">
      <c r="B227" s="446"/>
      <c r="C227" s="249"/>
      <c r="E227" s="441" t="s">
        <v>27</v>
      </c>
      <c r="F227" s="442"/>
      <c r="G227" s="111"/>
      <c r="H227" s="112"/>
      <c r="I227" s="71">
        <f t="shared" si="163"/>
        <v>0</v>
      </c>
      <c r="L227" s="160"/>
      <c r="M227" s="1"/>
      <c r="N227" s="76"/>
      <c r="O227" s="1"/>
      <c r="P227" s="1"/>
      <c r="Q227" s="1"/>
    </row>
    <row r="228" spans="2:17" s="251" customFormat="1" ht="13.5" thickBot="1" x14ac:dyDescent="0.25">
      <c r="B228" s="447"/>
      <c r="C228" s="178"/>
      <c r="D228" s="252"/>
      <c r="E228" s="443" t="s">
        <v>52</v>
      </c>
      <c r="F228" s="444"/>
      <c r="G228" s="113"/>
      <c r="H228" s="114"/>
      <c r="I228" s="179">
        <f t="shared" si="163"/>
        <v>0</v>
      </c>
      <c r="J228" s="252"/>
      <c r="K228" s="180"/>
      <c r="L228" s="157"/>
      <c r="M228" s="1"/>
      <c r="N228" s="76"/>
      <c r="O228" s="1"/>
      <c r="P228" s="1"/>
      <c r="Q228" s="1"/>
    </row>
    <row r="229" spans="2:17" s="251" customFormat="1" ht="13.5" thickBot="1" x14ac:dyDescent="0.25">
      <c r="B229" s="258"/>
      <c r="C229" s="259"/>
      <c r="D229" s="260"/>
      <c r="E229" s="261"/>
      <c r="F229" s="261"/>
      <c r="G229" s="262"/>
      <c r="H229" s="263"/>
      <c r="I229" s="264"/>
      <c r="J229" s="260"/>
      <c r="K229" s="265"/>
      <c r="L229" s="265"/>
      <c r="M229" s="1"/>
      <c r="N229" s="76"/>
      <c r="O229" s="1"/>
      <c r="P229" s="1"/>
      <c r="Q229" s="1"/>
    </row>
    <row r="230" spans="2:17" s="251" customFormat="1" ht="26.25" thickBot="1" x14ac:dyDescent="0.25">
      <c r="B230" s="445">
        <v>11</v>
      </c>
      <c r="C230" s="149" t="s">
        <v>195</v>
      </c>
      <c r="D230" s="253"/>
      <c r="E230" s="150"/>
      <c r="F230" s="150" t="s">
        <v>47</v>
      </c>
      <c r="G230" s="150" t="s">
        <v>48</v>
      </c>
      <c r="H230" s="128" t="s">
        <v>118</v>
      </c>
      <c r="I230" s="150" t="s">
        <v>53</v>
      </c>
      <c r="J230" s="151" t="s">
        <v>43</v>
      </c>
      <c r="K230" s="152" t="s">
        <v>44</v>
      </c>
      <c r="L230" s="254" t="s">
        <v>45</v>
      </c>
      <c r="M230" s="1"/>
      <c r="N230" s="76"/>
      <c r="O230" s="1"/>
      <c r="P230" s="1"/>
      <c r="Q230" s="1"/>
    </row>
    <row r="231" spans="2:17" s="251" customFormat="1" ht="13.5" thickBot="1" x14ac:dyDescent="0.25">
      <c r="B231" s="446"/>
      <c r="C231" s="448"/>
      <c r="D231" s="449"/>
      <c r="E231" s="450"/>
      <c r="F231" s="106"/>
      <c r="G231" s="107"/>
      <c r="H231" s="154">
        <f t="shared" ref="H231" si="164">P231</f>
        <v>1</v>
      </c>
      <c r="I231" s="108"/>
      <c r="J231" s="155" t="e">
        <f t="shared" ref="J231" si="165">(SUM(K235:K240))+(SUM(I245:I249))</f>
        <v>#DIV/0!</v>
      </c>
      <c r="K231" s="156" t="e">
        <f t="shared" ref="K231" si="166">IF(F232="No",Q233,Q232)</f>
        <v>#DIV/0!</v>
      </c>
      <c r="L231" s="157" t="e">
        <f t="shared" ref="L231" si="167">SUM(J231:K231)</f>
        <v>#DIV/0!</v>
      </c>
      <c r="M231" s="1"/>
      <c r="N231" s="76">
        <f t="shared" ref="N231" si="168">IF(ISNUMBER(L231),L231,0)</f>
        <v>0</v>
      </c>
      <c r="O231" s="1">
        <f t="shared" ref="O231" si="169">(G231-F231)+1</f>
        <v>1</v>
      </c>
      <c r="P231" s="1">
        <f t="shared" ref="P231" si="170">IF(OR(O231=366,O231=365),52,(ROUNDUP(O231/7,0)))</f>
        <v>1</v>
      </c>
      <c r="Q231" s="1"/>
    </row>
    <row r="232" spans="2:17" s="251" customFormat="1" ht="13.5" thickBot="1" x14ac:dyDescent="0.25">
      <c r="B232" s="446"/>
      <c r="C232" s="477" t="s">
        <v>248</v>
      </c>
      <c r="D232" s="478"/>
      <c r="E232" s="479"/>
      <c r="F232" s="428"/>
      <c r="G232" s="429"/>
      <c r="H232" s="158"/>
      <c r="I232" s="147"/>
      <c r="J232" s="29"/>
      <c r="K232" s="159"/>
      <c r="L232" s="160"/>
      <c r="M232" s="1"/>
      <c r="N232" s="76"/>
      <c r="O232" s="1"/>
      <c r="P232" s="62" t="s">
        <v>243</v>
      </c>
      <c r="Q232" s="62" t="e">
        <f>IF(F232="Exempt all taxes",0,(J231*FICA)+(J231*Medicare))</f>
        <v>#DIV/0!</v>
      </c>
    </row>
    <row r="233" spans="2:17" s="251" customFormat="1" ht="13.5" thickBot="1" x14ac:dyDescent="0.25">
      <c r="B233" s="446"/>
      <c r="C233" s="451"/>
      <c r="D233" s="452"/>
      <c r="E233" s="452"/>
      <c r="F233" s="452"/>
      <c r="G233" s="452"/>
      <c r="H233" s="452"/>
      <c r="I233" s="452"/>
      <c r="J233" s="452"/>
      <c r="K233" s="452"/>
      <c r="L233" s="453"/>
      <c r="M233" s="1"/>
      <c r="N233" s="76"/>
      <c r="O233" s="1"/>
      <c r="P233" s="62" t="s">
        <v>244</v>
      </c>
      <c r="Q233" s="266" t="e">
        <f>IF(J231&gt;=SUTA_Max,((FUTA_Max*FUTA)+(SUTA_Max*I233)+(J231*FICA)+(J231*Medicare)),IF(J231&gt;=FUTA_Max,((FUTA_Max*FUTA)+(J231*I231)+(J231*FICA)+(J231*Medicare)),IF(J231&lt;FUTA_Max,(J231*(Total_Tax+I231)))))</f>
        <v>#DIV/0!</v>
      </c>
    </row>
    <row r="234" spans="2:17" s="251" customFormat="1" ht="27" thickBot="1" x14ac:dyDescent="0.3">
      <c r="B234" s="446"/>
      <c r="C234" s="161" t="s">
        <v>54</v>
      </c>
      <c r="D234" s="61"/>
      <c r="E234" s="454"/>
      <c r="F234" s="455"/>
      <c r="G234" s="162" t="s">
        <v>49</v>
      </c>
      <c r="H234" s="163" t="s">
        <v>41</v>
      </c>
      <c r="I234" s="164" t="s">
        <v>46</v>
      </c>
      <c r="J234" s="164" t="s">
        <v>51</v>
      </c>
      <c r="K234" s="165" t="s">
        <v>42</v>
      </c>
      <c r="L234" s="160"/>
      <c r="M234" s="1"/>
      <c r="N234" s="76"/>
      <c r="O234" s="1"/>
      <c r="P234" s="1"/>
      <c r="Q234" s="1"/>
    </row>
    <row r="235" spans="2:17" s="251" customFormat="1" ht="13.5" thickBot="1" x14ac:dyDescent="0.25">
      <c r="B235" s="446"/>
      <c r="C235" s="250"/>
      <c r="E235" s="480" t="s">
        <v>116</v>
      </c>
      <c r="F235" s="481"/>
      <c r="G235" s="70"/>
      <c r="H235" s="181"/>
      <c r="I235" s="166">
        <f t="shared" ref="I235:I236" si="171">$H$21</f>
        <v>1</v>
      </c>
      <c r="J235" s="167"/>
      <c r="K235" s="168">
        <f t="shared" ref="K235:K239" si="172">G235*H235*I235</f>
        <v>0</v>
      </c>
      <c r="L235" s="160"/>
      <c r="M235" s="1"/>
      <c r="N235" s="76"/>
      <c r="O235" s="240" t="e">
        <f t="shared" ref="O235" si="173">(G235/Q237)*H235</f>
        <v>#DIV/0!</v>
      </c>
      <c r="P235" s="62"/>
      <c r="Q235" s="241" t="e">
        <f t="shared" ref="Q235" si="174">SUM(O235:O239)</f>
        <v>#DIV/0!</v>
      </c>
    </row>
    <row r="236" spans="2:17" s="251" customFormat="1" ht="13.5" thickBot="1" x14ac:dyDescent="0.25">
      <c r="B236" s="446"/>
      <c r="C236" s="250"/>
      <c r="E236" s="488" t="s">
        <v>227</v>
      </c>
      <c r="F236" s="489"/>
      <c r="G236" s="70"/>
      <c r="H236" s="181"/>
      <c r="I236" s="166">
        <f t="shared" si="171"/>
        <v>1</v>
      </c>
      <c r="J236" s="215"/>
      <c r="K236" s="168">
        <f t="shared" si="172"/>
        <v>0</v>
      </c>
      <c r="L236" s="160"/>
      <c r="M236" s="1"/>
      <c r="N236" s="76"/>
      <c r="O236" s="240" t="e">
        <f t="shared" ref="O236" si="175">(G236/Q237)*H236</f>
        <v>#DIV/0!</v>
      </c>
      <c r="P236" s="62"/>
      <c r="Q236" s="241"/>
    </row>
    <row r="237" spans="2:17" s="251" customFormat="1" ht="13.5" thickBot="1" x14ac:dyDescent="0.25">
      <c r="B237" s="446"/>
      <c r="C237" s="250"/>
      <c r="E237" s="488" t="s">
        <v>95</v>
      </c>
      <c r="F237" s="490"/>
      <c r="G237" s="70"/>
      <c r="H237" s="181"/>
      <c r="I237" s="166">
        <f t="shared" si="131"/>
        <v>1</v>
      </c>
      <c r="J237" s="215"/>
      <c r="K237" s="168">
        <f t="shared" si="172"/>
        <v>0</v>
      </c>
      <c r="L237" s="160"/>
      <c r="M237" s="1"/>
      <c r="N237" s="76"/>
      <c r="O237" s="240" t="e">
        <f t="shared" ref="O237" si="176">(G237/Q237)*H237</f>
        <v>#DIV/0!</v>
      </c>
      <c r="P237" s="62"/>
      <c r="Q237" s="241">
        <f t="shared" ref="Q237" si="177">SUM(G235:G239)</f>
        <v>0</v>
      </c>
    </row>
    <row r="238" spans="2:17" s="251" customFormat="1" ht="13.5" thickBot="1" x14ac:dyDescent="0.25">
      <c r="B238" s="446"/>
      <c r="C238" s="250"/>
      <c r="E238" s="430" t="s">
        <v>233</v>
      </c>
      <c r="F238" s="431"/>
      <c r="G238" s="70"/>
      <c r="H238" s="181"/>
      <c r="I238" s="166">
        <f t="shared" si="131"/>
        <v>1</v>
      </c>
      <c r="J238" s="257"/>
      <c r="K238" s="168">
        <f t="shared" si="172"/>
        <v>0</v>
      </c>
      <c r="L238" s="160"/>
      <c r="M238" s="1"/>
      <c r="N238" s="76"/>
      <c r="O238" s="240" t="e">
        <f t="shared" ref="O238" si="178">(G238/Q237)*H238</f>
        <v>#DIV/0!</v>
      </c>
      <c r="P238" s="62"/>
      <c r="Q238" s="241"/>
    </row>
    <row r="239" spans="2:17" s="251" customFormat="1" ht="13.5" thickBot="1" x14ac:dyDescent="0.25">
      <c r="B239" s="446"/>
      <c r="C239" s="250"/>
      <c r="E239" s="430" t="s">
        <v>234</v>
      </c>
      <c r="F239" s="431"/>
      <c r="G239" s="70"/>
      <c r="H239" s="181"/>
      <c r="I239" s="166">
        <f t="shared" si="131"/>
        <v>1</v>
      </c>
      <c r="J239" s="257"/>
      <c r="K239" s="168">
        <f t="shared" si="172"/>
        <v>0</v>
      </c>
      <c r="L239" s="160"/>
      <c r="M239" s="1"/>
      <c r="N239" s="76"/>
      <c r="O239" s="240" t="e">
        <f t="shared" ref="O239" si="179">(G239/Q237)*H239</f>
        <v>#DIV/0!</v>
      </c>
      <c r="P239" s="62"/>
      <c r="Q239" s="241"/>
    </row>
    <row r="240" spans="2:17" s="251" customFormat="1" ht="13.5" thickBot="1" x14ac:dyDescent="0.25">
      <c r="B240" s="446"/>
      <c r="C240" s="250"/>
      <c r="E240" s="432" t="s">
        <v>24</v>
      </c>
      <c r="F240" s="433"/>
      <c r="G240" s="70"/>
      <c r="H240" s="214"/>
      <c r="I240" s="169">
        <f t="shared" ref="I240" si="180">H231</f>
        <v>1</v>
      </c>
      <c r="J240" s="170" t="e">
        <f t="shared" ref="J240" si="181">Q235*1.5</f>
        <v>#DIV/0!</v>
      </c>
      <c r="K240" s="171" t="e">
        <f t="shared" ref="K240" si="182">G240*I240*J240</f>
        <v>#DIV/0!</v>
      </c>
      <c r="L240" s="160"/>
      <c r="M240" s="1"/>
      <c r="N240" s="76"/>
      <c r="O240" s="1"/>
      <c r="P240" s="1"/>
      <c r="Q240" s="1"/>
    </row>
    <row r="241" spans="2:17" s="251" customFormat="1" x14ac:dyDescent="0.2">
      <c r="B241" s="446"/>
      <c r="C241" s="250"/>
      <c r="D241" s="434" t="s">
        <v>145</v>
      </c>
      <c r="E241" s="434"/>
      <c r="F241" s="434"/>
      <c r="G241" s="434"/>
      <c r="H241" s="434"/>
      <c r="I241" s="434"/>
      <c r="J241" s="434"/>
      <c r="K241" s="434"/>
      <c r="L241" s="172"/>
      <c r="M241" s="1"/>
      <c r="N241" s="76"/>
      <c r="O241" s="1"/>
      <c r="P241" s="1"/>
      <c r="Q241" s="1"/>
    </row>
    <row r="242" spans="2:17" s="251" customFormat="1" x14ac:dyDescent="0.2">
      <c r="B242" s="446"/>
      <c r="C242" s="173"/>
      <c r="D242" s="434"/>
      <c r="E242" s="434"/>
      <c r="F242" s="434"/>
      <c r="G242" s="434"/>
      <c r="H242" s="434"/>
      <c r="I242" s="434"/>
      <c r="J242" s="434"/>
      <c r="K242" s="434"/>
      <c r="L242" s="172"/>
      <c r="M242" s="1"/>
      <c r="N242" s="76"/>
      <c r="O242" s="1"/>
      <c r="P242" s="1"/>
      <c r="Q242" s="1"/>
    </row>
    <row r="243" spans="2:17" s="251" customFormat="1" ht="13.5" thickBot="1" x14ac:dyDescent="0.25">
      <c r="B243" s="446"/>
      <c r="C243" s="249"/>
      <c r="D243" s="5"/>
      <c r="E243" s="5"/>
      <c r="F243" s="5"/>
      <c r="G243" s="5"/>
      <c r="H243" s="5"/>
      <c r="I243" s="5"/>
      <c r="J243" s="5"/>
      <c r="K243" s="5"/>
      <c r="L243" s="174"/>
      <c r="M243" s="1"/>
      <c r="N243" s="76"/>
      <c r="O243" s="1"/>
      <c r="P243" s="1"/>
      <c r="Q243" s="1"/>
    </row>
    <row r="244" spans="2:17" s="251" customFormat="1" ht="27" thickBot="1" x14ac:dyDescent="0.3">
      <c r="B244" s="446"/>
      <c r="C244" s="161" t="s">
        <v>55</v>
      </c>
      <c r="D244" s="61"/>
      <c r="E244" s="435"/>
      <c r="F244" s="436"/>
      <c r="G244" s="175" t="s">
        <v>50</v>
      </c>
      <c r="H244" s="176" t="s">
        <v>56</v>
      </c>
      <c r="I244" s="177" t="s">
        <v>42</v>
      </c>
      <c r="L244" s="160"/>
      <c r="M244" s="1"/>
      <c r="N244" s="76"/>
      <c r="O244" s="1"/>
      <c r="P244" s="1"/>
      <c r="Q244" s="1"/>
    </row>
    <row r="245" spans="2:17" s="251" customFormat="1" ht="13.5" thickBot="1" x14ac:dyDescent="0.25">
      <c r="B245" s="446"/>
      <c r="C245" s="249"/>
      <c r="E245" s="437" t="s">
        <v>28</v>
      </c>
      <c r="F245" s="438"/>
      <c r="G245" s="109"/>
      <c r="H245" s="110"/>
      <c r="I245" s="71">
        <f t="shared" ref="I245:I249" si="183">G245*H245</f>
        <v>0</v>
      </c>
      <c r="L245" s="160"/>
      <c r="M245" s="1"/>
      <c r="N245" s="76"/>
      <c r="O245" s="1"/>
      <c r="P245" s="1"/>
      <c r="Q245" s="1"/>
    </row>
    <row r="246" spans="2:17" s="251" customFormat="1" ht="13.5" thickBot="1" x14ac:dyDescent="0.25">
      <c r="B246" s="446"/>
      <c r="C246" s="249"/>
      <c r="E246" s="439" t="s">
        <v>25</v>
      </c>
      <c r="F246" s="440"/>
      <c r="G246" s="111"/>
      <c r="H246" s="112"/>
      <c r="I246" s="71">
        <f t="shared" si="183"/>
        <v>0</v>
      </c>
      <c r="L246" s="160"/>
      <c r="M246" s="1"/>
      <c r="N246" s="76"/>
      <c r="O246" s="1"/>
      <c r="P246" s="1"/>
      <c r="Q246" s="1"/>
    </row>
    <row r="247" spans="2:17" s="251" customFormat="1" ht="13.5" thickBot="1" x14ac:dyDescent="0.25">
      <c r="B247" s="446"/>
      <c r="C247" s="249"/>
      <c r="E247" s="439" t="s">
        <v>26</v>
      </c>
      <c r="F247" s="440"/>
      <c r="G247" s="111"/>
      <c r="H247" s="112"/>
      <c r="I247" s="71">
        <f t="shared" si="183"/>
        <v>0</v>
      </c>
      <c r="L247" s="160"/>
      <c r="M247" s="1"/>
      <c r="N247" s="76"/>
      <c r="O247" s="1"/>
      <c r="P247" s="1"/>
      <c r="Q247" s="1"/>
    </row>
    <row r="248" spans="2:17" s="251" customFormat="1" ht="13.5" thickBot="1" x14ac:dyDescent="0.25">
      <c r="B248" s="446"/>
      <c r="C248" s="249"/>
      <c r="E248" s="441" t="s">
        <v>27</v>
      </c>
      <c r="F248" s="442"/>
      <c r="G248" s="111"/>
      <c r="H248" s="112"/>
      <c r="I248" s="71">
        <f t="shared" si="183"/>
        <v>0</v>
      </c>
      <c r="L248" s="160"/>
      <c r="M248" s="1"/>
      <c r="N248" s="76"/>
      <c r="O248" s="1"/>
      <c r="P248" s="1"/>
      <c r="Q248" s="1"/>
    </row>
    <row r="249" spans="2:17" s="251" customFormat="1" ht="13.5" thickBot="1" x14ac:dyDescent="0.25">
      <c r="B249" s="447"/>
      <c r="C249" s="178"/>
      <c r="D249" s="252"/>
      <c r="E249" s="443" t="s">
        <v>52</v>
      </c>
      <c r="F249" s="444"/>
      <c r="G249" s="113"/>
      <c r="H249" s="114"/>
      <c r="I249" s="179">
        <f t="shared" si="183"/>
        <v>0</v>
      </c>
      <c r="J249" s="252"/>
      <c r="K249" s="180"/>
      <c r="L249" s="157"/>
      <c r="M249" s="1"/>
      <c r="N249" s="76"/>
      <c r="O249" s="1"/>
      <c r="P249" s="1"/>
      <c r="Q249" s="1"/>
    </row>
    <row r="250" spans="2:17" s="251" customFormat="1" ht="13.5" thickBot="1" x14ac:dyDescent="0.25">
      <c r="B250" s="258"/>
      <c r="C250" s="259"/>
      <c r="D250" s="260"/>
      <c r="E250" s="261"/>
      <c r="F250" s="261"/>
      <c r="G250" s="262"/>
      <c r="H250" s="263"/>
      <c r="I250" s="264"/>
      <c r="J250" s="260"/>
      <c r="K250" s="265"/>
      <c r="L250" s="265"/>
      <c r="M250" s="1"/>
      <c r="N250" s="76"/>
      <c r="O250" s="1"/>
      <c r="P250" s="1"/>
      <c r="Q250" s="1"/>
    </row>
    <row r="251" spans="2:17" s="251" customFormat="1" ht="26.25" thickBot="1" x14ac:dyDescent="0.25">
      <c r="B251" s="445">
        <v>12</v>
      </c>
      <c r="C251" s="149" t="s">
        <v>195</v>
      </c>
      <c r="D251" s="253"/>
      <c r="E251" s="150"/>
      <c r="F251" s="150" t="s">
        <v>47</v>
      </c>
      <c r="G251" s="150" t="s">
        <v>48</v>
      </c>
      <c r="H251" s="128" t="s">
        <v>118</v>
      </c>
      <c r="I251" s="150" t="s">
        <v>53</v>
      </c>
      <c r="J251" s="151" t="s">
        <v>43</v>
      </c>
      <c r="K251" s="152" t="s">
        <v>44</v>
      </c>
      <c r="L251" s="254" t="s">
        <v>45</v>
      </c>
      <c r="M251" s="1"/>
      <c r="N251" s="76"/>
      <c r="O251" s="1"/>
      <c r="P251" s="1"/>
      <c r="Q251" s="1"/>
    </row>
    <row r="252" spans="2:17" s="251" customFormat="1" ht="13.5" thickBot="1" x14ac:dyDescent="0.25">
      <c r="B252" s="446"/>
      <c r="C252" s="448"/>
      <c r="D252" s="449"/>
      <c r="E252" s="450"/>
      <c r="F252" s="106"/>
      <c r="G252" s="107"/>
      <c r="H252" s="154">
        <f t="shared" ref="H252" si="184">P252</f>
        <v>1</v>
      </c>
      <c r="I252" s="108"/>
      <c r="J252" s="155" t="e">
        <f t="shared" ref="J252" si="185">(SUM(K256:K261))+(SUM(I266:I270))</f>
        <v>#DIV/0!</v>
      </c>
      <c r="K252" s="156" t="e">
        <f t="shared" ref="K252" si="186">IF(F253="No",Q254,Q253)</f>
        <v>#DIV/0!</v>
      </c>
      <c r="L252" s="157" t="e">
        <f t="shared" ref="L252" si="187">SUM(J252:K252)</f>
        <v>#DIV/0!</v>
      </c>
      <c r="M252" s="1"/>
      <c r="N252" s="76">
        <f t="shared" ref="N252" si="188">IF(ISNUMBER(L252),L252,0)</f>
        <v>0</v>
      </c>
      <c r="O252" s="1">
        <f t="shared" ref="O252" si="189">(G252-F252)+1</f>
        <v>1</v>
      </c>
      <c r="P252" s="1">
        <f t="shared" ref="P252" si="190">IF(OR(O252=366,O252=365),52,(ROUNDUP(O252/7,0)))</f>
        <v>1</v>
      </c>
      <c r="Q252" s="1"/>
    </row>
    <row r="253" spans="2:17" s="251" customFormat="1" ht="13.5" thickBot="1" x14ac:dyDescent="0.25">
      <c r="B253" s="446"/>
      <c r="C253" s="477" t="s">
        <v>248</v>
      </c>
      <c r="D253" s="478"/>
      <c r="E253" s="479"/>
      <c r="F253" s="428"/>
      <c r="G253" s="429"/>
      <c r="H253" s="158"/>
      <c r="I253" s="147"/>
      <c r="J253" s="29"/>
      <c r="K253" s="159"/>
      <c r="L253" s="160"/>
      <c r="M253" s="1"/>
      <c r="N253" s="76"/>
      <c r="O253" s="1"/>
      <c r="P253" s="62" t="s">
        <v>243</v>
      </c>
      <c r="Q253" s="62" t="e">
        <f>IF(F253="Exempt all taxes",0,(J252*FICA)+(J252*Medicare))</f>
        <v>#DIV/0!</v>
      </c>
    </row>
    <row r="254" spans="2:17" s="251" customFormat="1" ht="13.5" thickBot="1" x14ac:dyDescent="0.25">
      <c r="B254" s="446"/>
      <c r="C254" s="451"/>
      <c r="D254" s="452"/>
      <c r="E254" s="452"/>
      <c r="F254" s="452"/>
      <c r="G254" s="452"/>
      <c r="H254" s="452"/>
      <c r="I254" s="452"/>
      <c r="J254" s="452"/>
      <c r="K254" s="452"/>
      <c r="L254" s="453"/>
      <c r="M254" s="1"/>
      <c r="N254" s="76"/>
      <c r="O254" s="1"/>
      <c r="P254" s="62" t="s">
        <v>244</v>
      </c>
      <c r="Q254" s="266" t="e">
        <f>IF(J252&gt;=SUTA_Max,((FUTA_Max*FUTA)+(SUTA_Max*I254)+(J252*FICA)+(J252*Medicare)),IF(J252&gt;=FUTA_Max,((FUTA_Max*FUTA)+(J252*I252)+(J252*FICA)+(J252*Medicare)),IF(J252&lt;FUTA_Max,(J252*(Total_Tax+I252)))))</f>
        <v>#DIV/0!</v>
      </c>
    </row>
    <row r="255" spans="2:17" s="251" customFormat="1" ht="27" thickBot="1" x14ac:dyDescent="0.3">
      <c r="B255" s="446"/>
      <c r="C255" s="161" t="s">
        <v>54</v>
      </c>
      <c r="D255" s="61"/>
      <c r="E255" s="454"/>
      <c r="F255" s="455"/>
      <c r="G255" s="162" t="s">
        <v>49</v>
      </c>
      <c r="H255" s="163" t="s">
        <v>41</v>
      </c>
      <c r="I255" s="164" t="s">
        <v>46</v>
      </c>
      <c r="J255" s="164" t="s">
        <v>51</v>
      </c>
      <c r="K255" s="165" t="s">
        <v>42</v>
      </c>
      <c r="L255" s="160"/>
      <c r="M255" s="1"/>
      <c r="N255" s="76"/>
      <c r="O255" s="1"/>
      <c r="P255" s="1"/>
      <c r="Q255" s="1"/>
    </row>
    <row r="256" spans="2:17" s="251" customFormat="1" ht="13.5" thickBot="1" x14ac:dyDescent="0.25">
      <c r="B256" s="446"/>
      <c r="C256" s="250"/>
      <c r="E256" s="480" t="s">
        <v>116</v>
      </c>
      <c r="F256" s="481"/>
      <c r="G256" s="70"/>
      <c r="H256" s="181"/>
      <c r="I256" s="166">
        <f t="shared" ref="I256:I302" si="191">$H$21</f>
        <v>1</v>
      </c>
      <c r="J256" s="167"/>
      <c r="K256" s="168">
        <f t="shared" ref="K256:K260" si="192">G256*H256*I256</f>
        <v>0</v>
      </c>
      <c r="L256" s="160"/>
      <c r="M256" s="1"/>
      <c r="N256" s="76"/>
      <c r="O256" s="240" t="e">
        <f t="shared" ref="O256" si="193">(G256/Q258)*H256</f>
        <v>#DIV/0!</v>
      </c>
      <c r="P256" s="62"/>
      <c r="Q256" s="241" t="e">
        <f t="shared" ref="Q256" si="194">SUM(O256:O260)</f>
        <v>#DIV/0!</v>
      </c>
    </row>
    <row r="257" spans="2:17" s="251" customFormat="1" ht="13.5" thickBot="1" x14ac:dyDescent="0.25">
      <c r="B257" s="446"/>
      <c r="C257" s="250"/>
      <c r="E257" s="488" t="s">
        <v>227</v>
      </c>
      <c r="F257" s="489"/>
      <c r="G257" s="70"/>
      <c r="H257" s="181"/>
      <c r="I257" s="166">
        <f t="shared" si="191"/>
        <v>1</v>
      </c>
      <c r="J257" s="215"/>
      <c r="K257" s="168">
        <f t="shared" si="192"/>
        <v>0</v>
      </c>
      <c r="L257" s="160"/>
      <c r="M257" s="1"/>
      <c r="N257" s="76"/>
      <c r="O257" s="240" t="e">
        <f t="shared" ref="O257" si="195">(G257/Q258)*H257</f>
        <v>#DIV/0!</v>
      </c>
      <c r="P257" s="62"/>
      <c r="Q257" s="241"/>
    </row>
    <row r="258" spans="2:17" s="251" customFormat="1" ht="13.5" thickBot="1" x14ac:dyDescent="0.25">
      <c r="B258" s="446"/>
      <c r="C258" s="250"/>
      <c r="E258" s="488" t="s">
        <v>95</v>
      </c>
      <c r="F258" s="490"/>
      <c r="G258" s="70"/>
      <c r="H258" s="181"/>
      <c r="I258" s="166">
        <f t="shared" si="191"/>
        <v>1</v>
      </c>
      <c r="J258" s="215"/>
      <c r="K258" s="168">
        <f t="shared" si="192"/>
        <v>0</v>
      </c>
      <c r="L258" s="160"/>
      <c r="M258" s="1"/>
      <c r="N258" s="76"/>
      <c r="O258" s="240" t="e">
        <f t="shared" ref="O258" si="196">(G258/Q258)*H258</f>
        <v>#DIV/0!</v>
      </c>
      <c r="P258" s="62"/>
      <c r="Q258" s="241">
        <f t="shared" ref="Q258" si="197">SUM(G256:G260)</f>
        <v>0</v>
      </c>
    </row>
    <row r="259" spans="2:17" s="251" customFormat="1" ht="13.5" thickBot="1" x14ac:dyDescent="0.25">
      <c r="B259" s="446"/>
      <c r="C259" s="250"/>
      <c r="E259" s="430" t="s">
        <v>233</v>
      </c>
      <c r="F259" s="431"/>
      <c r="G259" s="70"/>
      <c r="H259" s="181"/>
      <c r="I259" s="166">
        <f t="shared" si="191"/>
        <v>1</v>
      </c>
      <c r="J259" s="257"/>
      <c r="K259" s="168">
        <f t="shared" si="192"/>
        <v>0</v>
      </c>
      <c r="L259" s="160"/>
      <c r="M259" s="1"/>
      <c r="N259" s="76"/>
      <c r="O259" s="240" t="e">
        <f t="shared" ref="O259" si="198">(G259/Q258)*H259</f>
        <v>#DIV/0!</v>
      </c>
      <c r="P259" s="62"/>
      <c r="Q259" s="241"/>
    </row>
    <row r="260" spans="2:17" s="251" customFormat="1" ht="13.5" thickBot="1" x14ac:dyDescent="0.25">
      <c r="B260" s="446"/>
      <c r="C260" s="250"/>
      <c r="E260" s="430" t="s">
        <v>234</v>
      </c>
      <c r="F260" s="431"/>
      <c r="G260" s="70"/>
      <c r="H260" s="181"/>
      <c r="I260" s="166">
        <f t="shared" si="191"/>
        <v>1</v>
      </c>
      <c r="J260" s="257"/>
      <c r="K260" s="168">
        <f t="shared" si="192"/>
        <v>0</v>
      </c>
      <c r="L260" s="160"/>
      <c r="M260" s="1"/>
      <c r="N260" s="76"/>
      <c r="O260" s="240" t="e">
        <f t="shared" ref="O260" si="199">(G260/Q258)*H260</f>
        <v>#DIV/0!</v>
      </c>
      <c r="P260" s="62"/>
      <c r="Q260" s="241"/>
    </row>
    <row r="261" spans="2:17" s="251" customFormat="1" ht="13.5" thickBot="1" x14ac:dyDescent="0.25">
      <c r="B261" s="446"/>
      <c r="C261" s="250"/>
      <c r="E261" s="432" t="s">
        <v>24</v>
      </c>
      <c r="F261" s="433"/>
      <c r="G261" s="70"/>
      <c r="H261" s="214"/>
      <c r="I261" s="169">
        <f t="shared" ref="I261" si="200">H252</f>
        <v>1</v>
      </c>
      <c r="J261" s="170" t="e">
        <f t="shared" ref="J261" si="201">Q256*1.5</f>
        <v>#DIV/0!</v>
      </c>
      <c r="K261" s="171" t="e">
        <f t="shared" ref="K261" si="202">G261*I261*J261</f>
        <v>#DIV/0!</v>
      </c>
      <c r="L261" s="160"/>
      <c r="M261" s="1"/>
      <c r="N261" s="76"/>
      <c r="O261" s="1"/>
      <c r="P261" s="1"/>
      <c r="Q261" s="1"/>
    </row>
    <row r="262" spans="2:17" s="251" customFormat="1" x14ac:dyDescent="0.2">
      <c r="B262" s="446"/>
      <c r="C262" s="250"/>
      <c r="D262" s="434" t="s">
        <v>145</v>
      </c>
      <c r="E262" s="434"/>
      <c r="F262" s="434"/>
      <c r="G262" s="434"/>
      <c r="H262" s="434"/>
      <c r="I262" s="434"/>
      <c r="J262" s="434"/>
      <c r="K262" s="434"/>
      <c r="L262" s="172"/>
      <c r="M262" s="1"/>
      <c r="N262" s="76"/>
      <c r="O262" s="1"/>
      <c r="P262" s="1"/>
      <c r="Q262" s="1"/>
    </row>
    <row r="263" spans="2:17" s="251" customFormat="1" x14ac:dyDescent="0.2">
      <c r="B263" s="446"/>
      <c r="C263" s="173"/>
      <c r="D263" s="434"/>
      <c r="E263" s="434"/>
      <c r="F263" s="434"/>
      <c r="G263" s="434"/>
      <c r="H263" s="434"/>
      <c r="I263" s="434"/>
      <c r="J263" s="434"/>
      <c r="K263" s="434"/>
      <c r="L263" s="172"/>
      <c r="M263" s="1"/>
      <c r="N263" s="76"/>
      <c r="O263" s="1"/>
      <c r="P263" s="1"/>
      <c r="Q263" s="1"/>
    </row>
    <row r="264" spans="2:17" s="251" customFormat="1" ht="13.5" thickBot="1" x14ac:dyDescent="0.25">
      <c r="B264" s="446"/>
      <c r="C264" s="249"/>
      <c r="D264" s="5"/>
      <c r="E264" s="5"/>
      <c r="F264" s="5"/>
      <c r="G264" s="5"/>
      <c r="H264" s="5"/>
      <c r="I264" s="5"/>
      <c r="J264" s="5"/>
      <c r="K264" s="5"/>
      <c r="L264" s="174"/>
      <c r="M264" s="1"/>
      <c r="N264" s="76"/>
      <c r="O264" s="1"/>
      <c r="P264" s="1"/>
      <c r="Q264" s="1"/>
    </row>
    <row r="265" spans="2:17" s="251" customFormat="1" ht="27" thickBot="1" x14ac:dyDescent="0.3">
      <c r="B265" s="446"/>
      <c r="C265" s="161" t="s">
        <v>55</v>
      </c>
      <c r="D265" s="61"/>
      <c r="E265" s="435"/>
      <c r="F265" s="436"/>
      <c r="G265" s="175" t="s">
        <v>50</v>
      </c>
      <c r="H265" s="176" t="s">
        <v>56</v>
      </c>
      <c r="I265" s="177" t="s">
        <v>42</v>
      </c>
      <c r="L265" s="160"/>
      <c r="M265" s="1"/>
      <c r="N265" s="76"/>
      <c r="O265" s="1"/>
      <c r="P265" s="1"/>
      <c r="Q265" s="1"/>
    </row>
    <row r="266" spans="2:17" s="251" customFormat="1" ht="13.5" thickBot="1" x14ac:dyDescent="0.25">
      <c r="B266" s="446"/>
      <c r="C266" s="249"/>
      <c r="E266" s="437" t="s">
        <v>28</v>
      </c>
      <c r="F266" s="438"/>
      <c r="G266" s="109"/>
      <c r="H266" s="110"/>
      <c r="I266" s="71">
        <f t="shared" ref="I266:I270" si="203">G266*H266</f>
        <v>0</v>
      </c>
      <c r="L266" s="160"/>
      <c r="M266" s="1"/>
      <c r="N266" s="76"/>
      <c r="O266" s="1"/>
      <c r="P266" s="1"/>
      <c r="Q266" s="1"/>
    </row>
    <row r="267" spans="2:17" s="251" customFormat="1" ht="13.5" thickBot="1" x14ac:dyDescent="0.25">
      <c r="B267" s="446"/>
      <c r="C267" s="249"/>
      <c r="E267" s="439" t="s">
        <v>25</v>
      </c>
      <c r="F267" s="440"/>
      <c r="G267" s="111"/>
      <c r="H267" s="112"/>
      <c r="I267" s="71">
        <f t="shared" si="203"/>
        <v>0</v>
      </c>
      <c r="L267" s="160"/>
      <c r="M267" s="1"/>
      <c r="N267" s="76"/>
      <c r="O267" s="1"/>
      <c r="P267" s="1"/>
      <c r="Q267" s="1"/>
    </row>
    <row r="268" spans="2:17" s="251" customFormat="1" ht="13.5" thickBot="1" x14ac:dyDescent="0.25">
      <c r="B268" s="446"/>
      <c r="C268" s="249"/>
      <c r="E268" s="439" t="s">
        <v>26</v>
      </c>
      <c r="F268" s="440"/>
      <c r="G268" s="111"/>
      <c r="H268" s="112"/>
      <c r="I268" s="71">
        <f t="shared" si="203"/>
        <v>0</v>
      </c>
      <c r="L268" s="160"/>
      <c r="M268" s="1"/>
      <c r="N268" s="76"/>
      <c r="O268" s="1"/>
      <c r="P268" s="1"/>
      <c r="Q268" s="1"/>
    </row>
    <row r="269" spans="2:17" s="251" customFormat="1" ht="13.5" thickBot="1" x14ac:dyDescent="0.25">
      <c r="B269" s="446"/>
      <c r="C269" s="249"/>
      <c r="E269" s="441" t="s">
        <v>27</v>
      </c>
      <c r="F269" s="442"/>
      <c r="G269" s="111"/>
      <c r="H269" s="112"/>
      <c r="I269" s="71">
        <f t="shared" si="203"/>
        <v>0</v>
      </c>
      <c r="L269" s="160"/>
      <c r="M269" s="1"/>
      <c r="N269" s="76"/>
      <c r="O269" s="1"/>
      <c r="P269" s="1"/>
      <c r="Q269" s="1"/>
    </row>
    <row r="270" spans="2:17" s="251" customFormat="1" ht="13.5" thickBot="1" x14ac:dyDescent="0.25">
      <c r="B270" s="447"/>
      <c r="C270" s="178"/>
      <c r="D270" s="252"/>
      <c r="E270" s="443" t="s">
        <v>52</v>
      </c>
      <c r="F270" s="444"/>
      <c r="G270" s="113"/>
      <c r="H270" s="114"/>
      <c r="I270" s="179">
        <f t="shared" si="203"/>
        <v>0</v>
      </c>
      <c r="J270" s="252"/>
      <c r="K270" s="180"/>
      <c r="L270" s="157"/>
      <c r="M270" s="1"/>
      <c r="N270" s="76"/>
      <c r="O270" s="1"/>
      <c r="P270" s="1"/>
      <c r="Q270" s="1"/>
    </row>
    <row r="271" spans="2:17" s="251" customFormat="1" ht="13.5" thickBot="1" x14ac:dyDescent="0.25">
      <c r="B271" s="258"/>
      <c r="C271" s="259"/>
      <c r="D271" s="260"/>
      <c r="E271" s="261"/>
      <c r="F271" s="261"/>
      <c r="G271" s="262"/>
      <c r="H271" s="263"/>
      <c r="I271" s="264"/>
      <c r="J271" s="260"/>
      <c r="K271" s="265"/>
      <c r="L271" s="265"/>
      <c r="M271" s="1"/>
      <c r="N271" s="76"/>
      <c r="O271" s="1"/>
      <c r="P271" s="1"/>
      <c r="Q271" s="1"/>
    </row>
    <row r="272" spans="2:17" s="251" customFormat="1" ht="26.25" thickBot="1" x14ac:dyDescent="0.25">
      <c r="B272" s="445">
        <v>13</v>
      </c>
      <c r="C272" s="149" t="s">
        <v>195</v>
      </c>
      <c r="D272" s="253"/>
      <c r="E272" s="150"/>
      <c r="F272" s="150" t="s">
        <v>47</v>
      </c>
      <c r="G272" s="150" t="s">
        <v>48</v>
      </c>
      <c r="H272" s="128" t="s">
        <v>118</v>
      </c>
      <c r="I272" s="150" t="s">
        <v>53</v>
      </c>
      <c r="J272" s="151" t="s">
        <v>43</v>
      </c>
      <c r="K272" s="152" t="s">
        <v>44</v>
      </c>
      <c r="L272" s="254" t="s">
        <v>45</v>
      </c>
      <c r="M272" s="1"/>
      <c r="N272" s="76"/>
      <c r="O272" s="1"/>
      <c r="P272" s="1"/>
      <c r="Q272" s="1"/>
    </row>
    <row r="273" spans="2:17" s="251" customFormat="1" ht="13.5" thickBot="1" x14ac:dyDescent="0.25">
      <c r="B273" s="446"/>
      <c r="C273" s="448"/>
      <c r="D273" s="449"/>
      <c r="E273" s="450"/>
      <c r="F273" s="106"/>
      <c r="G273" s="107"/>
      <c r="H273" s="154">
        <f t="shared" ref="H273" si="204">P273</f>
        <v>1</v>
      </c>
      <c r="I273" s="108"/>
      <c r="J273" s="155" t="e">
        <f t="shared" ref="J273" si="205">(SUM(K277:K282))+(SUM(I287:I291))</f>
        <v>#DIV/0!</v>
      </c>
      <c r="K273" s="156" t="e">
        <f t="shared" ref="K273" si="206">IF(F274="No",Q275,Q274)</f>
        <v>#DIV/0!</v>
      </c>
      <c r="L273" s="157" t="e">
        <f t="shared" ref="L273" si="207">SUM(J273:K273)</f>
        <v>#DIV/0!</v>
      </c>
      <c r="M273" s="1"/>
      <c r="N273" s="76">
        <f t="shared" ref="N273" si="208">IF(ISNUMBER(L273),L273,0)</f>
        <v>0</v>
      </c>
      <c r="O273" s="1">
        <f t="shared" ref="O273" si="209">(G273-F273)+1</f>
        <v>1</v>
      </c>
      <c r="P273" s="1">
        <f t="shared" ref="P273" si="210">IF(OR(O273=366,O273=365),52,(ROUNDUP(O273/7,0)))</f>
        <v>1</v>
      </c>
      <c r="Q273" s="1"/>
    </row>
    <row r="274" spans="2:17" s="251" customFormat="1" ht="13.5" thickBot="1" x14ac:dyDescent="0.25">
      <c r="B274" s="446"/>
      <c r="C274" s="477" t="s">
        <v>248</v>
      </c>
      <c r="D274" s="478"/>
      <c r="E274" s="479"/>
      <c r="F274" s="428"/>
      <c r="G274" s="429"/>
      <c r="H274" s="158"/>
      <c r="I274" s="147"/>
      <c r="J274" s="29"/>
      <c r="K274" s="159"/>
      <c r="L274" s="160"/>
      <c r="M274" s="1"/>
      <c r="N274" s="76"/>
      <c r="O274" s="1"/>
      <c r="P274" s="62" t="s">
        <v>243</v>
      </c>
      <c r="Q274" s="62" t="e">
        <f>IF(F274="Exempt all taxes",0,(J273*FICA)+(J273*Medicare))</f>
        <v>#DIV/0!</v>
      </c>
    </row>
    <row r="275" spans="2:17" s="251" customFormat="1" ht="13.5" thickBot="1" x14ac:dyDescent="0.25">
      <c r="B275" s="446"/>
      <c r="C275" s="451"/>
      <c r="D275" s="452"/>
      <c r="E275" s="452"/>
      <c r="F275" s="452"/>
      <c r="G275" s="452"/>
      <c r="H275" s="452"/>
      <c r="I275" s="452"/>
      <c r="J275" s="452"/>
      <c r="K275" s="452"/>
      <c r="L275" s="453"/>
      <c r="M275" s="1"/>
      <c r="N275" s="76"/>
      <c r="O275" s="1"/>
      <c r="P275" s="62" t="s">
        <v>244</v>
      </c>
      <c r="Q275" s="266" t="e">
        <f>IF(J273&gt;=SUTA_Max,((FUTA_Max*FUTA)+(SUTA_Max*I275)+(J273*FICA)+(J273*Medicare)),IF(J273&gt;=FUTA_Max,((FUTA_Max*FUTA)+(J273*I273)+(J273*FICA)+(J273*Medicare)),IF(J273&lt;FUTA_Max,(J273*(Total_Tax+I273)))))</f>
        <v>#DIV/0!</v>
      </c>
    </row>
    <row r="276" spans="2:17" s="251" customFormat="1" ht="27" thickBot="1" x14ac:dyDescent="0.3">
      <c r="B276" s="446"/>
      <c r="C276" s="161" t="s">
        <v>54</v>
      </c>
      <c r="D276" s="61"/>
      <c r="E276" s="454"/>
      <c r="F276" s="455"/>
      <c r="G276" s="162" t="s">
        <v>49</v>
      </c>
      <c r="H276" s="163" t="s">
        <v>41</v>
      </c>
      <c r="I276" s="164" t="s">
        <v>46</v>
      </c>
      <c r="J276" s="164" t="s">
        <v>51</v>
      </c>
      <c r="K276" s="165" t="s">
        <v>42</v>
      </c>
      <c r="L276" s="160"/>
      <c r="M276" s="1"/>
      <c r="N276" s="76"/>
      <c r="O276" s="1"/>
      <c r="P276" s="1"/>
      <c r="Q276" s="1"/>
    </row>
    <row r="277" spans="2:17" s="251" customFormat="1" ht="13.5" thickBot="1" x14ac:dyDescent="0.25">
      <c r="B277" s="446"/>
      <c r="C277" s="250"/>
      <c r="E277" s="480" t="s">
        <v>116</v>
      </c>
      <c r="F277" s="481"/>
      <c r="G277" s="70"/>
      <c r="H277" s="181"/>
      <c r="I277" s="166">
        <f t="shared" ref="I277:I278" si="211">$H$21</f>
        <v>1</v>
      </c>
      <c r="J277" s="167"/>
      <c r="K277" s="168">
        <f t="shared" ref="K277:K281" si="212">G277*H277*I277</f>
        <v>0</v>
      </c>
      <c r="L277" s="160"/>
      <c r="M277" s="1"/>
      <c r="N277" s="76"/>
      <c r="O277" s="240" t="e">
        <f t="shared" ref="O277" si="213">(G277/Q279)*H277</f>
        <v>#DIV/0!</v>
      </c>
      <c r="P277" s="62"/>
      <c r="Q277" s="241" t="e">
        <f t="shared" ref="Q277" si="214">SUM(O277:O281)</f>
        <v>#DIV/0!</v>
      </c>
    </row>
    <row r="278" spans="2:17" s="251" customFormat="1" ht="13.5" thickBot="1" x14ac:dyDescent="0.25">
      <c r="B278" s="446"/>
      <c r="C278" s="250"/>
      <c r="E278" s="488" t="s">
        <v>227</v>
      </c>
      <c r="F278" s="489"/>
      <c r="G278" s="70"/>
      <c r="H278" s="181"/>
      <c r="I278" s="166">
        <f t="shared" si="211"/>
        <v>1</v>
      </c>
      <c r="J278" s="215"/>
      <c r="K278" s="168">
        <f t="shared" si="212"/>
        <v>0</v>
      </c>
      <c r="L278" s="160"/>
      <c r="M278" s="1"/>
      <c r="N278" s="76"/>
      <c r="O278" s="240" t="e">
        <f t="shared" ref="O278" si="215">(G278/Q279)*H278</f>
        <v>#DIV/0!</v>
      </c>
      <c r="P278" s="62"/>
      <c r="Q278" s="241"/>
    </row>
    <row r="279" spans="2:17" s="251" customFormat="1" ht="13.5" thickBot="1" x14ac:dyDescent="0.25">
      <c r="B279" s="446"/>
      <c r="C279" s="250"/>
      <c r="E279" s="488" t="s">
        <v>95</v>
      </c>
      <c r="F279" s="490"/>
      <c r="G279" s="70"/>
      <c r="H279" s="181"/>
      <c r="I279" s="166">
        <f t="shared" si="191"/>
        <v>1</v>
      </c>
      <c r="J279" s="215"/>
      <c r="K279" s="168">
        <f t="shared" si="212"/>
        <v>0</v>
      </c>
      <c r="L279" s="160"/>
      <c r="M279" s="1"/>
      <c r="N279" s="76"/>
      <c r="O279" s="240" t="e">
        <f t="shared" ref="O279" si="216">(G279/Q279)*H279</f>
        <v>#DIV/0!</v>
      </c>
      <c r="P279" s="62"/>
      <c r="Q279" s="241">
        <f t="shared" ref="Q279" si="217">SUM(G277:G281)</f>
        <v>0</v>
      </c>
    </row>
    <row r="280" spans="2:17" s="251" customFormat="1" ht="13.5" thickBot="1" x14ac:dyDescent="0.25">
      <c r="B280" s="446"/>
      <c r="C280" s="250"/>
      <c r="E280" s="430" t="s">
        <v>233</v>
      </c>
      <c r="F280" s="431"/>
      <c r="G280" s="70"/>
      <c r="H280" s="181"/>
      <c r="I280" s="166">
        <f t="shared" si="191"/>
        <v>1</v>
      </c>
      <c r="J280" s="257"/>
      <c r="K280" s="168">
        <f t="shared" si="212"/>
        <v>0</v>
      </c>
      <c r="L280" s="160"/>
      <c r="M280" s="1"/>
      <c r="N280" s="76"/>
      <c r="O280" s="240" t="e">
        <f t="shared" ref="O280" si="218">(G280/Q279)*H280</f>
        <v>#DIV/0!</v>
      </c>
      <c r="P280" s="62"/>
      <c r="Q280" s="241"/>
    </row>
    <row r="281" spans="2:17" s="251" customFormat="1" ht="13.5" thickBot="1" x14ac:dyDescent="0.25">
      <c r="B281" s="446"/>
      <c r="C281" s="250"/>
      <c r="E281" s="430" t="s">
        <v>234</v>
      </c>
      <c r="F281" s="431"/>
      <c r="G281" s="70"/>
      <c r="H281" s="181"/>
      <c r="I281" s="166">
        <f t="shared" si="191"/>
        <v>1</v>
      </c>
      <c r="J281" s="257"/>
      <c r="K281" s="168">
        <f t="shared" si="212"/>
        <v>0</v>
      </c>
      <c r="L281" s="160"/>
      <c r="M281" s="1"/>
      <c r="N281" s="76"/>
      <c r="O281" s="240" t="e">
        <f t="shared" ref="O281" si="219">(G281/Q279)*H281</f>
        <v>#DIV/0!</v>
      </c>
      <c r="P281" s="62"/>
      <c r="Q281" s="241"/>
    </row>
    <row r="282" spans="2:17" s="251" customFormat="1" ht="13.5" thickBot="1" x14ac:dyDescent="0.25">
      <c r="B282" s="446"/>
      <c r="C282" s="250"/>
      <c r="E282" s="432" t="s">
        <v>24</v>
      </c>
      <c r="F282" s="433"/>
      <c r="G282" s="70"/>
      <c r="H282" s="214"/>
      <c r="I282" s="169">
        <f t="shared" ref="I282" si="220">H273</f>
        <v>1</v>
      </c>
      <c r="J282" s="170" t="e">
        <f t="shared" ref="J282" si="221">Q277*1.5</f>
        <v>#DIV/0!</v>
      </c>
      <c r="K282" s="171" t="e">
        <f t="shared" ref="K282" si="222">G282*I282*J282</f>
        <v>#DIV/0!</v>
      </c>
      <c r="L282" s="160"/>
      <c r="M282" s="1"/>
      <c r="N282" s="76"/>
      <c r="O282" s="1"/>
      <c r="P282" s="1"/>
      <c r="Q282" s="1"/>
    </row>
    <row r="283" spans="2:17" s="251" customFormat="1" x14ac:dyDescent="0.2">
      <c r="B283" s="446"/>
      <c r="C283" s="250"/>
      <c r="D283" s="434" t="s">
        <v>145</v>
      </c>
      <c r="E283" s="434"/>
      <c r="F283" s="434"/>
      <c r="G283" s="434"/>
      <c r="H283" s="434"/>
      <c r="I283" s="434"/>
      <c r="J283" s="434"/>
      <c r="K283" s="434"/>
      <c r="L283" s="172"/>
      <c r="M283" s="1"/>
      <c r="N283" s="76"/>
      <c r="O283" s="1"/>
      <c r="P283" s="1"/>
      <c r="Q283" s="1"/>
    </row>
    <row r="284" spans="2:17" s="251" customFormat="1" x14ac:dyDescent="0.2">
      <c r="B284" s="446"/>
      <c r="C284" s="173"/>
      <c r="D284" s="434"/>
      <c r="E284" s="434"/>
      <c r="F284" s="434"/>
      <c r="G284" s="434"/>
      <c r="H284" s="434"/>
      <c r="I284" s="434"/>
      <c r="J284" s="434"/>
      <c r="K284" s="434"/>
      <c r="L284" s="172"/>
      <c r="M284" s="1"/>
      <c r="N284" s="76"/>
      <c r="O284" s="1"/>
      <c r="P284" s="1"/>
      <c r="Q284" s="1"/>
    </row>
    <row r="285" spans="2:17" s="251" customFormat="1" ht="13.5" thickBot="1" x14ac:dyDescent="0.25">
      <c r="B285" s="446"/>
      <c r="C285" s="249"/>
      <c r="D285" s="5"/>
      <c r="E285" s="5"/>
      <c r="F285" s="5"/>
      <c r="G285" s="5"/>
      <c r="H285" s="5"/>
      <c r="I285" s="5"/>
      <c r="J285" s="5"/>
      <c r="K285" s="5"/>
      <c r="L285" s="174"/>
      <c r="M285" s="1"/>
      <c r="N285" s="76"/>
      <c r="O285" s="1"/>
      <c r="P285" s="1"/>
      <c r="Q285" s="1"/>
    </row>
    <row r="286" spans="2:17" s="251" customFormat="1" ht="27" thickBot="1" x14ac:dyDescent="0.3">
      <c r="B286" s="446"/>
      <c r="C286" s="161" t="s">
        <v>55</v>
      </c>
      <c r="D286" s="61"/>
      <c r="E286" s="435"/>
      <c r="F286" s="436"/>
      <c r="G286" s="175" t="s">
        <v>50</v>
      </c>
      <c r="H286" s="176" t="s">
        <v>56</v>
      </c>
      <c r="I286" s="177" t="s">
        <v>42</v>
      </c>
      <c r="L286" s="160"/>
      <c r="M286" s="1"/>
      <c r="N286" s="76"/>
      <c r="O286" s="1"/>
      <c r="P286" s="1"/>
      <c r="Q286" s="1"/>
    </row>
    <row r="287" spans="2:17" s="251" customFormat="1" ht="13.5" thickBot="1" x14ac:dyDescent="0.25">
      <c r="B287" s="446"/>
      <c r="C287" s="249"/>
      <c r="E287" s="437" t="s">
        <v>28</v>
      </c>
      <c r="F287" s="438"/>
      <c r="G287" s="109"/>
      <c r="H287" s="110"/>
      <c r="I287" s="71">
        <f t="shared" ref="I287:I291" si="223">G287*H287</f>
        <v>0</v>
      </c>
      <c r="L287" s="160"/>
      <c r="M287" s="1"/>
      <c r="N287" s="76"/>
      <c r="O287" s="1"/>
      <c r="P287" s="1"/>
      <c r="Q287" s="1"/>
    </row>
    <row r="288" spans="2:17" s="251" customFormat="1" ht="13.5" thickBot="1" x14ac:dyDescent="0.25">
      <c r="B288" s="446"/>
      <c r="C288" s="249"/>
      <c r="E288" s="439" t="s">
        <v>25</v>
      </c>
      <c r="F288" s="440"/>
      <c r="G288" s="111"/>
      <c r="H288" s="112"/>
      <c r="I288" s="71">
        <f t="shared" si="223"/>
        <v>0</v>
      </c>
      <c r="L288" s="160"/>
      <c r="M288" s="1"/>
      <c r="N288" s="76"/>
      <c r="O288" s="1"/>
      <c r="P288" s="1"/>
      <c r="Q288" s="1"/>
    </row>
    <row r="289" spans="2:17" s="251" customFormat="1" ht="13.5" thickBot="1" x14ac:dyDescent="0.25">
      <c r="B289" s="446"/>
      <c r="C289" s="249"/>
      <c r="E289" s="439" t="s">
        <v>26</v>
      </c>
      <c r="F289" s="440"/>
      <c r="G289" s="111"/>
      <c r="H289" s="112"/>
      <c r="I289" s="71">
        <f t="shared" si="223"/>
        <v>0</v>
      </c>
      <c r="L289" s="160"/>
      <c r="M289" s="1"/>
      <c r="N289" s="76"/>
      <c r="O289" s="1"/>
      <c r="P289" s="1"/>
      <c r="Q289" s="1"/>
    </row>
    <row r="290" spans="2:17" s="251" customFormat="1" ht="13.5" thickBot="1" x14ac:dyDescent="0.25">
      <c r="B290" s="446"/>
      <c r="C290" s="249"/>
      <c r="E290" s="441" t="s">
        <v>27</v>
      </c>
      <c r="F290" s="442"/>
      <c r="G290" s="111"/>
      <c r="H290" s="112"/>
      <c r="I290" s="71">
        <f t="shared" si="223"/>
        <v>0</v>
      </c>
      <c r="L290" s="160"/>
      <c r="M290" s="1"/>
      <c r="N290" s="76"/>
      <c r="O290" s="1"/>
      <c r="P290" s="1"/>
      <c r="Q290" s="1"/>
    </row>
    <row r="291" spans="2:17" s="251" customFormat="1" ht="13.5" thickBot="1" x14ac:dyDescent="0.25">
      <c r="B291" s="447"/>
      <c r="C291" s="178"/>
      <c r="D291" s="252"/>
      <c r="E291" s="443" t="s">
        <v>52</v>
      </c>
      <c r="F291" s="444"/>
      <c r="G291" s="113"/>
      <c r="H291" s="114"/>
      <c r="I291" s="179">
        <f t="shared" si="223"/>
        <v>0</v>
      </c>
      <c r="J291" s="252"/>
      <c r="K291" s="180"/>
      <c r="L291" s="157"/>
      <c r="M291" s="1"/>
      <c r="N291" s="76"/>
      <c r="O291" s="1"/>
      <c r="P291" s="1"/>
      <c r="Q291" s="1"/>
    </row>
    <row r="292" spans="2:17" s="251" customFormat="1" ht="13.5" thickBot="1" x14ac:dyDescent="0.25">
      <c r="B292" s="258"/>
      <c r="C292" s="259"/>
      <c r="D292" s="260"/>
      <c r="E292" s="261"/>
      <c r="F292" s="261"/>
      <c r="G292" s="262"/>
      <c r="H292" s="263"/>
      <c r="I292" s="264"/>
      <c r="J292" s="260"/>
      <c r="K292" s="265"/>
      <c r="L292" s="265"/>
      <c r="M292" s="1"/>
      <c r="N292" s="76"/>
      <c r="O292" s="1"/>
      <c r="P292" s="1"/>
      <c r="Q292" s="1"/>
    </row>
    <row r="293" spans="2:17" s="251" customFormat="1" ht="26.25" thickBot="1" x14ac:dyDescent="0.25">
      <c r="B293" s="445">
        <v>14</v>
      </c>
      <c r="C293" s="149" t="s">
        <v>195</v>
      </c>
      <c r="D293" s="253"/>
      <c r="E293" s="150"/>
      <c r="F293" s="150" t="s">
        <v>47</v>
      </c>
      <c r="G293" s="150" t="s">
        <v>48</v>
      </c>
      <c r="H293" s="128" t="s">
        <v>118</v>
      </c>
      <c r="I293" s="150" t="s">
        <v>53</v>
      </c>
      <c r="J293" s="151" t="s">
        <v>43</v>
      </c>
      <c r="K293" s="152" t="s">
        <v>44</v>
      </c>
      <c r="L293" s="254" t="s">
        <v>45</v>
      </c>
      <c r="M293" s="1"/>
      <c r="N293" s="76"/>
      <c r="O293" s="1"/>
      <c r="P293" s="1"/>
      <c r="Q293" s="1"/>
    </row>
    <row r="294" spans="2:17" s="251" customFormat="1" ht="13.5" thickBot="1" x14ac:dyDescent="0.25">
      <c r="B294" s="446"/>
      <c r="C294" s="448"/>
      <c r="D294" s="449"/>
      <c r="E294" s="450"/>
      <c r="F294" s="106"/>
      <c r="G294" s="107"/>
      <c r="H294" s="154">
        <f t="shared" ref="H294" si="224">P294</f>
        <v>1</v>
      </c>
      <c r="I294" s="108"/>
      <c r="J294" s="155" t="e">
        <f t="shared" ref="J294" si="225">(SUM(K298:K303))+(SUM(I308:I312))</f>
        <v>#DIV/0!</v>
      </c>
      <c r="K294" s="156" t="e">
        <f t="shared" ref="K294" si="226">IF(F295="No",Q296,Q295)</f>
        <v>#DIV/0!</v>
      </c>
      <c r="L294" s="157" t="e">
        <f t="shared" ref="L294" si="227">SUM(J294:K294)</f>
        <v>#DIV/0!</v>
      </c>
      <c r="M294" s="1"/>
      <c r="N294" s="76">
        <f t="shared" ref="N294" si="228">IF(ISNUMBER(L294),L294,0)</f>
        <v>0</v>
      </c>
      <c r="O294" s="1">
        <f t="shared" ref="O294" si="229">(G294-F294)+1</f>
        <v>1</v>
      </c>
      <c r="P294" s="1">
        <f t="shared" ref="P294" si="230">IF(OR(O294=366,O294=365),52,(ROUNDUP(O294/7,0)))</f>
        <v>1</v>
      </c>
      <c r="Q294" s="1"/>
    </row>
    <row r="295" spans="2:17" s="251" customFormat="1" ht="13.5" thickBot="1" x14ac:dyDescent="0.25">
      <c r="B295" s="446"/>
      <c r="C295" s="477" t="s">
        <v>248</v>
      </c>
      <c r="D295" s="478"/>
      <c r="E295" s="479"/>
      <c r="F295" s="428"/>
      <c r="G295" s="429"/>
      <c r="H295" s="158"/>
      <c r="I295" s="147"/>
      <c r="J295" s="29"/>
      <c r="K295" s="159"/>
      <c r="L295" s="160"/>
      <c r="M295" s="1"/>
      <c r="N295" s="76"/>
      <c r="O295" s="1"/>
      <c r="P295" s="62" t="s">
        <v>243</v>
      </c>
      <c r="Q295" s="62" t="e">
        <f>IF(F295="Exempt all taxes",0,(J294*FICA)+(J294*Medicare))</f>
        <v>#DIV/0!</v>
      </c>
    </row>
    <row r="296" spans="2:17" s="251" customFormat="1" ht="13.5" thickBot="1" x14ac:dyDescent="0.25">
      <c r="B296" s="446"/>
      <c r="C296" s="451"/>
      <c r="D296" s="452"/>
      <c r="E296" s="452"/>
      <c r="F296" s="452"/>
      <c r="G296" s="452"/>
      <c r="H296" s="452"/>
      <c r="I296" s="452"/>
      <c r="J296" s="452"/>
      <c r="K296" s="452"/>
      <c r="L296" s="453"/>
      <c r="M296" s="1"/>
      <c r="N296" s="76"/>
      <c r="O296" s="1"/>
      <c r="P296" s="62" t="s">
        <v>244</v>
      </c>
      <c r="Q296" s="266" t="e">
        <f>IF(J294&gt;=SUTA_Max,((FUTA_Max*FUTA)+(SUTA_Max*I296)+(J294*FICA)+(J294*Medicare)),IF(J294&gt;=FUTA_Max,((FUTA_Max*FUTA)+(J294*I294)+(J294*FICA)+(J294*Medicare)),IF(J294&lt;FUTA_Max,(J294*(Total_Tax+I294)))))</f>
        <v>#DIV/0!</v>
      </c>
    </row>
    <row r="297" spans="2:17" s="251" customFormat="1" ht="27" thickBot="1" x14ac:dyDescent="0.3">
      <c r="B297" s="446"/>
      <c r="C297" s="161" t="s">
        <v>54</v>
      </c>
      <c r="D297" s="61"/>
      <c r="E297" s="454"/>
      <c r="F297" s="455"/>
      <c r="G297" s="162" t="s">
        <v>49</v>
      </c>
      <c r="H297" s="163" t="s">
        <v>41</v>
      </c>
      <c r="I297" s="164" t="s">
        <v>46</v>
      </c>
      <c r="J297" s="164" t="s">
        <v>51</v>
      </c>
      <c r="K297" s="165" t="s">
        <v>42</v>
      </c>
      <c r="L297" s="160"/>
      <c r="M297" s="1"/>
      <c r="N297" s="76"/>
      <c r="O297" s="1"/>
      <c r="P297" s="1"/>
      <c r="Q297" s="1"/>
    </row>
    <row r="298" spans="2:17" s="251" customFormat="1" ht="13.5" thickBot="1" x14ac:dyDescent="0.25">
      <c r="B298" s="446"/>
      <c r="C298" s="250"/>
      <c r="E298" s="480" t="s">
        <v>116</v>
      </c>
      <c r="F298" s="481"/>
      <c r="G298" s="70"/>
      <c r="H298" s="181"/>
      <c r="I298" s="166">
        <f t="shared" ref="I298:I299" si="231">$H$21</f>
        <v>1</v>
      </c>
      <c r="J298" s="167"/>
      <c r="K298" s="168">
        <f t="shared" ref="K298:K302" si="232">G298*H298*I298</f>
        <v>0</v>
      </c>
      <c r="L298" s="160"/>
      <c r="M298" s="1"/>
      <c r="N298" s="76"/>
      <c r="O298" s="240" t="e">
        <f t="shared" ref="O298" si="233">(G298/Q300)*H298</f>
        <v>#DIV/0!</v>
      </c>
      <c r="P298" s="62"/>
      <c r="Q298" s="241" t="e">
        <f t="shared" ref="Q298" si="234">SUM(O298:O302)</f>
        <v>#DIV/0!</v>
      </c>
    </row>
    <row r="299" spans="2:17" s="251" customFormat="1" ht="13.5" thickBot="1" x14ac:dyDescent="0.25">
      <c r="B299" s="446"/>
      <c r="C299" s="250"/>
      <c r="E299" s="488" t="s">
        <v>227</v>
      </c>
      <c r="F299" s="489"/>
      <c r="G299" s="70"/>
      <c r="H299" s="181"/>
      <c r="I299" s="166">
        <f t="shared" si="231"/>
        <v>1</v>
      </c>
      <c r="J299" s="215"/>
      <c r="K299" s="168">
        <f t="shared" si="232"/>
        <v>0</v>
      </c>
      <c r="L299" s="160"/>
      <c r="M299" s="1"/>
      <c r="N299" s="76"/>
      <c r="O299" s="240" t="e">
        <f t="shared" ref="O299" si="235">(G299/Q300)*H299</f>
        <v>#DIV/0!</v>
      </c>
      <c r="P299" s="62"/>
      <c r="Q299" s="241"/>
    </row>
    <row r="300" spans="2:17" s="251" customFormat="1" ht="13.5" thickBot="1" x14ac:dyDescent="0.25">
      <c r="B300" s="446"/>
      <c r="C300" s="250"/>
      <c r="E300" s="488" t="s">
        <v>95</v>
      </c>
      <c r="F300" s="490"/>
      <c r="G300" s="70"/>
      <c r="H300" s="181"/>
      <c r="I300" s="166">
        <f t="shared" si="191"/>
        <v>1</v>
      </c>
      <c r="J300" s="215"/>
      <c r="K300" s="168">
        <f t="shared" si="232"/>
        <v>0</v>
      </c>
      <c r="L300" s="160"/>
      <c r="M300" s="1"/>
      <c r="N300" s="76"/>
      <c r="O300" s="240" t="e">
        <f t="shared" ref="O300" si="236">(G300/Q300)*H300</f>
        <v>#DIV/0!</v>
      </c>
      <c r="P300" s="62"/>
      <c r="Q300" s="241">
        <f t="shared" ref="Q300" si="237">SUM(G298:G302)</f>
        <v>0</v>
      </c>
    </row>
    <row r="301" spans="2:17" s="251" customFormat="1" ht="13.5" thickBot="1" x14ac:dyDescent="0.25">
      <c r="B301" s="446"/>
      <c r="C301" s="250"/>
      <c r="E301" s="430" t="s">
        <v>233</v>
      </c>
      <c r="F301" s="431"/>
      <c r="G301" s="70"/>
      <c r="H301" s="181"/>
      <c r="I301" s="166">
        <f t="shared" si="191"/>
        <v>1</v>
      </c>
      <c r="J301" s="257"/>
      <c r="K301" s="168">
        <f t="shared" si="232"/>
        <v>0</v>
      </c>
      <c r="L301" s="160"/>
      <c r="M301" s="1"/>
      <c r="N301" s="76"/>
      <c r="O301" s="240" t="e">
        <f t="shared" ref="O301" si="238">(G301/Q300)*H301</f>
        <v>#DIV/0!</v>
      </c>
      <c r="P301" s="62"/>
      <c r="Q301" s="241"/>
    </row>
    <row r="302" spans="2:17" s="251" customFormat="1" ht="13.5" thickBot="1" x14ac:dyDescent="0.25">
      <c r="B302" s="446"/>
      <c r="C302" s="250"/>
      <c r="E302" s="430" t="s">
        <v>234</v>
      </c>
      <c r="F302" s="431"/>
      <c r="G302" s="70"/>
      <c r="H302" s="181"/>
      <c r="I302" s="166">
        <f t="shared" si="191"/>
        <v>1</v>
      </c>
      <c r="J302" s="257"/>
      <c r="K302" s="168">
        <f t="shared" si="232"/>
        <v>0</v>
      </c>
      <c r="L302" s="160"/>
      <c r="M302" s="1"/>
      <c r="N302" s="76"/>
      <c r="O302" s="240" t="e">
        <f t="shared" ref="O302" si="239">(G302/Q300)*H302</f>
        <v>#DIV/0!</v>
      </c>
      <c r="P302" s="62"/>
      <c r="Q302" s="241"/>
    </row>
    <row r="303" spans="2:17" s="251" customFormat="1" ht="13.5" thickBot="1" x14ac:dyDescent="0.25">
      <c r="B303" s="446"/>
      <c r="C303" s="250"/>
      <c r="E303" s="432" t="s">
        <v>24</v>
      </c>
      <c r="F303" s="433"/>
      <c r="G303" s="70"/>
      <c r="H303" s="214"/>
      <c r="I303" s="169">
        <f t="shared" ref="I303" si="240">H294</f>
        <v>1</v>
      </c>
      <c r="J303" s="170" t="e">
        <f t="shared" ref="J303" si="241">Q298*1.5</f>
        <v>#DIV/0!</v>
      </c>
      <c r="K303" s="171" t="e">
        <f t="shared" ref="K303" si="242">G303*I303*J303</f>
        <v>#DIV/0!</v>
      </c>
      <c r="L303" s="160"/>
      <c r="M303" s="1"/>
      <c r="N303" s="76"/>
      <c r="O303" s="1"/>
      <c r="P303" s="1"/>
      <c r="Q303" s="1"/>
    </row>
    <row r="304" spans="2:17" s="251" customFormat="1" x14ac:dyDescent="0.2">
      <c r="B304" s="446"/>
      <c r="C304" s="250"/>
      <c r="D304" s="434" t="s">
        <v>145</v>
      </c>
      <c r="E304" s="434"/>
      <c r="F304" s="434"/>
      <c r="G304" s="434"/>
      <c r="H304" s="434"/>
      <c r="I304" s="434"/>
      <c r="J304" s="434"/>
      <c r="K304" s="434"/>
      <c r="L304" s="172"/>
      <c r="M304" s="1"/>
      <c r="N304" s="76"/>
      <c r="O304" s="1"/>
      <c r="P304" s="1"/>
      <c r="Q304" s="1"/>
    </row>
    <row r="305" spans="2:17" s="251" customFormat="1" x14ac:dyDescent="0.2">
      <c r="B305" s="446"/>
      <c r="C305" s="173"/>
      <c r="D305" s="434"/>
      <c r="E305" s="434"/>
      <c r="F305" s="434"/>
      <c r="G305" s="434"/>
      <c r="H305" s="434"/>
      <c r="I305" s="434"/>
      <c r="J305" s="434"/>
      <c r="K305" s="434"/>
      <c r="L305" s="172"/>
      <c r="M305" s="1"/>
      <c r="N305" s="76"/>
      <c r="O305" s="1"/>
      <c r="P305" s="1"/>
      <c r="Q305" s="1"/>
    </row>
    <row r="306" spans="2:17" s="251" customFormat="1" ht="13.5" thickBot="1" x14ac:dyDescent="0.25">
      <c r="B306" s="446"/>
      <c r="C306" s="249"/>
      <c r="D306" s="5"/>
      <c r="E306" s="5"/>
      <c r="F306" s="5"/>
      <c r="G306" s="5"/>
      <c r="H306" s="5"/>
      <c r="I306" s="5"/>
      <c r="J306" s="5"/>
      <c r="K306" s="5"/>
      <c r="L306" s="174"/>
      <c r="M306" s="1"/>
      <c r="N306" s="76"/>
      <c r="O306" s="1"/>
      <c r="P306" s="1"/>
      <c r="Q306" s="1"/>
    </row>
    <row r="307" spans="2:17" s="251" customFormat="1" ht="27" thickBot="1" x14ac:dyDescent="0.3">
      <c r="B307" s="446"/>
      <c r="C307" s="161" t="s">
        <v>55</v>
      </c>
      <c r="D307" s="61"/>
      <c r="E307" s="435"/>
      <c r="F307" s="436"/>
      <c r="G307" s="175" t="s">
        <v>50</v>
      </c>
      <c r="H307" s="176" t="s">
        <v>56</v>
      </c>
      <c r="I307" s="177" t="s">
        <v>42</v>
      </c>
      <c r="L307" s="160"/>
      <c r="M307" s="1"/>
      <c r="N307" s="76"/>
      <c r="O307" s="1"/>
      <c r="P307" s="1"/>
      <c r="Q307" s="1"/>
    </row>
    <row r="308" spans="2:17" s="251" customFormat="1" ht="13.5" thickBot="1" x14ac:dyDescent="0.25">
      <c r="B308" s="446"/>
      <c r="C308" s="249"/>
      <c r="E308" s="437" t="s">
        <v>28</v>
      </c>
      <c r="F308" s="438"/>
      <c r="G308" s="109"/>
      <c r="H308" s="110"/>
      <c r="I308" s="71">
        <f t="shared" ref="I308:I312" si="243">G308*H308</f>
        <v>0</v>
      </c>
      <c r="L308" s="160"/>
      <c r="M308" s="1"/>
      <c r="N308" s="76"/>
      <c r="O308" s="1"/>
      <c r="P308" s="1"/>
      <c r="Q308" s="1"/>
    </row>
    <row r="309" spans="2:17" s="251" customFormat="1" ht="13.5" thickBot="1" x14ac:dyDescent="0.25">
      <c r="B309" s="446"/>
      <c r="C309" s="249"/>
      <c r="E309" s="439" t="s">
        <v>25</v>
      </c>
      <c r="F309" s="440"/>
      <c r="G309" s="111"/>
      <c r="H309" s="112"/>
      <c r="I309" s="71">
        <f t="shared" si="243"/>
        <v>0</v>
      </c>
      <c r="L309" s="160"/>
      <c r="M309" s="1"/>
      <c r="N309" s="76"/>
      <c r="O309" s="1"/>
      <c r="P309" s="1"/>
      <c r="Q309" s="1"/>
    </row>
    <row r="310" spans="2:17" s="251" customFormat="1" ht="13.5" thickBot="1" x14ac:dyDescent="0.25">
      <c r="B310" s="446"/>
      <c r="C310" s="249"/>
      <c r="E310" s="439" t="s">
        <v>26</v>
      </c>
      <c r="F310" s="440"/>
      <c r="G310" s="111"/>
      <c r="H310" s="112"/>
      <c r="I310" s="71">
        <f t="shared" si="243"/>
        <v>0</v>
      </c>
      <c r="L310" s="160"/>
      <c r="M310" s="1"/>
      <c r="N310" s="76"/>
      <c r="O310" s="1"/>
      <c r="P310" s="1"/>
      <c r="Q310" s="1"/>
    </row>
    <row r="311" spans="2:17" s="251" customFormat="1" ht="13.5" thickBot="1" x14ac:dyDescent="0.25">
      <c r="B311" s="446"/>
      <c r="C311" s="249"/>
      <c r="E311" s="441" t="s">
        <v>27</v>
      </c>
      <c r="F311" s="442"/>
      <c r="G311" s="111"/>
      <c r="H311" s="112"/>
      <c r="I311" s="71">
        <f t="shared" si="243"/>
        <v>0</v>
      </c>
      <c r="L311" s="160"/>
      <c r="M311" s="1"/>
      <c r="N311" s="76"/>
      <c r="O311" s="1"/>
      <c r="P311" s="1"/>
      <c r="Q311" s="1"/>
    </row>
    <row r="312" spans="2:17" s="251" customFormat="1" ht="13.5" thickBot="1" x14ac:dyDescent="0.25">
      <c r="B312" s="447"/>
      <c r="C312" s="178"/>
      <c r="D312" s="252"/>
      <c r="E312" s="443" t="s">
        <v>52</v>
      </c>
      <c r="F312" s="444"/>
      <c r="G312" s="113"/>
      <c r="H312" s="114"/>
      <c r="I312" s="179">
        <f t="shared" si="243"/>
        <v>0</v>
      </c>
      <c r="J312" s="252"/>
      <c r="K312" s="180"/>
      <c r="L312" s="157"/>
      <c r="M312" s="1"/>
      <c r="N312" s="76"/>
      <c r="O312" s="1"/>
      <c r="P312" s="1"/>
      <c r="Q312" s="1"/>
    </row>
    <row r="313" spans="2:17" s="251" customFormat="1" ht="13.5" thickBot="1" x14ac:dyDescent="0.25">
      <c r="B313" s="258"/>
      <c r="C313" s="259"/>
      <c r="D313" s="260"/>
      <c r="E313" s="261"/>
      <c r="F313" s="261"/>
      <c r="G313" s="262"/>
      <c r="H313" s="263"/>
      <c r="I313" s="264"/>
      <c r="J313" s="260"/>
      <c r="K313" s="265"/>
      <c r="L313" s="265"/>
      <c r="M313" s="1"/>
      <c r="N313" s="76"/>
      <c r="O313" s="1"/>
      <c r="P313" s="1"/>
      <c r="Q313" s="1"/>
    </row>
    <row r="314" spans="2:17" s="251" customFormat="1" ht="26.25" thickBot="1" x14ac:dyDescent="0.25">
      <c r="B314" s="445">
        <v>15</v>
      </c>
      <c r="C314" s="149" t="s">
        <v>195</v>
      </c>
      <c r="D314" s="253"/>
      <c r="E314" s="150"/>
      <c r="F314" s="150" t="s">
        <v>47</v>
      </c>
      <c r="G314" s="150" t="s">
        <v>48</v>
      </c>
      <c r="H314" s="128" t="s">
        <v>118</v>
      </c>
      <c r="I314" s="150" t="s">
        <v>53</v>
      </c>
      <c r="J314" s="151" t="s">
        <v>43</v>
      </c>
      <c r="K314" s="152" t="s">
        <v>44</v>
      </c>
      <c r="L314" s="254" t="s">
        <v>45</v>
      </c>
      <c r="M314" s="1"/>
      <c r="N314" s="76"/>
      <c r="O314" s="1"/>
      <c r="P314" s="1"/>
      <c r="Q314" s="1"/>
    </row>
    <row r="315" spans="2:17" s="251" customFormat="1" ht="13.5" thickBot="1" x14ac:dyDescent="0.25">
      <c r="B315" s="446"/>
      <c r="C315" s="448"/>
      <c r="D315" s="449"/>
      <c r="E315" s="450"/>
      <c r="F315" s="106"/>
      <c r="G315" s="107"/>
      <c r="H315" s="154">
        <f t="shared" ref="H315" si="244">P315</f>
        <v>1</v>
      </c>
      <c r="I315" s="108"/>
      <c r="J315" s="155" t="e">
        <f t="shared" ref="J315" si="245">(SUM(K319:K324))+(SUM(I329:I333))</f>
        <v>#DIV/0!</v>
      </c>
      <c r="K315" s="156" t="e">
        <f t="shared" ref="K315" si="246">IF(F316="No",Q317,Q316)</f>
        <v>#DIV/0!</v>
      </c>
      <c r="L315" s="157" t="e">
        <f t="shared" ref="L315" si="247">SUM(J315:K315)</f>
        <v>#DIV/0!</v>
      </c>
      <c r="M315" s="1"/>
      <c r="N315" s="76">
        <f t="shared" ref="N315" si="248">IF(ISNUMBER(L315),L315,0)</f>
        <v>0</v>
      </c>
      <c r="O315" s="1">
        <f t="shared" ref="O315" si="249">(G315-F315)+1</f>
        <v>1</v>
      </c>
      <c r="P315" s="1">
        <f t="shared" ref="P315" si="250">IF(OR(O315=366,O315=365),52,(ROUNDUP(O315/7,0)))</f>
        <v>1</v>
      </c>
      <c r="Q315" s="1"/>
    </row>
    <row r="316" spans="2:17" s="251" customFormat="1" ht="13.5" thickBot="1" x14ac:dyDescent="0.25">
      <c r="B316" s="446"/>
      <c r="C316" s="477" t="s">
        <v>248</v>
      </c>
      <c r="D316" s="478"/>
      <c r="E316" s="479"/>
      <c r="F316" s="428"/>
      <c r="G316" s="429"/>
      <c r="H316" s="158"/>
      <c r="I316" s="147"/>
      <c r="J316" s="29"/>
      <c r="K316" s="159"/>
      <c r="L316" s="160"/>
      <c r="M316" s="1"/>
      <c r="N316" s="76"/>
      <c r="O316" s="1"/>
      <c r="P316" s="62" t="s">
        <v>243</v>
      </c>
      <c r="Q316" s="62" t="e">
        <f>IF(F316="Exempt all taxes",0,(J315*FICA)+(J315*Medicare))</f>
        <v>#DIV/0!</v>
      </c>
    </row>
    <row r="317" spans="2:17" s="251" customFormat="1" ht="13.5" thickBot="1" x14ac:dyDescent="0.25">
      <c r="B317" s="446"/>
      <c r="C317" s="451"/>
      <c r="D317" s="452"/>
      <c r="E317" s="452"/>
      <c r="F317" s="452"/>
      <c r="G317" s="452"/>
      <c r="H317" s="452"/>
      <c r="I317" s="452"/>
      <c r="J317" s="452"/>
      <c r="K317" s="452"/>
      <c r="L317" s="453"/>
      <c r="M317" s="1"/>
      <c r="N317" s="76"/>
      <c r="O317" s="1"/>
      <c r="P317" s="62" t="s">
        <v>244</v>
      </c>
      <c r="Q317" s="266" t="e">
        <f>IF(J315&gt;=SUTA_Max,((FUTA_Max*FUTA)+(SUTA_Max*I317)+(J315*FICA)+(J315*Medicare)),IF(J315&gt;=FUTA_Max,((FUTA_Max*FUTA)+(J315*I315)+(J315*FICA)+(J315*Medicare)),IF(J315&lt;FUTA_Max,(J315*(Total_Tax+I315)))))</f>
        <v>#DIV/0!</v>
      </c>
    </row>
    <row r="318" spans="2:17" s="251" customFormat="1" ht="27" thickBot="1" x14ac:dyDescent="0.3">
      <c r="B318" s="446"/>
      <c r="C318" s="161" t="s">
        <v>54</v>
      </c>
      <c r="D318" s="61"/>
      <c r="E318" s="454"/>
      <c r="F318" s="455"/>
      <c r="G318" s="162" t="s">
        <v>49</v>
      </c>
      <c r="H318" s="163" t="s">
        <v>41</v>
      </c>
      <c r="I318" s="164" t="s">
        <v>46</v>
      </c>
      <c r="J318" s="164" t="s">
        <v>51</v>
      </c>
      <c r="K318" s="165" t="s">
        <v>42</v>
      </c>
      <c r="L318" s="160"/>
      <c r="M318" s="1"/>
      <c r="N318" s="76"/>
      <c r="O318" s="1"/>
      <c r="P318" s="1"/>
      <c r="Q318" s="1"/>
    </row>
    <row r="319" spans="2:17" s="251" customFormat="1" ht="13.5" thickBot="1" x14ac:dyDescent="0.25">
      <c r="B319" s="446"/>
      <c r="C319" s="250"/>
      <c r="E319" s="480" t="s">
        <v>116</v>
      </c>
      <c r="F319" s="481"/>
      <c r="G319" s="70"/>
      <c r="H319" s="181"/>
      <c r="I319" s="166">
        <f t="shared" ref="I319:I323" si="251">$H$21</f>
        <v>1</v>
      </c>
      <c r="J319" s="167"/>
      <c r="K319" s="168">
        <f t="shared" ref="K319:K323" si="252">G319*H319*I319</f>
        <v>0</v>
      </c>
      <c r="L319" s="160"/>
      <c r="M319" s="1"/>
      <c r="N319" s="76"/>
      <c r="O319" s="240" t="e">
        <f t="shared" ref="O319" si="253">(G319/Q321)*H319</f>
        <v>#DIV/0!</v>
      </c>
      <c r="P319" s="62"/>
      <c r="Q319" s="241" t="e">
        <f t="shared" ref="Q319" si="254">SUM(O319:O323)</f>
        <v>#DIV/0!</v>
      </c>
    </row>
    <row r="320" spans="2:17" s="251" customFormat="1" ht="13.5" thickBot="1" x14ac:dyDescent="0.25">
      <c r="B320" s="446"/>
      <c r="C320" s="250"/>
      <c r="E320" s="488" t="s">
        <v>227</v>
      </c>
      <c r="F320" s="489"/>
      <c r="G320" s="70"/>
      <c r="H320" s="181"/>
      <c r="I320" s="166">
        <f t="shared" si="251"/>
        <v>1</v>
      </c>
      <c r="J320" s="215"/>
      <c r="K320" s="168">
        <f t="shared" si="252"/>
        <v>0</v>
      </c>
      <c r="L320" s="160"/>
      <c r="M320" s="1"/>
      <c r="N320" s="76"/>
      <c r="O320" s="240" t="e">
        <f t="shared" ref="O320" si="255">(G320/Q321)*H320</f>
        <v>#DIV/0!</v>
      </c>
      <c r="P320" s="62"/>
      <c r="Q320" s="241"/>
    </row>
    <row r="321" spans="2:17" s="251" customFormat="1" ht="13.5" thickBot="1" x14ac:dyDescent="0.25">
      <c r="B321" s="446"/>
      <c r="C321" s="250"/>
      <c r="E321" s="488" t="s">
        <v>95</v>
      </c>
      <c r="F321" s="490"/>
      <c r="G321" s="70"/>
      <c r="H321" s="181"/>
      <c r="I321" s="166">
        <f t="shared" si="251"/>
        <v>1</v>
      </c>
      <c r="J321" s="215"/>
      <c r="K321" s="168">
        <f t="shared" si="252"/>
        <v>0</v>
      </c>
      <c r="L321" s="160"/>
      <c r="M321" s="1"/>
      <c r="N321" s="76"/>
      <c r="O321" s="240" t="e">
        <f t="shared" ref="O321" si="256">(G321/Q321)*H321</f>
        <v>#DIV/0!</v>
      </c>
      <c r="P321" s="62"/>
      <c r="Q321" s="241">
        <f t="shared" ref="Q321" si="257">SUM(G319:G323)</f>
        <v>0</v>
      </c>
    </row>
    <row r="322" spans="2:17" s="251" customFormat="1" ht="13.5" thickBot="1" x14ac:dyDescent="0.25">
      <c r="B322" s="446"/>
      <c r="C322" s="250"/>
      <c r="E322" s="430" t="s">
        <v>233</v>
      </c>
      <c r="F322" s="431"/>
      <c r="G322" s="70"/>
      <c r="H322" s="181"/>
      <c r="I322" s="166">
        <f t="shared" si="251"/>
        <v>1</v>
      </c>
      <c r="J322" s="257"/>
      <c r="K322" s="168">
        <f t="shared" si="252"/>
        <v>0</v>
      </c>
      <c r="L322" s="160"/>
      <c r="M322" s="1"/>
      <c r="N322" s="76"/>
      <c r="O322" s="240" t="e">
        <f t="shared" ref="O322" si="258">(G322/Q321)*H322</f>
        <v>#DIV/0!</v>
      </c>
      <c r="P322" s="62"/>
      <c r="Q322" s="241"/>
    </row>
    <row r="323" spans="2:17" s="251" customFormat="1" ht="13.5" thickBot="1" x14ac:dyDescent="0.25">
      <c r="B323" s="446"/>
      <c r="C323" s="250"/>
      <c r="E323" s="430" t="s">
        <v>234</v>
      </c>
      <c r="F323" s="431"/>
      <c r="G323" s="70"/>
      <c r="H323" s="181"/>
      <c r="I323" s="166">
        <f t="shared" si="251"/>
        <v>1</v>
      </c>
      <c r="J323" s="257"/>
      <c r="K323" s="168">
        <f t="shared" si="252"/>
        <v>0</v>
      </c>
      <c r="L323" s="160"/>
      <c r="M323" s="1"/>
      <c r="N323" s="76"/>
      <c r="O323" s="240" t="e">
        <f t="shared" ref="O323" si="259">(G323/Q321)*H323</f>
        <v>#DIV/0!</v>
      </c>
      <c r="P323" s="62"/>
      <c r="Q323" s="241"/>
    </row>
    <row r="324" spans="2:17" s="251" customFormat="1" ht="13.5" thickBot="1" x14ac:dyDescent="0.25">
      <c r="B324" s="446"/>
      <c r="C324" s="250"/>
      <c r="E324" s="432" t="s">
        <v>24</v>
      </c>
      <c r="F324" s="433"/>
      <c r="G324" s="70"/>
      <c r="H324" s="214"/>
      <c r="I324" s="169">
        <f t="shared" ref="I324" si="260">H315</f>
        <v>1</v>
      </c>
      <c r="J324" s="170" t="e">
        <f t="shared" ref="J324" si="261">Q319*1.5</f>
        <v>#DIV/0!</v>
      </c>
      <c r="K324" s="171" t="e">
        <f t="shared" ref="K324" si="262">G324*I324*J324</f>
        <v>#DIV/0!</v>
      </c>
      <c r="L324" s="160"/>
      <c r="M324" s="1"/>
      <c r="N324" s="76"/>
      <c r="O324" s="1"/>
      <c r="P324" s="1"/>
      <c r="Q324" s="1"/>
    </row>
    <row r="325" spans="2:17" s="251" customFormat="1" ht="12.75" customHeight="1" x14ac:dyDescent="0.2">
      <c r="B325" s="446"/>
      <c r="C325" s="250"/>
      <c r="D325" s="434" t="s">
        <v>145</v>
      </c>
      <c r="E325" s="434"/>
      <c r="F325" s="434"/>
      <c r="G325" s="434"/>
      <c r="H325" s="434"/>
      <c r="I325" s="434"/>
      <c r="J325" s="434"/>
      <c r="K325" s="434"/>
      <c r="L325" s="172"/>
      <c r="M325" s="1"/>
      <c r="N325" s="76"/>
      <c r="O325" s="1"/>
      <c r="P325" s="1"/>
      <c r="Q325" s="1"/>
    </row>
    <row r="326" spans="2:17" s="251" customFormat="1" x14ac:dyDescent="0.2">
      <c r="B326" s="446"/>
      <c r="C326" s="173"/>
      <c r="D326" s="434"/>
      <c r="E326" s="434"/>
      <c r="F326" s="434"/>
      <c r="G326" s="434"/>
      <c r="H326" s="434"/>
      <c r="I326" s="434"/>
      <c r="J326" s="434"/>
      <c r="K326" s="434"/>
      <c r="L326" s="172"/>
      <c r="M326" s="1"/>
      <c r="N326" s="76"/>
      <c r="O326" s="1"/>
      <c r="P326" s="1"/>
      <c r="Q326" s="1"/>
    </row>
    <row r="327" spans="2:17" s="251" customFormat="1" ht="13.5" thickBot="1" x14ac:dyDescent="0.25">
      <c r="B327" s="446"/>
      <c r="C327" s="249"/>
      <c r="D327" s="5"/>
      <c r="E327" s="5"/>
      <c r="F327" s="5"/>
      <c r="G327" s="5"/>
      <c r="H327" s="5"/>
      <c r="I327" s="5"/>
      <c r="J327" s="5"/>
      <c r="K327" s="5"/>
      <c r="L327" s="174"/>
      <c r="M327" s="1"/>
      <c r="N327" s="76"/>
      <c r="O327" s="1"/>
      <c r="P327" s="1"/>
      <c r="Q327" s="1"/>
    </row>
    <row r="328" spans="2:17" s="251" customFormat="1" ht="27" thickBot="1" x14ac:dyDescent="0.3">
      <c r="B328" s="446"/>
      <c r="C328" s="161" t="s">
        <v>55</v>
      </c>
      <c r="D328" s="61"/>
      <c r="E328" s="435"/>
      <c r="F328" s="436"/>
      <c r="G328" s="175" t="s">
        <v>50</v>
      </c>
      <c r="H328" s="176" t="s">
        <v>56</v>
      </c>
      <c r="I328" s="177" t="s">
        <v>42</v>
      </c>
      <c r="L328" s="160"/>
      <c r="M328" s="1"/>
      <c r="N328" s="76"/>
      <c r="O328" s="1"/>
      <c r="P328" s="1"/>
      <c r="Q328" s="1"/>
    </row>
    <row r="329" spans="2:17" s="251" customFormat="1" ht="13.5" thickBot="1" x14ac:dyDescent="0.25">
      <c r="B329" s="446"/>
      <c r="C329" s="249"/>
      <c r="E329" s="437" t="s">
        <v>28</v>
      </c>
      <c r="F329" s="438"/>
      <c r="G329" s="109"/>
      <c r="H329" s="110"/>
      <c r="I329" s="71">
        <f t="shared" ref="I329:I333" si="263">G329*H329</f>
        <v>0</v>
      </c>
      <c r="L329" s="160"/>
      <c r="M329" s="1"/>
      <c r="N329" s="76"/>
      <c r="O329" s="1"/>
      <c r="P329" s="1"/>
      <c r="Q329" s="1"/>
    </row>
    <row r="330" spans="2:17" s="251" customFormat="1" ht="13.5" thickBot="1" x14ac:dyDescent="0.25">
      <c r="B330" s="446"/>
      <c r="C330" s="249"/>
      <c r="E330" s="439" t="s">
        <v>25</v>
      </c>
      <c r="F330" s="440"/>
      <c r="G330" s="111"/>
      <c r="H330" s="112"/>
      <c r="I330" s="71">
        <f t="shared" si="263"/>
        <v>0</v>
      </c>
      <c r="L330" s="160"/>
      <c r="M330" s="1"/>
      <c r="N330" s="76"/>
      <c r="O330" s="1"/>
      <c r="P330" s="1"/>
      <c r="Q330" s="1"/>
    </row>
    <row r="331" spans="2:17" s="251" customFormat="1" ht="13.5" thickBot="1" x14ac:dyDescent="0.25">
      <c r="B331" s="446"/>
      <c r="C331" s="249"/>
      <c r="E331" s="439" t="s">
        <v>26</v>
      </c>
      <c r="F331" s="440"/>
      <c r="G331" s="111"/>
      <c r="H331" s="112"/>
      <c r="I331" s="71">
        <f t="shared" si="263"/>
        <v>0</v>
      </c>
      <c r="L331" s="160"/>
      <c r="M331" s="1"/>
      <c r="N331" s="76"/>
      <c r="O331" s="1"/>
      <c r="P331" s="1"/>
      <c r="Q331" s="1"/>
    </row>
    <row r="332" spans="2:17" s="251" customFormat="1" ht="13.5" thickBot="1" x14ac:dyDescent="0.25">
      <c r="B332" s="446"/>
      <c r="C332" s="249"/>
      <c r="E332" s="441" t="s">
        <v>27</v>
      </c>
      <c r="F332" s="442"/>
      <c r="G332" s="111"/>
      <c r="H332" s="112"/>
      <c r="I332" s="71">
        <f t="shared" si="263"/>
        <v>0</v>
      </c>
      <c r="L332" s="160"/>
      <c r="M332" s="1"/>
      <c r="N332" s="76"/>
      <c r="O332" s="1"/>
      <c r="P332" s="1"/>
      <c r="Q332" s="1"/>
    </row>
    <row r="333" spans="2:17" s="251" customFormat="1" ht="13.5" thickBot="1" x14ac:dyDescent="0.25">
      <c r="B333" s="447"/>
      <c r="C333" s="178"/>
      <c r="D333" s="252"/>
      <c r="E333" s="443" t="s">
        <v>52</v>
      </c>
      <c r="F333" s="444"/>
      <c r="G333" s="113"/>
      <c r="H333" s="114"/>
      <c r="I333" s="179">
        <f t="shared" si="263"/>
        <v>0</v>
      </c>
      <c r="J333" s="252"/>
      <c r="K333" s="180"/>
      <c r="L333" s="157"/>
      <c r="M333" s="1"/>
      <c r="N333" s="76"/>
      <c r="O333" s="1"/>
      <c r="P333" s="1"/>
      <c r="Q333" s="1"/>
    </row>
    <row r="334" spans="2:17" s="251" customFormat="1" x14ac:dyDescent="0.2">
      <c r="N334" s="29"/>
    </row>
    <row r="335" spans="2:17" s="251" customFormat="1" x14ac:dyDescent="0.2">
      <c r="N335" s="29"/>
    </row>
  </sheetData>
  <sheetProtection password="E7F0" sheet="1" objects="1" scenarios="1"/>
  <customSheetViews>
    <customSheetView guid="{346F6C38-467E-4277-A934-45FBB069E11D}" scale="130" showRuler="0" topLeftCell="B32">
      <selection activeCell="C18" sqref="C18:H18"/>
      <pageMargins left="0.2" right="0.2" top="0.75" bottom="0.25" header="0" footer="0.25"/>
      <printOptions horizontalCentered="1"/>
      <pageSetup orientation="portrait" r:id="rId1"/>
      <headerFooter alignWithMargins="0">
        <oddHeader>&amp;L&amp;8Texas Department
of Human Services&amp;R&amp;8Form 1546, page 5
January 2002</oddHeader>
      </headerFooter>
    </customSheetView>
    <customSheetView guid="{454ECA60-FBCC-11D6-AB9B-00C04F5868C8}" scale="75" showPageBreaks="1" printArea="1" showRuler="0">
      <pageMargins left="0.2" right="0.2" top="0.75" bottom="0.25" header="0" footer="0.25"/>
      <printOptions horizontalCentered="1"/>
      <pageSetup orientation="portrait" r:id="rId2"/>
      <headerFooter alignWithMargins="0">
        <oddHeader>&amp;L&amp;8Texas Department
of Human Services&amp;R&amp;8Form 1546, page 5
January 2002</oddHeader>
      </headerFooter>
    </customSheetView>
  </customSheetViews>
  <mergeCells count="306">
    <mergeCell ref="E78:F78"/>
    <mergeCell ref="E332:F332"/>
    <mergeCell ref="E333:F333"/>
    <mergeCell ref="B62:B81"/>
    <mergeCell ref="C63:E63"/>
    <mergeCell ref="C64:E64"/>
    <mergeCell ref="C65:L65"/>
    <mergeCell ref="E66:F66"/>
    <mergeCell ref="E67:F67"/>
    <mergeCell ref="E68:F68"/>
    <mergeCell ref="E69:F69"/>
    <mergeCell ref="E70:F70"/>
    <mergeCell ref="E71:F71"/>
    <mergeCell ref="E72:F72"/>
    <mergeCell ref="D73:K74"/>
    <mergeCell ref="E76:F76"/>
    <mergeCell ref="E77:F77"/>
    <mergeCell ref="B314:B333"/>
    <mergeCell ref="C315:E315"/>
    <mergeCell ref="C316:E316"/>
    <mergeCell ref="C317:L317"/>
    <mergeCell ref="E318:F318"/>
    <mergeCell ref="E319:F319"/>
    <mergeCell ref="E320:F320"/>
    <mergeCell ref="E321:F321"/>
    <mergeCell ref="E322:F322"/>
    <mergeCell ref="E323:F323"/>
    <mergeCell ref="E324:F324"/>
    <mergeCell ref="D325:K326"/>
    <mergeCell ref="E328:F328"/>
    <mergeCell ref="E329:F329"/>
    <mergeCell ref="E330:F330"/>
    <mergeCell ref="E331:F331"/>
    <mergeCell ref="E308:F308"/>
    <mergeCell ref="E309:F309"/>
    <mergeCell ref="E310:F310"/>
    <mergeCell ref="E311:F311"/>
    <mergeCell ref="E312:F312"/>
    <mergeCell ref="E289:F289"/>
    <mergeCell ref="E290:F290"/>
    <mergeCell ref="E291:F291"/>
    <mergeCell ref="B293:B312"/>
    <mergeCell ref="C294:E294"/>
    <mergeCell ref="C295:E295"/>
    <mergeCell ref="C296:L296"/>
    <mergeCell ref="E297:F297"/>
    <mergeCell ref="E298:F298"/>
    <mergeCell ref="E299:F299"/>
    <mergeCell ref="E300:F300"/>
    <mergeCell ref="E301:F301"/>
    <mergeCell ref="E302:F302"/>
    <mergeCell ref="E303:F303"/>
    <mergeCell ref="D304:K305"/>
    <mergeCell ref="E307:F307"/>
    <mergeCell ref="F295:G295"/>
    <mergeCell ref="E270:F270"/>
    <mergeCell ref="B272:B291"/>
    <mergeCell ref="C273:E273"/>
    <mergeCell ref="C274:E274"/>
    <mergeCell ref="C275:L275"/>
    <mergeCell ref="E276:F276"/>
    <mergeCell ref="E277:F277"/>
    <mergeCell ref="E278:F278"/>
    <mergeCell ref="E279:F279"/>
    <mergeCell ref="E280:F280"/>
    <mergeCell ref="E281:F281"/>
    <mergeCell ref="E282:F282"/>
    <mergeCell ref="D283:K284"/>
    <mergeCell ref="E286:F286"/>
    <mergeCell ref="E287:F287"/>
    <mergeCell ref="E288:F288"/>
    <mergeCell ref="B251:B270"/>
    <mergeCell ref="F274:G274"/>
    <mergeCell ref="E265:F265"/>
    <mergeCell ref="E266:F266"/>
    <mergeCell ref="E267:F267"/>
    <mergeCell ref="E268:F268"/>
    <mergeCell ref="E269:F269"/>
    <mergeCell ref="E257:F257"/>
    <mergeCell ref="E246:F246"/>
    <mergeCell ref="E247:F247"/>
    <mergeCell ref="E248:F248"/>
    <mergeCell ref="E249:F249"/>
    <mergeCell ref="C252:E252"/>
    <mergeCell ref="C253:E253"/>
    <mergeCell ref="C254:L254"/>
    <mergeCell ref="E255:F255"/>
    <mergeCell ref="E256:F256"/>
    <mergeCell ref="E258:F258"/>
    <mergeCell ref="E259:F259"/>
    <mergeCell ref="E260:F260"/>
    <mergeCell ref="E261:F261"/>
    <mergeCell ref="D262:K263"/>
    <mergeCell ref="F253:G253"/>
    <mergeCell ref="E227:F227"/>
    <mergeCell ref="E228:F228"/>
    <mergeCell ref="B230:B249"/>
    <mergeCell ref="C231:E231"/>
    <mergeCell ref="C232:E232"/>
    <mergeCell ref="C233:L233"/>
    <mergeCell ref="E234:F234"/>
    <mergeCell ref="E235:F235"/>
    <mergeCell ref="E236:F236"/>
    <mergeCell ref="E237:F237"/>
    <mergeCell ref="E238:F238"/>
    <mergeCell ref="E239:F239"/>
    <mergeCell ref="E240:F240"/>
    <mergeCell ref="D241:K242"/>
    <mergeCell ref="E244:F244"/>
    <mergeCell ref="E245:F245"/>
    <mergeCell ref="B209:B228"/>
    <mergeCell ref="C210:E210"/>
    <mergeCell ref="D220:K221"/>
    <mergeCell ref="E223:F223"/>
    <mergeCell ref="E224:F224"/>
    <mergeCell ref="E225:F225"/>
    <mergeCell ref="E226:F226"/>
    <mergeCell ref="E203:F203"/>
    <mergeCell ref="E204:F204"/>
    <mergeCell ref="E205:F205"/>
    <mergeCell ref="E206:F206"/>
    <mergeCell ref="E207:F207"/>
    <mergeCell ref="C211:E211"/>
    <mergeCell ref="C212:L212"/>
    <mergeCell ref="E213:F213"/>
    <mergeCell ref="E214:F214"/>
    <mergeCell ref="E215:F215"/>
    <mergeCell ref="E216:F216"/>
    <mergeCell ref="E217:F217"/>
    <mergeCell ref="E218:F218"/>
    <mergeCell ref="E219:F219"/>
    <mergeCell ref="E164:F164"/>
    <mergeCell ref="E152:F152"/>
    <mergeCell ref="E153:F153"/>
    <mergeCell ref="B188:B207"/>
    <mergeCell ref="C189:E189"/>
    <mergeCell ref="C190:E190"/>
    <mergeCell ref="C191:L191"/>
    <mergeCell ref="E192:F192"/>
    <mergeCell ref="E193:F193"/>
    <mergeCell ref="E194:F194"/>
    <mergeCell ref="E195:F195"/>
    <mergeCell ref="E196:F196"/>
    <mergeCell ref="E197:F197"/>
    <mergeCell ref="E198:F198"/>
    <mergeCell ref="D199:K200"/>
    <mergeCell ref="E202:F202"/>
    <mergeCell ref="C149:L149"/>
    <mergeCell ref="E150:F150"/>
    <mergeCell ref="E151:F151"/>
    <mergeCell ref="E165:F165"/>
    <mergeCell ref="B167:B186"/>
    <mergeCell ref="C168:E168"/>
    <mergeCell ref="C169:E169"/>
    <mergeCell ref="C170:L170"/>
    <mergeCell ref="E171:F171"/>
    <mergeCell ref="E172:F172"/>
    <mergeCell ref="E173:F173"/>
    <mergeCell ref="E174:F174"/>
    <mergeCell ref="E175:F175"/>
    <mergeCell ref="E176:F176"/>
    <mergeCell ref="E177:F177"/>
    <mergeCell ref="D178:K179"/>
    <mergeCell ref="E181:F181"/>
    <mergeCell ref="E182:F182"/>
    <mergeCell ref="E183:F183"/>
    <mergeCell ref="B146:B165"/>
    <mergeCell ref="E184:F184"/>
    <mergeCell ref="E185:F185"/>
    <mergeCell ref="E186:F186"/>
    <mergeCell ref="E163:F163"/>
    <mergeCell ref="B104:B123"/>
    <mergeCell ref="C105:E105"/>
    <mergeCell ref="C106:E106"/>
    <mergeCell ref="C107:L107"/>
    <mergeCell ref="E108:F108"/>
    <mergeCell ref="E109:F109"/>
    <mergeCell ref="E110:F110"/>
    <mergeCell ref="E111:F111"/>
    <mergeCell ref="E141:F141"/>
    <mergeCell ref="E160:F160"/>
    <mergeCell ref="B125:B144"/>
    <mergeCell ref="C126:E126"/>
    <mergeCell ref="C127:E127"/>
    <mergeCell ref="C128:L128"/>
    <mergeCell ref="E129:F129"/>
    <mergeCell ref="E130:F130"/>
    <mergeCell ref="E131:F131"/>
    <mergeCell ref="E132:F132"/>
    <mergeCell ref="E133:F133"/>
    <mergeCell ref="E134:F134"/>
    <mergeCell ref="E135:F135"/>
    <mergeCell ref="D136:K137"/>
    <mergeCell ref="E139:F139"/>
    <mergeCell ref="E140:F140"/>
    <mergeCell ref="E154:F154"/>
    <mergeCell ref="E155:F155"/>
    <mergeCell ref="E156:F156"/>
    <mergeCell ref="D157:K158"/>
    <mergeCell ref="E142:F142"/>
    <mergeCell ref="E143:F143"/>
    <mergeCell ref="E144:F144"/>
    <mergeCell ref="C147:E147"/>
    <mergeCell ref="C148:E148"/>
    <mergeCell ref="E60:F60"/>
    <mergeCell ref="E37:F37"/>
    <mergeCell ref="E38:F38"/>
    <mergeCell ref="E28:F28"/>
    <mergeCell ref="E29:F29"/>
    <mergeCell ref="E79:F79"/>
    <mergeCell ref="E80:F80"/>
    <mergeCell ref="E81:F81"/>
    <mergeCell ref="B83:B102"/>
    <mergeCell ref="C84:E84"/>
    <mergeCell ref="C85:E85"/>
    <mergeCell ref="C86:L86"/>
    <mergeCell ref="E87:F87"/>
    <mergeCell ref="E88:F88"/>
    <mergeCell ref="E89:F89"/>
    <mergeCell ref="E90:F90"/>
    <mergeCell ref="E91:F91"/>
    <mergeCell ref="E92:F92"/>
    <mergeCell ref="E93:F93"/>
    <mergeCell ref="D94:K95"/>
    <mergeCell ref="E97:F97"/>
    <mergeCell ref="E98:F98"/>
    <mergeCell ref="E99:F99"/>
    <mergeCell ref="E100:F100"/>
    <mergeCell ref="E47:F47"/>
    <mergeCell ref="E48:F48"/>
    <mergeCell ref="E49:F49"/>
    <mergeCell ref="E50:F50"/>
    <mergeCell ref="E51:F51"/>
    <mergeCell ref="E56:F56"/>
    <mergeCell ref="E57:F57"/>
    <mergeCell ref="E58:F58"/>
    <mergeCell ref="E59:F59"/>
    <mergeCell ref="O9:P9"/>
    <mergeCell ref="B10:F10"/>
    <mergeCell ref="H10:K10"/>
    <mergeCell ref="O10:P10"/>
    <mergeCell ref="H11:K11"/>
    <mergeCell ref="N18:P18"/>
    <mergeCell ref="B19:L19"/>
    <mergeCell ref="B20:B39"/>
    <mergeCell ref="C21:E21"/>
    <mergeCell ref="C23:L23"/>
    <mergeCell ref="E24:F24"/>
    <mergeCell ref="E25:F25"/>
    <mergeCell ref="E26:F26"/>
    <mergeCell ref="E27:F27"/>
    <mergeCell ref="E30:F30"/>
    <mergeCell ref="C22:E22"/>
    <mergeCell ref="E39:F39"/>
    <mergeCell ref="D31:K32"/>
    <mergeCell ref="E34:F34"/>
    <mergeCell ref="E35:F35"/>
    <mergeCell ref="E36:F36"/>
    <mergeCell ref="B1:L1"/>
    <mergeCell ref="B2:L2"/>
    <mergeCell ref="C4:F4"/>
    <mergeCell ref="C5:F5"/>
    <mergeCell ref="G7:H7"/>
    <mergeCell ref="J7:K7"/>
    <mergeCell ref="F22:G22"/>
    <mergeCell ref="B41:B60"/>
    <mergeCell ref="C42:E42"/>
    <mergeCell ref="F43:G43"/>
    <mergeCell ref="C44:L44"/>
    <mergeCell ref="E45:F45"/>
    <mergeCell ref="D52:K53"/>
    <mergeCell ref="E55:F55"/>
    <mergeCell ref="B13:L13"/>
    <mergeCell ref="B14:H17"/>
    <mergeCell ref="I14:K15"/>
    <mergeCell ref="L14:L15"/>
    <mergeCell ref="I16:K17"/>
    <mergeCell ref="L16:L17"/>
    <mergeCell ref="B9:L9"/>
    <mergeCell ref="B11:F11"/>
    <mergeCell ref="C43:E43"/>
    <mergeCell ref="E46:F46"/>
    <mergeCell ref="F316:G316"/>
    <mergeCell ref="F64:G64"/>
    <mergeCell ref="F85:G85"/>
    <mergeCell ref="F106:G106"/>
    <mergeCell ref="F127:G127"/>
    <mergeCell ref="F148:G148"/>
    <mergeCell ref="F169:G169"/>
    <mergeCell ref="F190:G190"/>
    <mergeCell ref="F211:G211"/>
    <mergeCell ref="F232:G232"/>
    <mergeCell ref="E112:F112"/>
    <mergeCell ref="E113:F113"/>
    <mergeCell ref="E114:F114"/>
    <mergeCell ref="D115:K116"/>
    <mergeCell ref="E118:F118"/>
    <mergeCell ref="E119:F119"/>
    <mergeCell ref="E120:F120"/>
    <mergeCell ref="E121:F121"/>
    <mergeCell ref="E101:F101"/>
    <mergeCell ref="E102:F102"/>
    <mergeCell ref="E122:F122"/>
    <mergeCell ref="E123:F123"/>
    <mergeCell ref="E161:F161"/>
    <mergeCell ref="E162:F162"/>
  </mergeCells>
  <phoneticPr fontId="0" type="noConversion"/>
  <dataValidations xWindow="574" yWindow="139" count="27">
    <dataValidation type="custom" errorStyle="information" allowBlank="1" showInputMessage="1" showErrorMessage="1" errorTitle="Overtime Hours Needed" error="You must identify overtime for any employee scheduled to work more than 40 hours per week." promptTitle="Overtime" prompt="Please enter the hours of overtime you anticipate this employee will work per week." sqref="G30 G51 G72 G93 G114 G135 G156 G177 G198 G219 G240 G261 G282 G303 G324">
      <formula1>IF(SUM(G25:G27)&lt;=40,TRUE,FALSE)</formula1>
    </dataValidation>
    <dataValidation allowBlank="1" showInputMessage="1" showErrorMessage="1" promptTitle="Bonus Pay" prompt="Enter the amount of any bonus paid to the Employee." sqref="G35 G56 G77 G98 G119 G140 G161 G182 G203 G224 G245 G266 G287 G308 G329"/>
    <dataValidation allowBlank="1" showInputMessage="1" showErrorMessage="1" promptTitle="Number of Bonus Payments" prompt="Enter how many bonus payments the employee will receive during the budget period." sqref="H35 H56 H77 H98 H119 H140 H161 H182 H203 H224 H245 H266 H287 H308 H329"/>
    <dataValidation allowBlank="1" showInputMessage="1" showErrorMessage="1" promptTitle="Paid Holidays" prompt="Enter the dollar amount per day of any paid holidays the Employee will receive." sqref="G36 G57 G78 G99 G120 G141 G162 G183 G204 G225 G246 G267 G288 G309 G330"/>
    <dataValidation allowBlank="1" showInputMessage="1" showErrorMessage="1" promptTitle="Number of Paid Holidays" prompt="Enter the number of paid holidays the Employee will receive." sqref="H36 H57 H78 H99 H120 H141 H162 H183 H204 H225 H246 H267 H288 H309 H330"/>
    <dataValidation allowBlank="1" showInputMessage="1" showErrorMessage="1" promptTitle="Paid Vacation Days" prompt="Enter the dollar amount per day of any vacation the Employee will receive." sqref="G37 G58 G79 G100 G121 G142 G163 G184 G205 G226 G247 G268 G289 G310 G331"/>
    <dataValidation allowBlank="1" showInputMessage="1" showErrorMessage="1" promptTitle="Number of Vacation Days" prompt="Enter the number of paid vacation days the Employee will receive." sqref="H37 H58 H79 H100 H121 H142 H163 H184 H205 H226 H247 H268 H289 H310 H331"/>
    <dataValidation allowBlank="1" showInputMessage="1" showErrorMessage="1" promptTitle="Paid Sick Leave" prompt="Enter the dollar amount per day of any sick leave the Employee will receive." sqref="G38 G59 G80 G101 G122 G143 G164 G185 G206 G227 G248 G269 G290 G311 G332"/>
    <dataValidation allowBlank="1" showInputMessage="1" showErrorMessage="1" promptTitle="Other Compensation" prompt="If the Employee receives compenation other than those listed above, give a description of the type of compensation in this cell." sqref="E39:F40 E60:F61 E81:F82 E102:F103 E123:F124 E144:F145 E165:F166 E186:F187 E207:F208 E228:F229 E249:F250 E270:F271 E291:F292 E312:F313 E333:F333"/>
    <dataValidation allowBlank="1" showInputMessage="1" showErrorMessage="1" promptTitle="Other Compensation" prompt="Enter the amount of any other compensation paid to the Employee." sqref="G39:G40 G60:G61 G81:G82 G102:G103 G123:G124 G144:G145 G165:G166 G186:G187 G207:G208 G228:G229 G249:G250 G270:G271 G291:G292 G312:G313 G333"/>
    <dataValidation allowBlank="1" showInputMessage="1" showErrorMessage="1" promptTitle="Number of Other Payments" prompt="Enter the number of payments of other compensation the Employee will receive." sqref="H39:H40 H60:H61 H81:H82 H102:H103 H123:H124 H144:H145 H165:H166 H186:H187 H207:H208 H228:H229 H249:H250 H270:H271 H291:H292 H312:H313 H333"/>
    <dataValidation type="custom" errorStyle="warning" operator="equal" allowBlank="1" showInputMessage="1" showErrorMessage="1" errorTitle="Authorized HAB Units Per Week" error="You have entered a number of units per week that is different than the authorized amount. Verify the number of units authorized and the scheduled hours per week. You cannot schedule more hours than authorized._x000a_" promptTitle="Habilitation Hours per Week" prompt="Enter the number of hours of Habilitation the Employee is scheduled each week." sqref="G25 G46 G67 G88 G109 G130 G151 G172 G193 G214 G235 G256 G277 G298 G319">
      <formula1>AND(IF(N25="True",G25,), IF((G25:G30)&lt;=40,G25))</formula1>
    </dataValidation>
    <dataValidation type="custom" errorStyle="warning" operator="equal" allowBlank="1" showInputMessage="1" errorTitle="Authorized HAB Units Per Week" error="You have entered a number of units per week that is different than the authorized amount. Verify the number of units authorized and the scheduled hours per week. You cannot schedule more hours than authorized._x000a_" promptTitle="Intervener Weekly Hours" prompt="Enter the number of Intervener Hours." sqref="G26 G47 G68 G89 G110 G131 G152 G173 G194 G215 G236 G257 G278 G299 G320">
      <formula1>AND(IF(N26="True",G26,), IF((G25:G30)&lt;=40,G26))</formula1>
    </dataValidation>
    <dataValidation errorStyle="warning" operator="equal" allowBlank="1" showInputMessage="1" errorTitle="Authorized HAB Units Per Week" error="You have entered a number of units per week that is different than the authorized amount. Verify the number of units authorized and the scheduled hours per week. You cannot schedule more hours than authorized._x000a_" promptTitle="Nursing RN Hours per Week" prompt="Enter the number of hours of Nursing RN the Employee is scheduled each week." sqref="G28 G49 G70 G91 G112 G133 G154 G175 G196 G217 G238 G259 G280 G301 G322"/>
    <dataValidation allowBlank="1" showInputMessage="1" showErrorMessage="1" promptTitle="Employee Name" prompt="Enter the Employee's full name." sqref="C21:E21 C42:E42 C63:E63 C84:E84 C105:E105 C126:E126 C147:E147 C168:E168 C189:E189 C210:E210 C231:E231 C252:E252 C273:E273 C294:E294 C315:E315"/>
    <dataValidation allowBlank="1" showInputMessage="1" showErrorMessage="1" promptTitle="Begin Date" prompt="Enter the Employee's first date of employment. If this entry is due to a change in schedule, enter the begin date of the new schedule." sqref="F21 F42 F63 F84 F105 F126 F147 F168 F189 F210 F231 F252 F273 F294 F315"/>
    <dataValidation allowBlank="1" showInputMessage="1" showErrorMessage="1" promptTitle="End Date" prompt="Enter the Employee's last date of employment. If this is a new Employee, enter the last day of the budget period. If this entry is due to a change in schedule, enter the end date of the current schedule." sqref="G21 G42 G63 G84 G105 G126 G147 G168 G189 G210 G231 G252 G273 G294 G315"/>
    <dataValidation allowBlank="1" showInputMessage="1" showErrorMessage="1" promptTitle="S.U.T.A. Rate" prompt="Enter the S.U.T.A. rate assigned by the Texas Workforce Commission." sqref="I21 I42 I63 I84 I105 I126 I147 I168 I189 I210 I231 I252 I273 I294 I315"/>
    <dataValidation type="custom" allowBlank="1" showInputMessage="1" showErrorMessage="1" errorTitle="Minimum Wage" error="The minimum allowable wage is $7.25 per hour." promptTitle="In-Home Respite Pay Rate" prompt="Enter the hourly pay rate for In-Home Respite." sqref="H27 H48 H69 H90 H111 H132 H153 H174 H195 H216 H237 H258 H279 H300 H321">
      <formula1>IF(H27&gt;=7.25,H27,)</formula1>
    </dataValidation>
    <dataValidation type="custom" allowBlank="1" showInputMessage="1" showErrorMessage="1" errorTitle="Minimum Wage" error="The minimum allowable wage is $7.25 per hour." promptTitle="Employment Assistance Pay Rate" prompt="Enter the hourly pay rate for Employment Assistance." sqref="H29 H50 H71 H92 H113 H134 H155 H176 H197 H218 H239 H260 H281 H302 H323">
      <formula1>IF(H29&gt;=7.25,H29,)</formula1>
    </dataValidation>
    <dataValidation allowBlank="1" showErrorMessage="1" promptTitle="Information Only Page" prompt="This page is for Information only.  It is not a part of the Client's budget." sqref="B1:L1"/>
    <dataValidation type="custom" allowBlank="1" showInputMessage="1" showErrorMessage="1" errorTitle="Minimum Wage" error="The minimum allowable wage is $7.25 per hour." promptTitle="Supported Employment Pay Rate" prompt="Enter the hourly pay rate for Supported Employment." sqref="H28 H49 H70 H91 H112 H133 H154 H175 H196 H217 H238 H259 H280 H301 H322">
      <formula1>IF(H28&gt;=7.25,H28,)</formula1>
    </dataValidation>
    <dataValidation type="custom" allowBlank="1" showInputMessage="1" showErrorMessage="1" errorTitle="Minimum Wage" error="The minimum allowable wage is $7.25 per hour." promptTitle="Intervener Pay Rate" prompt="Enter the hourly pay rate for Intervener." sqref="H26 H47 H68 H89 H110 H131 H152 H173 H194 H215 H236 H257 H278 H299 H320">
      <formula1>IF(H26&gt;=7.25,H26,)</formula1>
    </dataValidation>
    <dataValidation errorStyle="warning" operator="equal" allowBlank="1" showInputMessage="1" errorTitle="Authorized HAB Units Per Week" error="You have entered a number of units per week that is different than the authorized amount. Verify the number of units authorized and the scheduled hours per week. You cannot schedule more hours than authorized._x000a_" promptTitle="In-Home Respite Hours per Week" prompt="Enter the number of In-Home Respite Hours used. This should be a weekly number. Ensure you have entered the number of In-Home Respite units being used in the Authorized Units and Budget Worksheet." sqref="G27 G48 G69 G90 G111 G132 G153 G174 G195 G216 G237 G258 G279 G300 G321"/>
    <dataValidation errorStyle="warning" operator="equal" allowBlank="1" showInputMessage="1" errorTitle="Authorized HAB Units Per Week" error="You have entered a number of units per week that is different than the authorized amount. Verify the number of units authorized and the scheduled hours per week. You cannot schedule more hours than authorized._x000a_" promptTitle="EA Hours per Week" prompt="Enter the number of hours of Employment Assistance the Employee is scheduled each week." sqref="G29 G50 G71 G92 G113 G134 G155 G176 G197 G218 G239 G260 G281 G302 G323"/>
    <dataValidation type="custom" allowBlank="1" showInputMessage="1" showErrorMessage="1" errorTitle="Minimum Wage" error="The minimum allowable wage for Habilitation is $7.50 per hour." promptTitle="Habillitation Pay Rate" prompt="Enter the hourly pay rate for Habilitation." sqref="H25 H46 H67 H88 H109 H130 H151 H172 H193 H214 H235 H256 H277 H298 H319">
      <formula1>IF(H25&gt;=7.5,H25,)</formula1>
    </dataValidation>
    <dataValidation type="list" allowBlank="1" showInputMessage="1" showErrorMessage="1" errorTitle="Household Exemption" error="Make a selection from the list concerning the employee's familial relationship with the employer." promptTitle="Household Exemption" prompt="Make a selection from the list concerning the employee's tax status based on familial relationship with the employer." sqref="F22:G22 F43:G43 F64:G64 F85:G85 F106:G106 F127:G127 F148:G148 F169:G169 F190:G190 F211:G211 F232:G232 F253:G253 F274:G274 F295:G295 F316:G316">
      <formula1>$P$2:$P$3</formula1>
    </dataValidation>
  </dataValidations>
  <printOptions horizontalCentered="1"/>
  <pageMargins left="0.2" right="0.2" top="0.47" bottom="0.45" header="0" footer="0.17"/>
  <pageSetup scale="79" fitToHeight="0" orientation="portrait" r:id="rId3"/>
  <headerFooter alignWithMargins="0">
    <oddHeader>&amp;L&amp;8Texas Department of 
Aging and Disability Services&amp;R&amp;8DBMD CDS Budget
May 2010</oddHeader>
    <oddFooter>&amp;R&amp;8Date and Time Created
&amp;D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5"/>
  <sheetViews>
    <sheetView zoomScale="75" zoomScaleNormal="75" workbookViewId="0">
      <selection activeCell="G21" sqref="G21:H22"/>
    </sheetView>
  </sheetViews>
  <sheetFormatPr defaultRowHeight="12.75" x14ac:dyDescent="0.2"/>
  <cols>
    <col min="1" max="1" width="4.42578125" style="1" customWidth="1"/>
    <col min="2" max="2" width="4.140625" style="1" customWidth="1"/>
    <col min="3" max="3" width="46.5703125" style="1" customWidth="1"/>
    <col min="4" max="4" width="16.42578125" style="1" customWidth="1"/>
    <col min="5" max="5" width="4.140625" style="1" bestFit="1" customWidth="1"/>
    <col min="6" max="6" width="28.140625" style="1" bestFit="1" customWidth="1"/>
    <col min="7" max="7" width="18.5703125" style="1" bestFit="1" customWidth="1"/>
    <col min="8" max="8" width="14.28515625" style="1" bestFit="1" customWidth="1"/>
    <col min="9" max="9" width="9.140625" style="1"/>
    <col min="10" max="10" width="10.42578125" style="1" hidden="1" customWidth="1"/>
    <col min="11" max="16384" width="9.140625" style="1"/>
  </cols>
  <sheetData>
    <row r="1" spans="1:11" x14ac:dyDescent="0.2">
      <c r="B1" s="25"/>
    </row>
    <row r="2" spans="1:11" ht="38.25" customHeight="1" x14ac:dyDescent="0.2">
      <c r="C2" s="491" t="s">
        <v>226</v>
      </c>
      <c r="D2" s="491"/>
      <c r="E2" s="491"/>
      <c r="F2" s="491"/>
      <c r="G2" s="491"/>
      <c r="H2" s="491"/>
    </row>
    <row r="3" spans="1:11" ht="15" x14ac:dyDescent="0.25">
      <c r="C3" s="492" t="s">
        <v>67</v>
      </c>
      <c r="D3" s="492"/>
      <c r="E3" s="492"/>
      <c r="F3" s="492"/>
      <c r="G3" s="492"/>
      <c r="H3" s="492"/>
      <c r="I3" s="246"/>
      <c r="J3" s="10"/>
      <c r="K3" s="95"/>
    </row>
    <row r="4" spans="1:11" ht="15" x14ac:dyDescent="0.25">
      <c r="B4" s="25"/>
      <c r="C4" s="19"/>
      <c r="D4" s="19"/>
      <c r="E4" s="19"/>
      <c r="F4" s="19"/>
      <c r="G4" s="19"/>
      <c r="H4" s="19"/>
    </row>
    <row r="5" spans="1:11" ht="15.75" thickBot="1" x14ac:dyDescent="0.3">
      <c r="B5" s="25"/>
      <c r="C5" s="305">
        <f>Consumer_Name</f>
        <v>0</v>
      </c>
      <c r="D5" s="305"/>
      <c r="E5" s="305"/>
      <c r="G5" s="305">
        <f>Medicaid_Number</f>
        <v>0</v>
      </c>
      <c r="H5" s="305"/>
    </row>
    <row r="6" spans="1:11" ht="14.25" x14ac:dyDescent="0.2">
      <c r="B6" s="25"/>
      <c r="C6" s="306" t="s">
        <v>37</v>
      </c>
      <c r="D6" s="306"/>
      <c r="E6" s="306"/>
      <c r="G6" s="544" t="s">
        <v>38</v>
      </c>
      <c r="H6" s="544"/>
      <c r="J6" s="73"/>
      <c r="K6" s="96"/>
    </row>
    <row r="7" spans="1:11" ht="15" thickBot="1" x14ac:dyDescent="0.25">
      <c r="B7" s="25"/>
      <c r="C7" s="21"/>
      <c r="D7" s="21"/>
      <c r="E7" s="21"/>
      <c r="G7" s="544"/>
      <c r="H7" s="544"/>
    </row>
    <row r="8" spans="1:11" ht="15.75" thickBot="1" x14ac:dyDescent="0.3">
      <c r="B8" s="25"/>
      <c r="C8" s="22" t="s">
        <v>68</v>
      </c>
      <c r="D8" s="536"/>
      <c r="E8" s="537"/>
      <c r="F8" s="22" t="s">
        <v>7</v>
      </c>
      <c r="G8" s="536"/>
      <c r="H8" s="537"/>
    </row>
    <row r="9" spans="1:11" ht="16.5" thickBot="1" x14ac:dyDescent="0.3">
      <c r="A9" s="10"/>
      <c r="B9" s="10"/>
      <c r="C9" s="22" t="s">
        <v>69</v>
      </c>
      <c r="D9" s="286"/>
      <c r="E9" s="288"/>
      <c r="F9" s="10"/>
    </row>
    <row r="10" spans="1:11" ht="15.75" x14ac:dyDescent="0.25">
      <c r="A10" s="10"/>
      <c r="B10" s="10"/>
      <c r="C10" s="22"/>
      <c r="D10" s="91"/>
      <c r="E10" s="69"/>
      <c r="F10" s="10"/>
      <c r="J10" s="73"/>
      <c r="K10" s="96"/>
    </row>
    <row r="11" spans="1:11" ht="15.75" x14ac:dyDescent="0.25">
      <c r="A11" s="10"/>
      <c r="B11" s="10"/>
      <c r="C11" s="80"/>
      <c r="D11" s="60"/>
      <c r="E11" s="69"/>
      <c r="F11" s="10"/>
      <c r="J11" s="64"/>
      <c r="K11" s="62"/>
    </row>
    <row r="12" spans="1:11" ht="15.75" customHeight="1" x14ac:dyDescent="0.25">
      <c r="A12" s="10"/>
      <c r="C12" s="280" t="s">
        <v>80</v>
      </c>
      <c r="D12" s="280"/>
      <c r="E12" s="280"/>
      <c r="F12" s="280"/>
      <c r="G12" s="280"/>
      <c r="H12" s="280"/>
      <c r="J12" s="64"/>
      <c r="K12" s="62"/>
    </row>
    <row r="13" spans="1:11" ht="13.5" thickBot="1" x14ac:dyDescent="0.25">
      <c r="A13" s="10"/>
      <c r="B13" s="10"/>
      <c r="C13" s="10"/>
      <c r="D13" s="10"/>
      <c r="E13" s="10"/>
      <c r="F13" s="10"/>
    </row>
    <row r="14" spans="1:11" ht="19.5" thickBot="1" x14ac:dyDescent="0.35">
      <c r="A14" s="10"/>
      <c r="C14" s="360" t="s">
        <v>200</v>
      </c>
      <c r="D14" s="361"/>
      <c r="E14" s="361"/>
      <c r="F14" s="361"/>
      <c r="G14" s="361"/>
      <c r="H14" s="456"/>
    </row>
    <row r="15" spans="1:11" ht="6" customHeight="1" thickBot="1" x14ac:dyDescent="0.35">
      <c r="A15" s="11"/>
      <c r="B15" s="102"/>
      <c r="C15" s="102"/>
      <c r="D15" s="102"/>
      <c r="E15" s="102"/>
      <c r="F15" s="102"/>
      <c r="G15" s="193"/>
    </row>
    <row r="16" spans="1:11" ht="17.25" customHeight="1" x14ac:dyDescent="0.2">
      <c r="A16" s="11"/>
      <c r="B16" s="4"/>
      <c r="C16" s="542" t="s">
        <v>196</v>
      </c>
      <c r="D16" s="543"/>
      <c r="E16" s="543"/>
      <c r="F16" s="543"/>
      <c r="G16" s="538">
        <f>'Taxable Wage &amp; Compensation'!$G$10</f>
        <v>0</v>
      </c>
      <c r="H16" s="539"/>
    </row>
    <row r="17" spans="1:8" ht="17.25" customHeight="1" thickBot="1" x14ac:dyDescent="0.25">
      <c r="A17" s="11"/>
      <c r="B17" s="4"/>
      <c r="C17" s="540" t="s">
        <v>197</v>
      </c>
      <c r="D17" s="541"/>
      <c r="E17" s="541"/>
      <c r="F17" s="541"/>
      <c r="G17" s="545">
        <f>'Taxable Wage &amp; Compensation'!$L$10</f>
        <v>0</v>
      </c>
      <c r="H17" s="546"/>
    </row>
    <row r="18" spans="1:8" ht="6" customHeight="1" thickBot="1" x14ac:dyDescent="0.25">
      <c r="A18" s="11"/>
      <c r="B18" s="4"/>
      <c r="C18" s="83"/>
      <c r="D18" s="83"/>
      <c r="E18" s="84"/>
      <c r="F18" s="84"/>
      <c r="G18" s="82"/>
    </row>
    <row r="19" spans="1:8" ht="16.5" thickBot="1" x14ac:dyDescent="0.25">
      <c r="A19" s="11"/>
      <c r="B19" s="208"/>
      <c r="C19" s="498" t="s">
        <v>201</v>
      </c>
      <c r="D19" s="499"/>
      <c r="E19" s="499"/>
      <c r="F19" s="499"/>
      <c r="G19" s="499"/>
      <c r="H19" s="500"/>
    </row>
    <row r="20" spans="1:8" ht="15" thickBot="1" x14ac:dyDescent="0.25">
      <c r="A20" s="11"/>
      <c r="B20" s="208"/>
      <c r="C20" s="81"/>
      <c r="D20" s="501" t="s">
        <v>70</v>
      </c>
      <c r="E20" s="502"/>
      <c r="F20" s="503"/>
      <c r="G20" s="504" t="s">
        <v>71</v>
      </c>
      <c r="H20" s="505"/>
    </row>
    <row r="21" spans="1:8" ht="15" thickBot="1" x14ac:dyDescent="0.25">
      <c r="A21" s="4"/>
      <c r="B21" s="208"/>
      <c r="C21" s="89" t="s">
        <v>72</v>
      </c>
      <c r="D21" s="493">
        <f>Taxable/4</f>
        <v>0</v>
      </c>
      <c r="E21" s="494"/>
      <c r="F21" s="495"/>
      <c r="G21" s="506"/>
      <c r="H21" s="507"/>
    </row>
    <row r="22" spans="1:8" ht="15" thickBot="1" x14ac:dyDescent="0.25">
      <c r="A22" s="4"/>
      <c r="B22" s="208"/>
      <c r="C22" s="89" t="s">
        <v>73</v>
      </c>
      <c r="D22" s="493">
        <f>Taxable/4</f>
        <v>0</v>
      </c>
      <c r="E22" s="494"/>
      <c r="F22" s="495"/>
      <c r="G22" s="506"/>
      <c r="H22" s="507"/>
    </row>
    <row r="23" spans="1:8" ht="15" thickBot="1" x14ac:dyDescent="0.25">
      <c r="A23" s="4"/>
      <c r="B23" s="208"/>
      <c r="C23" s="89" t="s">
        <v>74</v>
      </c>
      <c r="D23" s="493">
        <f>Taxable/4</f>
        <v>0</v>
      </c>
      <c r="E23" s="494"/>
      <c r="F23" s="495"/>
      <c r="G23" s="506"/>
      <c r="H23" s="507"/>
    </row>
    <row r="24" spans="1:8" ht="15" thickBot="1" x14ac:dyDescent="0.25">
      <c r="A24" s="4"/>
      <c r="B24" s="208"/>
      <c r="C24" s="89" t="s">
        <v>75</v>
      </c>
      <c r="D24" s="493">
        <f>Taxable/4</f>
        <v>0</v>
      </c>
      <c r="E24" s="494"/>
      <c r="F24" s="495"/>
      <c r="G24" s="496"/>
      <c r="H24" s="497"/>
    </row>
    <row r="25" spans="1:8" ht="19.5" customHeight="1" thickBot="1" x14ac:dyDescent="0.3">
      <c r="A25" s="4"/>
      <c r="B25" s="208"/>
      <c r="C25" s="85" t="s">
        <v>198</v>
      </c>
      <c r="D25" s="518">
        <f>SUM(D21:F24)</f>
        <v>0</v>
      </c>
      <c r="E25" s="519"/>
      <c r="F25" s="520"/>
      <c r="G25" s="521">
        <f>SUM(G21:H24)</f>
        <v>0</v>
      </c>
      <c r="H25" s="522"/>
    </row>
    <row r="26" spans="1:8" ht="5.25" customHeight="1" x14ac:dyDescent="0.25">
      <c r="A26" s="4"/>
      <c r="B26" s="208"/>
      <c r="C26" s="86"/>
      <c r="D26" s="87"/>
      <c r="E26" s="88"/>
      <c r="F26" s="88"/>
      <c r="G26" s="4"/>
    </row>
    <row r="27" spans="1:8" ht="15" customHeight="1" thickBot="1" x14ac:dyDescent="0.3">
      <c r="A27" s="4"/>
      <c r="B27" s="208"/>
      <c r="C27" s="86"/>
      <c r="D27" s="125"/>
      <c r="E27" s="125"/>
      <c r="F27" s="126"/>
      <c r="G27" s="4"/>
    </row>
    <row r="28" spans="1:8" ht="15" customHeight="1" thickBot="1" x14ac:dyDescent="0.3">
      <c r="A28" s="4"/>
      <c r="B28" s="208"/>
      <c r="C28" s="515" t="s">
        <v>116</v>
      </c>
      <c r="D28" s="516"/>
      <c r="E28" s="516"/>
      <c r="F28" s="516"/>
      <c r="G28" s="516"/>
      <c r="H28" s="517"/>
    </row>
    <row r="29" spans="1:8" ht="15" customHeight="1" thickBot="1" x14ac:dyDescent="0.25">
      <c r="A29" s="4"/>
      <c r="B29" s="208"/>
      <c r="C29" s="195"/>
      <c r="D29" s="514" t="s">
        <v>202</v>
      </c>
      <c r="E29" s="514"/>
      <c r="F29" s="196" t="s">
        <v>203</v>
      </c>
      <c r="G29" s="197" t="s">
        <v>204</v>
      </c>
      <c r="H29" s="198" t="s">
        <v>205</v>
      </c>
    </row>
    <row r="30" spans="1:8" ht="15" customHeight="1" thickBot="1" x14ac:dyDescent="0.25">
      <c r="A30" s="4"/>
      <c r="B30" s="208"/>
      <c r="C30" s="195" t="s">
        <v>76</v>
      </c>
      <c r="D30" s="508">
        <f>'Authorized Units &amp; Budget'!$D$16:$E$16/4</f>
        <v>0</v>
      </c>
      <c r="E30" s="509"/>
      <c r="F30" s="192"/>
      <c r="G30" s="194">
        <f>Hab_Dollars/4</f>
        <v>0</v>
      </c>
      <c r="H30" s="212"/>
    </row>
    <row r="31" spans="1:8" ht="15" customHeight="1" thickBot="1" x14ac:dyDescent="0.25">
      <c r="A31" s="4"/>
      <c r="B31" s="208"/>
      <c r="C31" s="195" t="s">
        <v>77</v>
      </c>
      <c r="D31" s="508">
        <f>'Authorized Units &amp; Budget'!$D$16:$E$16/4</f>
        <v>0</v>
      </c>
      <c r="E31" s="509"/>
      <c r="F31" s="192"/>
      <c r="G31" s="194">
        <f>Hab_Dollars/4</f>
        <v>0</v>
      </c>
      <c r="H31" s="212"/>
    </row>
    <row r="32" spans="1:8" ht="15" customHeight="1" thickBot="1" x14ac:dyDescent="0.25">
      <c r="A32" s="4"/>
      <c r="B32" s="208"/>
      <c r="C32" s="195" t="s">
        <v>78</v>
      </c>
      <c r="D32" s="508">
        <f>'Authorized Units &amp; Budget'!$D$16:$E$16/4</f>
        <v>0</v>
      </c>
      <c r="E32" s="509"/>
      <c r="F32" s="192"/>
      <c r="G32" s="194">
        <f>Hab_Dollars/4</f>
        <v>0</v>
      </c>
      <c r="H32" s="212"/>
    </row>
    <row r="33" spans="1:8" ht="15" customHeight="1" thickBot="1" x14ac:dyDescent="0.25">
      <c r="A33" s="4"/>
      <c r="B33" s="208"/>
      <c r="C33" s="195" t="s">
        <v>79</v>
      </c>
      <c r="D33" s="508">
        <f>'Authorized Units &amp; Budget'!$D$16:$E$16/4</f>
        <v>0</v>
      </c>
      <c r="E33" s="509"/>
      <c r="F33" s="199"/>
      <c r="G33" s="194">
        <f>Hab_Dollars/4</f>
        <v>0</v>
      </c>
      <c r="H33" s="213"/>
    </row>
    <row r="34" spans="1:8" ht="15" customHeight="1" thickBot="1" x14ac:dyDescent="0.3">
      <c r="A34" s="4"/>
      <c r="B34" s="208"/>
      <c r="C34" s="200" t="s">
        <v>199</v>
      </c>
      <c r="D34" s="510">
        <f>SUM(D30:D33)</f>
        <v>0</v>
      </c>
      <c r="E34" s="511"/>
      <c r="F34" s="201">
        <f>SUM(F30:F33)</f>
        <v>0</v>
      </c>
      <c r="G34" s="202">
        <f>SUM(G30:G33)</f>
        <v>0</v>
      </c>
      <c r="H34" s="203">
        <f>SUM(H30:H33)</f>
        <v>0</v>
      </c>
    </row>
    <row r="35" spans="1:8" ht="15" customHeight="1" thickBot="1" x14ac:dyDescent="0.3">
      <c r="A35" s="4"/>
      <c r="B35" s="208"/>
      <c r="C35" s="512" t="s">
        <v>206</v>
      </c>
      <c r="D35" s="513"/>
      <c r="E35" s="513"/>
      <c r="F35" s="204">
        <f>D34-F34</f>
        <v>0</v>
      </c>
      <c r="G35" s="205"/>
      <c r="H35" s="206">
        <f>G34-H34</f>
        <v>0</v>
      </c>
    </row>
    <row r="36" spans="1:8" ht="15" customHeight="1" thickBot="1" x14ac:dyDescent="0.3">
      <c r="A36" s="4"/>
      <c r="B36" s="208"/>
      <c r="C36" s="207"/>
      <c r="D36" s="126"/>
      <c r="E36" s="126"/>
      <c r="F36" s="126"/>
      <c r="G36" s="4"/>
    </row>
    <row r="37" spans="1:8" ht="15" customHeight="1" thickBot="1" x14ac:dyDescent="0.3">
      <c r="A37" s="4"/>
      <c r="B37" s="208"/>
      <c r="C37" s="515" t="s">
        <v>227</v>
      </c>
      <c r="D37" s="516"/>
      <c r="E37" s="516"/>
      <c r="F37" s="516"/>
      <c r="G37" s="516"/>
      <c r="H37" s="517"/>
    </row>
    <row r="38" spans="1:8" ht="15" customHeight="1" thickBot="1" x14ac:dyDescent="0.25">
      <c r="A38" s="4"/>
      <c r="B38" s="208"/>
      <c r="C38" s="195"/>
      <c r="D38" s="514" t="s">
        <v>202</v>
      </c>
      <c r="E38" s="514"/>
      <c r="F38" s="196" t="s">
        <v>203</v>
      </c>
      <c r="G38" s="197" t="s">
        <v>204</v>
      </c>
      <c r="H38" s="198" t="s">
        <v>205</v>
      </c>
    </row>
    <row r="39" spans="1:8" ht="15" customHeight="1" thickBot="1" x14ac:dyDescent="0.25">
      <c r="A39" s="4"/>
      <c r="B39" s="208"/>
      <c r="C39" s="195" t="s">
        <v>76</v>
      </c>
      <c r="D39" s="508">
        <f>'Authorized Units &amp; Budget'!$D$21:$E$21/4</f>
        <v>0</v>
      </c>
      <c r="E39" s="509"/>
      <c r="F39" s="192"/>
      <c r="G39" s="194">
        <f>Total_Intervener_Dollars/4</f>
        <v>0</v>
      </c>
      <c r="H39" s="212"/>
    </row>
    <row r="40" spans="1:8" ht="15" customHeight="1" thickBot="1" x14ac:dyDescent="0.25">
      <c r="A40" s="4"/>
      <c r="B40" s="208"/>
      <c r="C40" s="195" t="s">
        <v>77</v>
      </c>
      <c r="D40" s="508">
        <f>'Authorized Units &amp; Budget'!$D$21:$E$21/4</f>
        <v>0</v>
      </c>
      <c r="E40" s="509"/>
      <c r="F40" s="192"/>
      <c r="G40" s="194">
        <f>Total_Intervener_Dollars/4</f>
        <v>0</v>
      </c>
      <c r="H40" s="212"/>
    </row>
    <row r="41" spans="1:8" ht="15" customHeight="1" thickBot="1" x14ac:dyDescent="0.25">
      <c r="A41" s="4"/>
      <c r="B41" s="208"/>
      <c r="C41" s="195" t="s">
        <v>78</v>
      </c>
      <c r="D41" s="508">
        <f>'Authorized Units &amp; Budget'!$D$21:$E$21/4</f>
        <v>0</v>
      </c>
      <c r="E41" s="509"/>
      <c r="F41" s="192"/>
      <c r="G41" s="194">
        <f>Total_Intervener_Dollars/4</f>
        <v>0</v>
      </c>
      <c r="H41" s="212"/>
    </row>
    <row r="42" spans="1:8" ht="15" customHeight="1" thickBot="1" x14ac:dyDescent="0.25">
      <c r="A42" s="4"/>
      <c r="B42" s="208"/>
      <c r="C42" s="195" t="s">
        <v>79</v>
      </c>
      <c r="D42" s="508">
        <f>'Authorized Units &amp; Budget'!$D$21:$E$21/4</f>
        <v>0</v>
      </c>
      <c r="E42" s="509"/>
      <c r="F42" s="199"/>
      <c r="G42" s="194">
        <f>Total_Intervener_Dollars/4</f>
        <v>0</v>
      </c>
      <c r="H42" s="213"/>
    </row>
    <row r="43" spans="1:8" ht="15" customHeight="1" thickBot="1" x14ac:dyDescent="0.3">
      <c r="A43" s="4"/>
      <c r="B43" s="208"/>
      <c r="C43" s="200" t="s">
        <v>199</v>
      </c>
      <c r="D43" s="510">
        <f>SUM(D39:D42)</f>
        <v>0</v>
      </c>
      <c r="E43" s="511"/>
      <c r="F43" s="201">
        <f>SUM(F39:F42)</f>
        <v>0</v>
      </c>
      <c r="G43" s="202">
        <f>SUM(G39:G42)</f>
        <v>0</v>
      </c>
      <c r="H43" s="203">
        <f>SUM(H39:H42)</f>
        <v>0</v>
      </c>
    </row>
    <row r="44" spans="1:8" ht="15" customHeight="1" thickBot="1" x14ac:dyDescent="0.3">
      <c r="A44" s="4"/>
      <c r="B44" s="208"/>
      <c r="C44" s="512" t="s">
        <v>206</v>
      </c>
      <c r="D44" s="513"/>
      <c r="E44" s="513"/>
      <c r="F44" s="204">
        <f>D43-F43</f>
        <v>0</v>
      </c>
      <c r="G44" s="205"/>
      <c r="H44" s="206">
        <f>G43-H43</f>
        <v>0</v>
      </c>
    </row>
    <row r="45" spans="1:8" ht="15" customHeight="1" thickBot="1" x14ac:dyDescent="0.3">
      <c r="A45" s="4"/>
      <c r="B45" s="208"/>
      <c r="C45" s="221"/>
      <c r="D45" s="221"/>
      <c r="E45" s="221"/>
      <c r="F45" s="201"/>
      <c r="G45" s="222"/>
      <c r="H45" s="223"/>
    </row>
    <row r="46" spans="1:8" ht="15" customHeight="1" thickBot="1" x14ac:dyDescent="0.3">
      <c r="A46" s="4"/>
      <c r="B46" s="208"/>
      <c r="C46" s="515" t="s">
        <v>95</v>
      </c>
      <c r="D46" s="516"/>
      <c r="E46" s="516"/>
      <c r="F46" s="516"/>
      <c r="G46" s="516"/>
      <c r="H46" s="517"/>
    </row>
    <row r="47" spans="1:8" ht="15" customHeight="1" thickBot="1" x14ac:dyDescent="0.25">
      <c r="A47" s="4"/>
      <c r="B47" s="208"/>
      <c r="C47" s="195"/>
      <c r="D47" s="514" t="s">
        <v>202</v>
      </c>
      <c r="E47" s="514"/>
      <c r="F47" s="196" t="s">
        <v>203</v>
      </c>
      <c r="G47" s="197" t="s">
        <v>204</v>
      </c>
      <c r="H47" s="198" t="s">
        <v>205</v>
      </c>
    </row>
    <row r="48" spans="1:8" ht="15" customHeight="1" thickBot="1" x14ac:dyDescent="0.25">
      <c r="A48" s="4"/>
      <c r="B48" s="208"/>
      <c r="C48" s="195" t="s">
        <v>76</v>
      </c>
      <c r="D48" s="508">
        <f>'Authorized Units &amp; Budget'!$D$26:$F$26/4</f>
        <v>0</v>
      </c>
      <c r="E48" s="509"/>
      <c r="F48" s="192"/>
      <c r="G48" s="194">
        <f>IHR_Dollars/4</f>
        <v>0</v>
      </c>
      <c r="H48" s="212"/>
    </row>
    <row r="49" spans="1:11" ht="15" customHeight="1" thickBot="1" x14ac:dyDescent="0.25">
      <c r="A49" s="4"/>
      <c r="B49" s="208"/>
      <c r="C49" s="195" t="s">
        <v>77</v>
      </c>
      <c r="D49" s="508">
        <f>'Authorized Units &amp; Budget'!$D$26:$F$26/4</f>
        <v>0</v>
      </c>
      <c r="E49" s="509"/>
      <c r="F49" s="192"/>
      <c r="G49" s="194">
        <f>IHR_Dollars/4</f>
        <v>0</v>
      </c>
      <c r="H49" s="212"/>
    </row>
    <row r="50" spans="1:11" ht="15" customHeight="1" thickBot="1" x14ac:dyDescent="0.25">
      <c r="A50" s="4"/>
      <c r="B50" s="208"/>
      <c r="C50" s="195" t="s">
        <v>78</v>
      </c>
      <c r="D50" s="508">
        <f>'Authorized Units &amp; Budget'!$D$26:$F$26/4</f>
        <v>0</v>
      </c>
      <c r="E50" s="509"/>
      <c r="F50" s="192"/>
      <c r="G50" s="194">
        <f>IHR_Dollars/4</f>
        <v>0</v>
      </c>
      <c r="H50" s="212"/>
    </row>
    <row r="51" spans="1:11" ht="15" customHeight="1" thickBot="1" x14ac:dyDescent="0.25">
      <c r="A51" s="4"/>
      <c r="B51" s="208"/>
      <c r="C51" s="195" t="s">
        <v>79</v>
      </c>
      <c r="D51" s="508">
        <f>'Authorized Units &amp; Budget'!$D$26:$F$26/4</f>
        <v>0</v>
      </c>
      <c r="E51" s="509"/>
      <c r="F51" s="192"/>
      <c r="G51" s="194">
        <f>IHR_Dollars/4</f>
        <v>0</v>
      </c>
      <c r="H51" s="213"/>
    </row>
    <row r="52" spans="1:11" ht="15" customHeight="1" thickBot="1" x14ac:dyDescent="0.3">
      <c r="A52" s="4"/>
      <c r="B52" s="208"/>
      <c r="C52" s="200" t="s">
        <v>199</v>
      </c>
      <c r="D52" s="510">
        <f>SUM(D48:D51)</f>
        <v>0</v>
      </c>
      <c r="E52" s="511"/>
      <c r="F52" s="201">
        <f>SUM(F48:F51)</f>
        <v>0</v>
      </c>
      <c r="G52" s="224">
        <f>SUM(G48:G51)</f>
        <v>0</v>
      </c>
      <c r="H52" s="225">
        <f>SUM(H48:H51)</f>
        <v>0</v>
      </c>
    </row>
    <row r="53" spans="1:11" ht="15" customHeight="1" thickBot="1" x14ac:dyDescent="0.3">
      <c r="A53" s="4"/>
      <c r="B53" s="208"/>
      <c r="C53" s="512" t="s">
        <v>206</v>
      </c>
      <c r="D53" s="513"/>
      <c r="E53" s="513"/>
      <c r="F53" s="204">
        <f>D52-F52</f>
        <v>0</v>
      </c>
      <c r="G53" s="226"/>
      <c r="H53" s="227">
        <f>G52-H52</f>
        <v>0</v>
      </c>
    </row>
    <row r="54" spans="1:11" ht="15" customHeight="1" thickBot="1" x14ac:dyDescent="0.3">
      <c r="A54" s="4"/>
      <c r="B54" s="208"/>
      <c r="C54" s="207"/>
      <c r="D54" s="207"/>
      <c r="E54" s="207"/>
      <c r="F54" s="126"/>
      <c r="G54" s="147"/>
      <c r="H54" s="147"/>
    </row>
    <row r="55" spans="1:11" ht="15" customHeight="1" thickBot="1" x14ac:dyDescent="0.3">
      <c r="A55" s="4"/>
      <c r="B55" s="208"/>
      <c r="C55" s="515" t="s">
        <v>101</v>
      </c>
      <c r="D55" s="516"/>
      <c r="E55" s="516"/>
      <c r="F55" s="516"/>
      <c r="G55" s="516"/>
      <c r="H55" s="517"/>
    </row>
    <row r="56" spans="1:11" ht="15" customHeight="1" thickBot="1" x14ac:dyDescent="0.25">
      <c r="A56" s="4"/>
      <c r="B56" s="208"/>
      <c r="C56" s="195"/>
      <c r="D56" s="514" t="s">
        <v>202</v>
      </c>
      <c r="E56" s="514"/>
      <c r="F56" s="196" t="s">
        <v>203</v>
      </c>
      <c r="G56" s="197" t="s">
        <v>204</v>
      </c>
      <c r="H56" s="198" t="s">
        <v>205</v>
      </c>
    </row>
    <row r="57" spans="1:11" ht="15" customHeight="1" thickBot="1" x14ac:dyDescent="0.25">
      <c r="A57" s="4"/>
      <c r="B57" s="208"/>
      <c r="C57" s="195" t="s">
        <v>76</v>
      </c>
      <c r="D57" s="508">
        <f>'Authorized Units &amp; Budget'!$D$31:$E$31/4</f>
        <v>0</v>
      </c>
      <c r="E57" s="509"/>
      <c r="F57" s="192"/>
      <c r="G57" s="194">
        <f>OHR_Dollars/4</f>
        <v>0</v>
      </c>
      <c r="H57" s="212"/>
    </row>
    <row r="58" spans="1:11" ht="15" customHeight="1" thickBot="1" x14ac:dyDescent="0.25">
      <c r="A58" s="4"/>
      <c r="B58" s="208"/>
      <c r="C58" s="195" t="s">
        <v>77</v>
      </c>
      <c r="D58" s="508">
        <f>'Authorized Units &amp; Budget'!$D$31:$E$31/4</f>
        <v>0</v>
      </c>
      <c r="E58" s="509"/>
      <c r="F58" s="192"/>
      <c r="G58" s="194">
        <f>OHR_Dollars/4</f>
        <v>0</v>
      </c>
      <c r="H58" s="212"/>
    </row>
    <row r="59" spans="1:11" ht="15" customHeight="1" thickBot="1" x14ac:dyDescent="0.25">
      <c r="A59" s="4"/>
      <c r="B59" s="208"/>
      <c r="C59" s="195" t="s">
        <v>78</v>
      </c>
      <c r="D59" s="508">
        <f>'Authorized Units &amp; Budget'!$D$31:$E$31/4</f>
        <v>0</v>
      </c>
      <c r="E59" s="509"/>
      <c r="F59" s="192"/>
      <c r="G59" s="194">
        <f>OHR_Dollars/4</f>
        <v>0</v>
      </c>
      <c r="H59" s="212"/>
    </row>
    <row r="60" spans="1:11" ht="15" customHeight="1" thickBot="1" x14ac:dyDescent="0.25">
      <c r="A60" s="4"/>
      <c r="B60" s="208"/>
      <c r="C60" s="195" t="s">
        <v>79</v>
      </c>
      <c r="D60" s="508">
        <f>'Authorized Units &amp; Budget'!$D$31:$E$31/4</f>
        <v>0</v>
      </c>
      <c r="E60" s="509"/>
      <c r="F60" s="192"/>
      <c r="G60" s="194">
        <f>OHR_Dollars/4</f>
        <v>0</v>
      </c>
      <c r="H60" s="213"/>
    </row>
    <row r="61" spans="1:11" ht="20.25" customHeight="1" thickBot="1" x14ac:dyDescent="0.3">
      <c r="A61" s="4"/>
      <c r="B61" s="208"/>
      <c r="C61" s="200" t="s">
        <v>199</v>
      </c>
      <c r="D61" s="510">
        <f>SUM(D57:D60)</f>
        <v>0</v>
      </c>
      <c r="E61" s="511"/>
      <c r="F61" s="201">
        <f>SUM(F57:F60)</f>
        <v>0</v>
      </c>
      <c r="G61" s="202">
        <f>SUM(G57:G60)</f>
        <v>0</v>
      </c>
      <c r="H61" s="203">
        <f>SUM(H57:H60)</f>
        <v>0</v>
      </c>
      <c r="K61" s="64"/>
    </row>
    <row r="62" spans="1:11" ht="15.75" thickBot="1" x14ac:dyDescent="0.3">
      <c r="A62" s="4"/>
      <c r="B62" s="4"/>
      <c r="C62" s="512" t="s">
        <v>206</v>
      </c>
      <c r="D62" s="513"/>
      <c r="E62" s="513"/>
      <c r="F62" s="204">
        <f>D61-F61</f>
        <v>0</v>
      </c>
      <c r="G62" s="205"/>
      <c r="H62" s="206">
        <f>G61-H61</f>
        <v>0</v>
      </c>
      <c r="K62" s="64"/>
    </row>
    <row r="63" spans="1:11" ht="15.75" thickBot="1" x14ac:dyDescent="0.3">
      <c r="A63" s="248"/>
      <c r="B63" s="248"/>
      <c r="C63" s="207"/>
      <c r="D63" s="207"/>
      <c r="E63" s="207"/>
      <c r="F63" s="126"/>
      <c r="G63" s="147"/>
      <c r="H63" s="147"/>
      <c r="K63" s="64"/>
    </row>
    <row r="64" spans="1:11" ht="15.75" thickBot="1" x14ac:dyDescent="0.3">
      <c r="A64" s="248"/>
      <c r="B64" s="248"/>
      <c r="C64" s="515" t="s">
        <v>233</v>
      </c>
      <c r="D64" s="516"/>
      <c r="E64" s="516"/>
      <c r="F64" s="516"/>
      <c r="G64" s="516"/>
      <c r="H64" s="517"/>
      <c r="K64" s="64"/>
    </row>
    <row r="65" spans="1:11" ht="15" thickBot="1" x14ac:dyDescent="0.25">
      <c r="A65" s="248"/>
      <c r="B65" s="248"/>
      <c r="C65" s="195"/>
      <c r="D65" s="514" t="s">
        <v>202</v>
      </c>
      <c r="E65" s="514"/>
      <c r="F65" s="196" t="s">
        <v>203</v>
      </c>
      <c r="G65" s="197" t="s">
        <v>204</v>
      </c>
      <c r="H65" s="198" t="s">
        <v>205</v>
      </c>
      <c r="K65" s="64"/>
    </row>
    <row r="66" spans="1:11" ht="15" thickBot="1" x14ac:dyDescent="0.25">
      <c r="A66" s="248"/>
      <c r="B66" s="248"/>
      <c r="C66" s="195" t="s">
        <v>76</v>
      </c>
      <c r="D66" s="508">
        <f>SEHours/4</f>
        <v>0</v>
      </c>
      <c r="E66" s="509"/>
      <c r="F66" s="192"/>
      <c r="G66" s="194">
        <f>SEDollars/4</f>
        <v>0</v>
      </c>
      <c r="H66" s="212"/>
      <c r="K66" s="64"/>
    </row>
    <row r="67" spans="1:11" ht="15" thickBot="1" x14ac:dyDescent="0.25">
      <c r="A67" s="248"/>
      <c r="B67" s="248"/>
      <c r="C67" s="195" t="s">
        <v>77</v>
      </c>
      <c r="D67" s="508">
        <f>SEHours/4</f>
        <v>0</v>
      </c>
      <c r="E67" s="509"/>
      <c r="F67" s="192"/>
      <c r="G67" s="194">
        <f>SEDollars/4</f>
        <v>0</v>
      </c>
      <c r="H67" s="212"/>
      <c r="K67" s="64"/>
    </row>
    <row r="68" spans="1:11" ht="15" thickBot="1" x14ac:dyDescent="0.25">
      <c r="A68" s="248"/>
      <c r="B68" s="248"/>
      <c r="C68" s="195" t="s">
        <v>78</v>
      </c>
      <c r="D68" s="508">
        <f>SEHours/4</f>
        <v>0</v>
      </c>
      <c r="E68" s="509"/>
      <c r="F68" s="192"/>
      <c r="G68" s="194">
        <f>SEDollars/4</f>
        <v>0</v>
      </c>
      <c r="H68" s="212"/>
      <c r="K68" s="64"/>
    </row>
    <row r="69" spans="1:11" ht="15" thickBot="1" x14ac:dyDescent="0.25">
      <c r="A69" s="248"/>
      <c r="B69" s="248"/>
      <c r="C69" s="195" t="s">
        <v>79</v>
      </c>
      <c r="D69" s="508">
        <f>SEHours/4</f>
        <v>0</v>
      </c>
      <c r="E69" s="509"/>
      <c r="F69" s="192"/>
      <c r="G69" s="194">
        <f>SEDollars/4</f>
        <v>0</v>
      </c>
      <c r="H69" s="213"/>
      <c r="K69" s="64"/>
    </row>
    <row r="70" spans="1:11" ht="15.75" thickBot="1" x14ac:dyDescent="0.3">
      <c r="A70" s="248"/>
      <c r="B70" s="248"/>
      <c r="C70" s="200" t="s">
        <v>199</v>
      </c>
      <c r="D70" s="510">
        <f>SUM(D66:D69)</f>
        <v>0</v>
      </c>
      <c r="E70" s="511"/>
      <c r="F70" s="201">
        <f>SUM(F66:F69)</f>
        <v>0</v>
      </c>
      <c r="G70" s="202">
        <f>SUM(G66:G69)</f>
        <v>0</v>
      </c>
      <c r="H70" s="203">
        <f>SUM(H66:H69)</f>
        <v>0</v>
      </c>
      <c r="K70" s="64"/>
    </row>
    <row r="71" spans="1:11" ht="15.75" thickBot="1" x14ac:dyDescent="0.3">
      <c r="A71" s="248"/>
      <c r="B71" s="248"/>
      <c r="C71" s="512" t="s">
        <v>206</v>
      </c>
      <c r="D71" s="513"/>
      <c r="E71" s="513"/>
      <c r="F71" s="204">
        <f>D70-F70</f>
        <v>0</v>
      </c>
      <c r="G71" s="205"/>
      <c r="H71" s="206">
        <f>G70-H70</f>
        <v>0</v>
      </c>
      <c r="K71" s="64"/>
    </row>
    <row r="72" spans="1:11" ht="15.75" thickBot="1" x14ac:dyDescent="0.3">
      <c r="A72" s="248"/>
      <c r="B72" s="248"/>
      <c r="C72" s="207"/>
      <c r="D72" s="207"/>
      <c r="E72" s="207"/>
      <c r="F72" s="126"/>
      <c r="G72" s="147"/>
      <c r="H72" s="147"/>
      <c r="K72" s="64"/>
    </row>
    <row r="73" spans="1:11" ht="15.75" thickBot="1" x14ac:dyDescent="0.3">
      <c r="A73" s="248"/>
      <c r="B73" s="248"/>
      <c r="C73" s="515" t="s">
        <v>241</v>
      </c>
      <c r="D73" s="516"/>
      <c r="E73" s="516"/>
      <c r="F73" s="516"/>
      <c r="G73" s="516"/>
      <c r="H73" s="517"/>
      <c r="K73" s="64"/>
    </row>
    <row r="74" spans="1:11" ht="15" thickBot="1" x14ac:dyDescent="0.25">
      <c r="A74" s="248"/>
      <c r="B74" s="248"/>
      <c r="C74" s="195"/>
      <c r="D74" s="514" t="s">
        <v>202</v>
      </c>
      <c r="E74" s="514"/>
      <c r="F74" s="196" t="s">
        <v>203</v>
      </c>
      <c r="G74" s="197" t="s">
        <v>204</v>
      </c>
      <c r="H74" s="198" t="s">
        <v>205</v>
      </c>
      <c r="K74" s="64"/>
    </row>
    <row r="75" spans="1:11" ht="15" thickBot="1" x14ac:dyDescent="0.25">
      <c r="A75" s="248"/>
      <c r="B75" s="248"/>
      <c r="C75" s="195" t="s">
        <v>76</v>
      </c>
      <c r="D75" s="508">
        <f>EAHours/4</f>
        <v>0</v>
      </c>
      <c r="E75" s="509"/>
      <c r="F75" s="192"/>
      <c r="G75" s="194">
        <f>EADollars/4</f>
        <v>0</v>
      </c>
      <c r="H75" s="212"/>
      <c r="K75" s="64"/>
    </row>
    <row r="76" spans="1:11" ht="15" thickBot="1" x14ac:dyDescent="0.25">
      <c r="A76" s="248"/>
      <c r="B76" s="248"/>
      <c r="C76" s="195" t="s">
        <v>77</v>
      </c>
      <c r="D76" s="508">
        <f>EAHours/4</f>
        <v>0</v>
      </c>
      <c r="E76" s="509"/>
      <c r="F76" s="192"/>
      <c r="G76" s="194">
        <f>EADollars/4</f>
        <v>0</v>
      </c>
      <c r="H76" s="212"/>
      <c r="K76" s="64"/>
    </row>
    <row r="77" spans="1:11" ht="15" thickBot="1" x14ac:dyDescent="0.25">
      <c r="A77" s="248"/>
      <c r="B77" s="248"/>
      <c r="C77" s="195" t="s">
        <v>78</v>
      </c>
      <c r="D77" s="508">
        <f>EAHours/4</f>
        <v>0</v>
      </c>
      <c r="E77" s="509"/>
      <c r="F77" s="192"/>
      <c r="G77" s="194">
        <f>EADollars/4</f>
        <v>0</v>
      </c>
      <c r="H77" s="212"/>
      <c r="K77" s="64"/>
    </row>
    <row r="78" spans="1:11" ht="15" thickBot="1" x14ac:dyDescent="0.25">
      <c r="A78" s="248"/>
      <c r="B78" s="248"/>
      <c r="C78" s="195" t="s">
        <v>79</v>
      </c>
      <c r="D78" s="508">
        <f>EAHours/4</f>
        <v>0</v>
      </c>
      <c r="E78" s="509"/>
      <c r="F78" s="192"/>
      <c r="G78" s="194">
        <f>EADollars/4</f>
        <v>0</v>
      </c>
      <c r="H78" s="213"/>
      <c r="K78" s="64"/>
    </row>
    <row r="79" spans="1:11" ht="15.75" thickBot="1" x14ac:dyDescent="0.3">
      <c r="A79" s="248"/>
      <c r="B79" s="248"/>
      <c r="C79" s="200" t="s">
        <v>199</v>
      </c>
      <c r="D79" s="510">
        <f>SUM(D75:D78)</f>
        <v>0</v>
      </c>
      <c r="E79" s="511"/>
      <c r="F79" s="201">
        <f>SUM(F75:F78)</f>
        <v>0</v>
      </c>
      <c r="G79" s="202">
        <f>SUM(G75:G78)</f>
        <v>0</v>
      </c>
      <c r="H79" s="203">
        <f>SUM(H75:H78)</f>
        <v>0</v>
      </c>
      <c r="K79" s="64"/>
    </row>
    <row r="80" spans="1:11" ht="15.75" thickBot="1" x14ac:dyDescent="0.3">
      <c r="A80" s="248"/>
      <c r="B80" s="248"/>
      <c r="C80" s="512" t="s">
        <v>206</v>
      </c>
      <c r="D80" s="513"/>
      <c r="E80" s="513"/>
      <c r="F80" s="204">
        <f>D79-F79</f>
        <v>0</v>
      </c>
      <c r="G80" s="205"/>
      <c r="H80" s="206">
        <f>G79-H79</f>
        <v>0</v>
      </c>
      <c r="K80" s="64"/>
    </row>
    <row r="81" spans="1:11" ht="15.75" thickBot="1" x14ac:dyDescent="0.3">
      <c r="A81" s="248"/>
      <c r="B81" s="248"/>
      <c r="C81" s="207"/>
      <c r="D81" s="207"/>
      <c r="E81" s="207"/>
      <c r="F81" s="126"/>
      <c r="G81" s="147"/>
      <c r="H81" s="29"/>
      <c r="K81" s="64"/>
    </row>
    <row r="82" spans="1:11" ht="16.5" thickBot="1" x14ac:dyDescent="0.25">
      <c r="A82" s="4"/>
      <c r="B82" s="4"/>
      <c r="C82" s="498" t="s">
        <v>208</v>
      </c>
      <c r="D82" s="499"/>
      <c r="E82" s="499"/>
      <c r="F82" s="499"/>
      <c r="G82" s="499"/>
      <c r="H82" s="500"/>
      <c r="K82" s="64"/>
    </row>
    <row r="83" spans="1:11" ht="15" thickBot="1" x14ac:dyDescent="0.25">
      <c r="A83" s="4"/>
      <c r="B83" s="4"/>
      <c r="C83" s="81"/>
      <c r="D83" s="501" t="s">
        <v>70</v>
      </c>
      <c r="E83" s="502"/>
      <c r="F83" s="503"/>
      <c r="G83" s="504" t="s">
        <v>71</v>
      </c>
      <c r="H83" s="505"/>
      <c r="K83" s="64"/>
    </row>
    <row r="84" spans="1:11" ht="15" thickBot="1" x14ac:dyDescent="0.25">
      <c r="A84" s="4"/>
      <c r="B84" s="4"/>
      <c r="C84" s="89" t="s">
        <v>72</v>
      </c>
      <c r="D84" s="493">
        <f>ESS_Purchases/4</f>
        <v>0</v>
      </c>
      <c r="E84" s="494"/>
      <c r="F84" s="495"/>
      <c r="G84" s="506"/>
      <c r="H84" s="507"/>
      <c r="K84" s="64"/>
    </row>
    <row r="85" spans="1:11" ht="15" thickBot="1" x14ac:dyDescent="0.25">
      <c r="A85" s="4"/>
      <c r="B85" s="4"/>
      <c r="C85" s="89" t="s">
        <v>73</v>
      </c>
      <c r="D85" s="493">
        <f>ESS_Purchases/4</f>
        <v>0</v>
      </c>
      <c r="E85" s="494"/>
      <c r="F85" s="495"/>
      <c r="G85" s="506"/>
      <c r="H85" s="507"/>
      <c r="K85" s="64"/>
    </row>
    <row r="86" spans="1:11" ht="15" thickBot="1" x14ac:dyDescent="0.25">
      <c r="A86" s="4"/>
      <c r="B86" s="4"/>
      <c r="C86" s="89" t="s">
        <v>74</v>
      </c>
      <c r="D86" s="493">
        <f>ESS_Purchases/4</f>
        <v>0</v>
      </c>
      <c r="E86" s="494"/>
      <c r="F86" s="495"/>
      <c r="G86" s="506"/>
      <c r="H86" s="507"/>
      <c r="K86" s="64"/>
    </row>
    <row r="87" spans="1:11" ht="15" thickBot="1" x14ac:dyDescent="0.25">
      <c r="A87" s="4"/>
      <c r="B87" s="4"/>
      <c r="C87" s="89" t="s">
        <v>75</v>
      </c>
      <c r="D87" s="493">
        <f>ESS_Purchases/4</f>
        <v>0</v>
      </c>
      <c r="E87" s="494"/>
      <c r="F87" s="495"/>
      <c r="G87" s="496"/>
      <c r="H87" s="497"/>
      <c r="K87" s="64"/>
    </row>
    <row r="88" spans="1:11" ht="15.75" thickBot="1" x14ac:dyDescent="0.3">
      <c r="A88" s="4"/>
      <c r="B88" s="4"/>
      <c r="C88" s="85" t="s">
        <v>198</v>
      </c>
      <c r="D88" s="518">
        <f>SUM(D84:F87)</f>
        <v>0</v>
      </c>
      <c r="E88" s="519"/>
      <c r="F88" s="520"/>
      <c r="G88" s="521">
        <f>SUM(G84:H87)</f>
        <v>0</v>
      </c>
      <c r="H88" s="522"/>
      <c r="K88" s="64"/>
    </row>
    <row r="89" spans="1:11" ht="15.75" thickBot="1" x14ac:dyDescent="0.3">
      <c r="A89" s="4"/>
      <c r="B89" s="4"/>
      <c r="C89" s="86"/>
      <c r="D89" s="238"/>
      <c r="E89" s="238"/>
      <c r="F89" s="238"/>
      <c r="G89" s="239"/>
      <c r="H89" s="239"/>
      <c r="K89" s="64"/>
    </row>
    <row r="90" spans="1:11" ht="16.5" thickBot="1" x14ac:dyDescent="0.25">
      <c r="A90" s="4"/>
      <c r="B90" s="4"/>
      <c r="C90" s="498" t="s">
        <v>222</v>
      </c>
      <c r="D90" s="499"/>
      <c r="E90" s="499"/>
      <c r="F90" s="499"/>
      <c r="G90" s="499"/>
      <c r="H90" s="500"/>
      <c r="K90" s="64"/>
    </row>
    <row r="91" spans="1:11" ht="15" thickBot="1" x14ac:dyDescent="0.25">
      <c r="A91" s="4"/>
      <c r="B91" s="4"/>
      <c r="C91" s="81"/>
      <c r="D91" s="501" t="s">
        <v>70</v>
      </c>
      <c r="E91" s="502"/>
      <c r="F91" s="503"/>
      <c r="G91" s="504" t="s">
        <v>71</v>
      </c>
      <c r="H91" s="505"/>
      <c r="K91" s="64"/>
    </row>
    <row r="92" spans="1:11" ht="15" thickBot="1" x14ac:dyDescent="0.25">
      <c r="A92" s="4"/>
      <c r="B92" s="4"/>
      <c r="C92" s="89" t="s">
        <v>72</v>
      </c>
      <c r="D92" s="493">
        <f>Total_SCS/4</f>
        <v>0</v>
      </c>
      <c r="E92" s="494"/>
      <c r="F92" s="495"/>
      <c r="G92" s="506"/>
      <c r="H92" s="507"/>
      <c r="K92" s="64"/>
    </row>
    <row r="93" spans="1:11" ht="15" thickBot="1" x14ac:dyDescent="0.25">
      <c r="A93" s="4"/>
      <c r="B93" s="4"/>
      <c r="C93" s="89" t="s">
        <v>73</v>
      </c>
      <c r="D93" s="493">
        <f>Total_SCS/4</f>
        <v>0</v>
      </c>
      <c r="E93" s="494"/>
      <c r="F93" s="495"/>
      <c r="G93" s="506"/>
      <c r="H93" s="507"/>
      <c r="K93" s="64"/>
    </row>
    <row r="94" spans="1:11" ht="15" thickBot="1" x14ac:dyDescent="0.25">
      <c r="A94" s="4"/>
      <c r="B94" s="4"/>
      <c r="C94" s="89" t="s">
        <v>74</v>
      </c>
      <c r="D94" s="493">
        <f>Total_SCS/4</f>
        <v>0</v>
      </c>
      <c r="E94" s="494"/>
      <c r="F94" s="495"/>
      <c r="G94" s="506"/>
      <c r="H94" s="507"/>
      <c r="K94" s="64"/>
    </row>
    <row r="95" spans="1:11" ht="15" thickBot="1" x14ac:dyDescent="0.25">
      <c r="A95" s="4"/>
      <c r="B95" s="4"/>
      <c r="C95" s="89" t="s">
        <v>75</v>
      </c>
      <c r="D95" s="493">
        <f>Total_SCS/4</f>
        <v>0</v>
      </c>
      <c r="E95" s="494"/>
      <c r="F95" s="495"/>
      <c r="G95" s="496"/>
      <c r="H95" s="497"/>
      <c r="K95" s="64"/>
    </row>
    <row r="96" spans="1:11" ht="15.75" thickBot="1" x14ac:dyDescent="0.3">
      <c r="A96" s="4"/>
      <c r="B96" s="4"/>
      <c r="C96" s="85" t="s">
        <v>198</v>
      </c>
      <c r="D96" s="518">
        <f>SUM(D92:F95)</f>
        <v>0</v>
      </c>
      <c r="E96" s="519"/>
      <c r="F96" s="520"/>
      <c r="G96" s="521">
        <f>SUM(G92:H95)</f>
        <v>0</v>
      </c>
      <c r="H96" s="522"/>
      <c r="K96" s="64"/>
    </row>
    <row r="97" spans="1:11" ht="15" x14ac:dyDescent="0.25">
      <c r="A97" s="4"/>
      <c r="B97" s="4"/>
      <c r="C97" s="86"/>
      <c r="D97" s="238"/>
      <c r="E97" s="238"/>
      <c r="F97" s="238"/>
      <c r="G97" s="239"/>
      <c r="H97" s="239"/>
      <c r="K97" s="64"/>
    </row>
    <row r="98" spans="1:11" ht="15" x14ac:dyDescent="0.25">
      <c r="A98" s="4"/>
      <c r="B98" s="4"/>
      <c r="C98" s="86"/>
      <c r="D98" s="238"/>
      <c r="E98" s="238"/>
      <c r="F98" s="238"/>
      <c r="G98" s="239"/>
      <c r="H98" s="239"/>
      <c r="K98" s="64"/>
    </row>
    <row r="99" spans="1:11" ht="15" x14ac:dyDescent="0.25">
      <c r="A99" s="4"/>
      <c r="B99" s="4"/>
      <c r="C99" s="86"/>
      <c r="D99" s="238"/>
      <c r="E99" s="238"/>
      <c r="F99" s="238"/>
      <c r="G99" s="239"/>
      <c r="H99" s="239"/>
      <c r="K99" s="64"/>
    </row>
    <row r="100" spans="1:11" ht="11.25" customHeight="1" x14ac:dyDescent="0.2">
      <c r="A100" s="4"/>
      <c r="B100" s="4"/>
      <c r="C100" s="4"/>
      <c r="D100" s="4"/>
      <c r="E100" s="4"/>
      <c r="F100" s="4"/>
      <c r="G100" s="4"/>
      <c r="K100" s="64"/>
    </row>
    <row r="101" spans="1:11" ht="5.25" customHeight="1" thickBot="1" x14ac:dyDescent="0.25">
      <c r="A101" s="4"/>
      <c r="B101" s="4"/>
      <c r="C101" s="4"/>
      <c r="D101" s="4"/>
      <c r="E101" s="4"/>
      <c r="F101" s="4"/>
      <c r="G101" s="4"/>
      <c r="K101" s="64"/>
    </row>
    <row r="102" spans="1:11" ht="36" customHeight="1" x14ac:dyDescent="0.25">
      <c r="A102" s="4"/>
      <c r="B102" s="208"/>
      <c r="C102" s="532" t="s">
        <v>207</v>
      </c>
      <c r="D102" s="533"/>
      <c r="E102" s="533"/>
      <c r="F102" s="533"/>
      <c r="G102" s="534">
        <f>Total_Budget-(H34+H43+H52+H61+H70+H79+G88+G96)</f>
        <v>0</v>
      </c>
      <c r="H102" s="535"/>
      <c r="J102" s="76">
        <f>Total_Budget-G102</f>
        <v>0</v>
      </c>
    </row>
    <row r="103" spans="1:11" ht="35.25" customHeight="1" thickBot="1" x14ac:dyDescent="0.3">
      <c r="A103" s="4"/>
      <c r="B103" s="208"/>
      <c r="C103" s="551" t="s">
        <v>242</v>
      </c>
      <c r="D103" s="552"/>
      <c r="E103" s="552"/>
      <c r="F103" s="552"/>
      <c r="G103" s="553" t="e">
        <f>J102/Total_Budget</f>
        <v>#DIV/0!</v>
      </c>
      <c r="H103" s="554"/>
    </row>
    <row r="104" spans="1:11" ht="30" customHeight="1" x14ac:dyDescent="0.2">
      <c r="A104" s="4"/>
      <c r="B104" s="208"/>
      <c r="C104" s="555" t="s">
        <v>145</v>
      </c>
      <c r="D104" s="555"/>
      <c r="E104" s="555"/>
      <c r="F104" s="555"/>
      <c r="G104" s="555"/>
      <c r="H104" s="555"/>
    </row>
    <row r="105" spans="1:11" ht="15" customHeight="1" thickBot="1" x14ac:dyDescent="0.25">
      <c r="A105" s="4"/>
      <c r="B105" s="208"/>
      <c r="C105" s="28"/>
      <c r="D105" s="28"/>
      <c r="E105" s="28"/>
      <c r="F105" s="28"/>
      <c r="G105" s="4"/>
      <c r="H105" s="4"/>
    </row>
    <row r="106" spans="1:11" ht="15" customHeight="1" thickBot="1" x14ac:dyDescent="0.25">
      <c r="A106" s="4"/>
      <c r="B106" s="208"/>
      <c r="C106" s="556" t="s">
        <v>83</v>
      </c>
      <c r="D106" s="557"/>
      <c r="E106" s="557"/>
      <c r="F106" s="557"/>
      <c r="G106" s="557"/>
      <c r="H106" s="558"/>
    </row>
    <row r="107" spans="1:11" ht="15" customHeight="1" x14ac:dyDescent="0.2">
      <c r="A107" s="4"/>
      <c r="B107" s="208"/>
      <c r="C107" s="209"/>
      <c r="D107" s="209"/>
      <c r="E107" s="209"/>
      <c r="F107" s="209"/>
      <c r="G107" s="209"/>
      <c r="H107" s="209"/>
    </row>
    <row r="108" spans="1:11" ht="15" customHeight="1" x14ac:dyDescent="0.2">
      <c r="A108" s="4"/>
      <c r="B108" s="208"/>
      <c r="G108" s="4"/>
      <c r="H108" s="4"/>
    </row>
    <row r="109" spans="1:11" ht="15" customHeight="1" thickBot="1" x14ac:dyDescent="0.25">
      <c r="A109" s="4"/>
      <c r="B109" s="208"/>
      <c r="G109" s="4"/>
      <c r="H109" s="4"/>
    </row>
    <row r="110" spans="1:11" ht="15" customHeight="1" x14ac:dyDescent="0.2">
      <c r="A110" s="4"/>
      <c r="B110" s="208"/>
      <c r="C110" s="524"/>
      <c r="D110" s="525"/>
      <c r="E110" s="526"/>
      <c r="G110" s="547"/>
      <c r="H110" s="548"/>
    </row>
    <row r="111" spans="1:11" ht="15" customHeight="1" thickBot="1" x14ac:dyDescent="0.25">
      <c r="A111" s="4"/>
      <c r="B111" s="208"/>
      <c r="C111" s="527"/>
      <c r="D111" s="528"/>
      <c r="E111" s="529"/>
      <c r="G111" s="549"/>
      <c r="H111" s="550"/>
    </row>
    <row r="112" spans="1:11" ht="15" customHeight="1" x14ac:dyDescent="0.2">
      <c r="A112" s="4"/>
      <c r="B112" s="208"/>
      <c r="C112" s="559" t="s">
        <v>84</v>
      </c>
      <c r="D112" s="559"/>
      <c r="E112" s="559"/>
      <c r="G112" s="523" t="s">
        <v>82</v>
      </c>
      <c r="H112" s="523"/>
    </row>
    <row r="113" spans="1:8" ht="15" customHeight="1" x14ac:dyDescent="0.2">
      <c r="A113" s="4"/>
      <c r="B113" s="208"/>
      <c r="G113" s="209"/>
      <c r="H113" s="209"/>
    </row>
    <row r="114" spans="1:8" ht="15" customHeight="1" x14ac:dyDescent="0.2">
      <c r="A114" s="4"/>
      <c r="B114" s="208"/>
      <c r="G114" s="4"/>
      <c r="H114" s="4"/>
    </row>
    <row r="115" spans="1:8" ht="15" customHeight="1" x14ac:dyDescent="0.2">
      <c r="A115" s="4"/>
      <c r="B115" s="208"/>
      <c r="G115" s="4"/>
      <c r="H115" s="4"/>
    </row>
    <row r="116" spans="1:8" ht="20.25" customHeight="1" thickBot="1" x14ac:dyDescent="0.25">
      <c r="A116" s="4"/>
      <c r="B116" s="208"/>
      <c r="C116" s="530"/>
      <c r="D116" s="530"/>
      <c r="E116" s="530"/>
      <c r="G116" s="531"/>
      <c r="H116" s="531"/>
    </row>
    <row r="117" spans="1:8" ht="16.5" customHeight="1" x14ac:dyDescent="0.2">
      <c r="A117" s="4"/>
      <c r="B117" s="4"/>
      <c r="C117" s="560" t="s">
        <v>81</v>
      </c>
      <c r="D117" s="560"/>
      <c r="G117" s="530" t="s">
        <v>0</v>
      </c>
      <c r="H117" s="530"/>
    </row>
    <row r="118" spans="1:8" x14ac:dyDescent="0.2">
      <c r="A118" s="4"/>
    </row>
    <row r="119" spans="1:8" x14ac:dyDescent="0.2">
      <c r="A119" s="4"/>
    </row>
    <row r="120" spans="1:8" x14ac:dyDescent="0.2">
      <c r="A120" s="4"/>
    </row>
    <row r="121" spans="1:8" x14ac:dyDescent="0.2">
      <c r="A121" s="4"/>
    </row>
    <row r="122" spans="1:8" x14ac:dyDescent="0.2">
      <c r="A122" s="4"/>
    </row>
    <row r="123" spans="1:8" x14ac:dyDescent="0.2">
      <c r="A123" s="4"/>
    </row>
    <row r="124" spans="1:8" x14ac:dyDescent="0.2">
      <c r="A124" s="4"/>
    </row>
    <row r="125" spans="1:8" x14ac:dyDescent="0.2">
      <c r="A125" s="4"/>
    </row>
    <row r="126" spans="1:8" x14ac:dyDescent="0.2">
      <c r="A126" s="4"/>
    </row>
    <row r="127" spans="1:8" x14ac:dyDescent="0.2">
      <c r="A127" s="4"/>
    </row>
    <row r="128" spans="1:8" x14ac:dyDescent="0.2">
      <c r="A128" s="4"/>
    </row>
    <row r="129" spans="1:1" x14ac:dyDescent="0.2">
      <c r="A129" s="4"/>
    </row>
    <row r="130" spans="1:1" x14ac:dyDescent="0.2">
      <c r="A130" s="4"/>
    </row>
    <row r="131" spans="1:1" x14ac:dyDescent="0.2">
      <c r="A131" s="4"/>
    </row>
    <row r="132" spans="1:1" x14ac:dyDescent="0.2">
      <c r="A132" s="4"/>
    </row>
    <row r="133" spans="1:1" x14ac:dyDescent="0.2">
      <c r="A133" s="4"/>
    </row>
    <row r="134" spans="1:1" x14ac:dyDescent="0.2">
      <c r="A134" s="4"/>
    </row>
    <row r="135" spans="1:1" x14ac:dyDescent="0.2">
      <c r="A135" s="4"/>
    </row>
  </sheetData>
  <sheetProtection password="E7F0" sheet="1" objects="1" scenarios="1"/>
  <mergeCells count="117">
    <mergeCell ref="G117:H117"/>
    <mergeCell ref="G110:H111"/>
    <mergeCell ref="C103:F103"/>
    <mergeCell ref="G103:H103"/>
    <mergeCell ref="C104:H104"/>
    <mergeCell ref="C106:H106"/>
    <mergeCell ref="C112:E112"/>
    <mergeCell ref="C117:D117"/>
    <mergeCell ref="C64:H64"/>
    <mergeCell ref="D65:E65"/>
    <mergeCell ref="D66:E66"/>
    <mergeCell ref="D67:E67"/>
    <mergeCell ref="D68:E68"/>
    <mergeCell ref="D69:E69"/>
    <mergeCell ref="D70:E70"/>
    <mergeCell ref="C71:E71"/>
    <mergeCell ref="C73:H73"/>
    <mergeCell ref="D74:E74"/>
    <mergeCell ref="D75:E75"/>
    <mergeCell ref="D76:E76"/>
    <mergeCell ref="D77:E77"/>
    <mergeCell ref="D78:E78"/>
    <mergeCell ref="D79:E79"/>
    <mergeCell ref="C80:E80"/>
    <mergeCell ref="D8:E8"/>
    <mergeCell ref="G8:H8"/>
    <mergeCell ref="D9:E9"/>
    <mergeCell ref="G16:H16"/>
    <mergeCell ref="C17:F17"/>
    <mergeCell ref="D41:E41"/>
    <mergeCell ref="D42:E42"/>
    <mergeCell ref="C16:F16"/>
    <mergeCell ref="C5:E5"/>
    <mergeCell ref="G5:H5"/>
    <mergeCell ref="C6:E6"/>
    <mergeCell ref="G6:H6"/>
    <mergeCell ref="C12:H12"/>
    <mergeCell ref="C14:H14"/>
    <mergeCell ref="G7:H7"/>
    <mergeCell ref="G17:H17"/>
    <mergeCell ref="C19:H19"/>
    <mergeCell ref="D20:F20"/>
    <mergeCell ref="G20:H20"/>
    <mergeCell ref="D21:F21"/>
    <mergeCell ref="G21:H21"/>
    <mergeCell ref="G23:H23"/>
    <mergeCell ref="D24:F24"/>
    <mergeCell ref="G24:H24"/>
    <mergeCell ref="C116:E116"/>
    <mergeCell ref="G116:H116"/>
    <mergeCell ref="D92:F92"/>
    <mergeCell ref="G92:H92"/>
    <mergeCell ref="D93:F93"/>
    <mergeCell ref="G93:H93"/>
    <mergeCell ref="D94:F94"/>
    <mergeCell ref="C102:F102"/>
    <mergeCell ref="G102:H102"/>
    <mergeCell ref="G94:H94"/>
    <mergeCell ref="D95:F95"/>
    <mergeCell ref="G95:H95"/>
    <mergeCell ref="D48:E48"/>
    <mergeCell ref="D51:E51"/>
    <mergeCell ref="D52:E52"/>
    <mergeCell ref="D58:E58"/>
    <mergeCell ref="G112:H112"/>
    <mergeCell ref="C90:H90"/>
    <mergeCell ref="D96:F96"/>
    <mergeCell ref="G96:H96"/>
    <mergeCell ref="C110:E111"/>
    <mergeCell ref="C53:E53"/>
    <mergeCell ref="D91:F91"/>
    <mergeCell ref="G91:H91"/>
    <mergeCell ref="D59:E59"/>
    <mergeCell ref="D60:E60"/>
    <mergeCell ref="D61:E61"/>
    <mergeCell ref="C62:E62"/>
    <mergeCell ref="D49:E49"/>
    <mergeCell ref="D50:E50"/>
    <mergeCell ref="D88:F88"/>
    <mergeCell ref="G88:H88"/>
    <mergeCell ref="D85:F85"/>
    <mergeCell ref="G85:H85"/>
    <mergeCell ref="D86:F86"/>
    <mergeCell ref="G86:H86"/>
    <mergeCell ref="D25:F25"/>
    <mergeCell ref="G25:H25"/>
    <mergeCell ref="C37:H37"/>
    <mergeCell ref="D38:E38"/>
    <mergeCell ref="D39:E39"/>
    <mergeCell ref="C28:H28"/>
    <mergeCell ref="D29:E29"/>
    <mergeCell ref="D30:E30"/>
    <mergeCell ref="D31:E31"/>
    <mergeCell ref="C2:H2"/>
    <mergeCell ref="C3:H3"/>
    <mergeCell ref="D87:F87"/>
    <mergeCell ref="G87:H87"/>
    <mergeCell ref="C82:H82"/>
    <mergeCell ref="D83:F83"/>
    <mergeCell ref="G83:H83"/>
    <mergeCell ref="D84:F84"/>
    <mergeCell ref="G84:H84"/>
    <mergeCell ref="D23:F23"/>
    <mergeCell ref="D22:F22"/>
    <mergeCell ref="G22:H22"/>
    <mergeCell ref="D32:E32"/>
    <mergeCell ref="D33:E33"/>
    <mergeCell ref="D34:E34"/>
    <mergeCell ref="C35:E35"/>
    <mergeCell ref="D40:E40"/>
    <mergeCell ref="D47:E47"/>
    <mergeCell ref="C55:H55"/>
    <mergeCell ref="D56:E56"/>
    <mergeCell ref="D43:E43"/>
    <mergeCell ref="C44:E44"/>
    <mergeCell ref="C46:H46"/>
    <mergeCell ref="D57:E57"/>
  </mergeCells>
  <phoneticPr fontId="0" type="noConversion"/>
  <dataValidations count="3">
    <dataValidation allowBlank="1" showInputMessage="1" showErrorMessage="1" promptTitle="Quarterly Report - From Date" prompt="Enter the begin date for the period of this quarterly report.  Be sure to change the date for each quarterly report." sqref="D8"/>
    <dataValidation allowBlank="1" showInputMessage="1" showErrorMessage="1" promptTitle="Quarterly Report- To Date" prompt="Enter the end date for the period of this quarterly report.  Be sure to change the date for each quarterly report." sqref="G8"/>
    <dataValidation type="list" allowBlank="1" showInputMessage="1" showErrorMessage="1" promptTitle="Quarter Number" prompt="Select the appropriate Quarter Number from the drop-down list.  Be sure to change the number for each quarterly report." sqref="D9">
      <formula1>$J$6:$J$9</formula1>
    </dataValidation>
  </dataValidations>
  <printOptions horizontalCentered="1"/>
  <pageMargins left="0.75" right="0.75" top="1" bottom="1" header="0.5" footer="0.5"/>
  <pageSetup scale="59" fitToHeight="2" orientation="portrait" r:id="rId1"/>
  <headerFooter alignWithMargins="0">
    <oddHeader>&amp;L&amp;8Texas Department of 
Aging and Disability Services&amp;R&amp;8DBMD CDS Budget
Quarterly Report
May 2010</oddHeader>
    <oddFooter>&amp;R&amp;8Date and Time Created
&amp;D &amp;T</oddFooter>
  </headerFooter>
  <rowBreaks count="1" manualBreakCount="1">
    <brk id="116"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75" workbookViewId="0">
      <selection activeCell="J10" sqref="J10"/>
    </sheetView>
  </sheetViews>
  <sheetFormatPr defaultRowHeight="12.75" x14ac:dyDescent="0.2"/>
  <cols>
    <col min="1" max="1" width="4.140625" style="136" customWidth="1"/>
    <col min="2" max="2" width="3" style="136" customWidth="1"/>
    <col min="3" max="3" width="39.85546875" style="136" customWidth="1"/>
    <col min="4" max="4" width="5.7109375" style="136" customWidth="1"/>
    <col min="5" max="5" width="3" style="136" customWidth="1"/>
    <col min="6" max="6" width="39.7109375" style="136" customWidth="1"/>
    <col min="7" max="7" width="4.140625" style="136" customWidth="1"/>
    <col min="8" max="8" width="14" style="136" customWidth="1"/>
    <col min="9" max="9" width="4" style="136" customWidth="1"/>
    <col min="10" max="16384" width="9.140625" style="136"/>
  </cols>
  <sheetData>
    <row r="1" spans="1:9" x14ac:dyDescent="0.2">
      <c r="A1" s="62"/>
      <c r="B1" s="131"/>
      <c r="C1" s="131"/>
      <c r="D1" s="131"/>
      <c r="E1" s="62"/>
      <c r="F1" s="62"/>
      <c r="G1" s="62"/>
      <c r="H1" s="62"/>
      <c r="I1" s="62"/>
    </row>
    <row r="2" spans="1:9" ht="60" customHeight="1" x14ac:dyDescent="0.2">
      <c r="B2" s="383" t="s">
        <v>226</v>
      </c>
      <c r="C2" s="383"/>
      <c r="D2" s="383"/>
      <c r="E2" s="383"/>
      <c r="F2" s="383"/>
    </row>
    <row r="3" spans="1:9" ht="15.75" x14ac:dyDescent="0.25">
      <c r="B3" s="561" t="s">
        <v>146</v>
      </c>
      <c r="C3" s="561"/>
      <c r="D3" s="561"/>
      <c r="E3" s="561"/>
      <c r="F3" s="561"/>
    </row>
    <row r="4" spans="1:9" ht="15.75" x14ac:dyDescent="0.25">
      <c r="B4" s="131"/>
      <c r="C4" s="182"/>
      <c r="D4" s="182"/>
    </row>
    <row r="5" spans="1:9" ht="15.75" x14ac:dyDescent="0.25">
      <c r="B5" s="562" t="s">
        <v>147</v>
      </c>
      <c r="C5" s="562"/>
      <c r="D5" s="562"/>
      <c r="E5" s="562"/>
      <c r="F5" s="562"/>
    </row>
    <row r="6" spans="1:9" ht="15.75" x14ac:dyDescent="0.25">
      <c r="B6" s="183"/>
      <c r="C6" s="183"/>
      <c r="D6" s="183"/>
      <c r="E6" s="183"/>
      <c r="F6" s="183"/>
    </row>
    <row r="7" spans="1:9" ht="15.75" x14ac:dyDescent="0.25">
      <c r="B7" s="183"/>
      <c r="C7" s="183"/>
      <c r="D7" s="183"/>
      <c r="E7" s="183"/>
      <c r="F7" s="183"/>
    </row>
    <row r="8" spans="1:9" ht="12.75" customHeight="1" x14ac:dyDescent="0.25">
      <c r="B8" s="183"/>
      <c r="C8" s="183"/>
      <c r="D8" s="183"/>
      <c r="E8" s="183"/>
      <c r="F8" s="183"/>
    </row>
    <row r="9" spans="1:9" ht="15.75" x14ac:dyDescent="0.25">
      <c r="B9" s="561" t="s">
        <v>148</v>
      </c>
      <c r="C9" s="561"/>
      <c r="D9" s="561"/>
      <c r="E9" s="561"/>
      <c r="F9" s="561"/>
    </row>
    <row r="10" spans="1:9" ht="9" customHeight="1" x14ac:dyDescent="0.2">
      <c r="B10" s="131"/>
      <c r="C10" s="131"/>
      <c r="D10" s="131"/>
      <c r="E10" s="184"/>
    </row>
    <row r="11" spans="1:9" x14ac:dyDescent="0.2">
      <c r="A11" s="185"/>
      <c r="B11" s="563" t="s">
        <v>149</v>
      </c>
      <c r="C11" s="563"/>
      <c r="D11" s="185"/>
      <c r="E11" s="563" t="s">
        <v>150</v>
      </c>
      <c r="F11" s="563"/>
      <c r="G11" s="185"/>
    </row>
    <row r="12" spans="1:9" x14ac:dyDescent="0.2">
      <c r="A12" s="185"/>
      <c r="B12" s="568" t="s">
        <v>151</v>
      </c>
      <c r="C12" s="568"/>
      <c r="D12" s="133"/>
      <c r="E12" s="564" t="s">
        <v>152</v>
      </c>
      <c r="F12" s="564"/>
      <c r="G12" s="185"/>
    </row>
    <row r="13" spans="1:9" x14ac:dyDescent="0.2">
      <c r="A13" s="185"/>
      <c r="B13" s="185"/>
      <c r="C13" s="185" t="s">
        <v>153</v>
      </c>
      <c r="D13" s="185"/>
      <c r="E13" s="185"/>
      <c r="F13" s="185" t="s">
        <v>154</v>
      </c>
      <c r="G13" s="185"/>
    </row>
    <row r="14" spans="1:9" x14ac:dyDescent="0.2">
      <c r="A14" s="185"/>
      <c r="B14" s="185"/>
      <c r="C14" s="185" t="s">
        <v>24</v>
      </c>
      <c r="D14" s="185"/>
      <c r="G14" s="185"/>
    </row>
    <row r="15" spans="1:9" x14ac:dyDescent="0.2">
      <c r="A15" s="185"/>
      <c r="B15" s="185"/>
      <c r="C15" s="185" t="s">
        <v>155</v>
      </c>
      <c r="D15" s="185"/>
      <c r="G15" s="185"/>
    </row>
    <row r="16" spans="1:9" x14ac:dyDescent="0.2">
      <c r="A16" s="185"/>
      <c r="B16" s="185"/>
      <c r="C16" s="185" t="s">
        <v>156</v>
      </c>
      <c r="D16" s="185"/>
      <c r="G16" s="185"/>
    </row>
    <row r="17" spans="1:7" x14ac:dyDescent="0.2">
      <c r="A17" s="185"/>
      <c r="B17" s="185"/>
      <c r="C17" s="185" t="s">
        <v>157</v>
      </c>
      <c r="D17" s="185"/>
      <c r="G17" s="185"/>
    </row>
    <row r="18" spans="1:7" x14ac:dyDescent="0.2">
      <c r="A18" s="185"/>
      <c r="B18" s="185"/>
      <c r="C18" s="185" t="s">
        <v>158</v>
      </c>
      <c r="D18" s="185"/>
      <c r="G18" s="185"/>
    </row>
    <row r="19" spans="1:7" x14ac:dyDescent="0.2">
      <c r="A19" s="185"/>
      <c r="B19" s="185"/>
      <c r="C19" s="185"/>
      <c r="D19" s="185"/>
      <c r="G19" s="185"/>
    </row>
    <row r="20" spans="1:7" x14ac:dyDescent="0.2">
      <c r="A20" s="185"/>
      <c r="B20" s="185"/>
      <c r="C20" s="185"/>
      <c r="D20" s="133"/>
      <c r="G20" s="185"/>
    </row>
    <row r="21" spans="1:7" x14ac:dyDescent="0.2">
      <c r="A21" s="185"/>
      <c r="B21" s="185"/>
      <c r="C21" s="185"/>
      <c r="D21" s="133"/>
      <c r="G21" s="185"/>
    </row>
    <row r="22" spans="1:7" ht="15.75" x14ac:dyDescent="0.25">
      <c r="B22" s="561" t="s">
        <v>159</v>
      </c>
      <c r="C22" s="561"/>
      <c r="D22" s="561"/>
      <c r="E22" s="561"/>
      <c r="F22" s="561"/>
    </row>
    <row r="23" spans="1:7" ht="9" customHeight="1" x14ac:dyDescent="0.2">
      <c r="A23" s="185"/>
      <c r="B23" s="185"/>
      <c r="C23" s="185"/>
      <c r="D23" s="133"/>
      <c r="G23" s="185"/>
    </row>
    <row r="24" spans="1:7" x14ac:dyDescent="0.2">
      <c r="A24" s="185"/>
      <c r="B24" s="566" t="s">
        <v>160</v>
      </c>
      <c r="C24" s="566"/>
      <c r="D24" s="185"/>
      <c r="E24" s="563" t="s">
        <v>150</v>
      </c>
      <c r="F24" s="563"/>
      <c r="G24" s="185"/>
    </row>
    <row r="25" spans="1:7" x14ac:dyDescent="0.2">
      <c r="A25" s="185"/>
      <c r="B25" s="185"/>
      <c r="C25" s="185" t="s">
        <v>161</v>
      </c>
      <c r="D25" s="185"/>
      <c r="E25" s="567" t="s">
        <v>162</v>
      </c>
      <c r="F25" s="567"/>
      <c r="G25" s="185"/>
    </row>
    <row r="26" spans="1:7" x14ac:dyDescent="0.2">
      <c r="A26" s="185"/>
      <c r="B26" s="185"/>
      <c r="C26" s="185" t="s">
        <v>163</v>
      </c>
      <c r="D26" s="185"/>
      <c r="E26" s="567" t="s">
        <v>164</v>
      </c>
      <c r="F26" s="567"/>
      <c r="G26" s="185"/>
    </row>
    <row r="27" spans="1:7" x14ac:dyDescent="0.2">
      <c r="A27" s="185"/>
      <c r="B27" s="185"/>
      <c r="C27" s="185" t="s">
        <v>165</v>
      </c>
      <c r="D27" s="185"/>
      <c r="E27" s="187"/>
      <c r="F27" s="185" t="s">
        <v>166</v>
      </c>
      <c r="G27" s="185"/>
    </row>
    <row r="28" spans="1:7" x14ac:dyDescent="0.2">
      <c r="A28" s="185"/>
      <c r="B28" s="185"/>
      <c r="C28" s="185" t="s">
        <v>167</v>
      </c>
      <c r="D28" s="185"/>
      <c r="E28" s="187"/>
      <c r="F28" s="185" t="s">
        <v>168</v>
      </c>
      <c r="G28" s="185"/>
    </row>
    <row r="29" spans="1:7" x14ac:dyDescent="0.2">
      <c r="A29" s="185"/>
      <c r="B29" s="185"/>
      <c r="C29" s="185" t="s">
        <v>169</v>
      </c>
      <c r="D29" s="185"/>
      <c r="E29" s="187"/>
      <c r="F29" s="185" t="s">
        <v>170</v>
      </c>
      <c r="G29" s="185"/>
    </row>
    <row r="30" spans="1:7" x14ac:dyDescent="0.2">
      <c r="A30" s="185"/>
      <c r="B30" s="185"/>
      <c r="C30" s="185" t="s">
        <v>171</v>
      </c>
      <c r="D30" s="185"/>
      <c r="E30" s="185"/>
      <c r="F30" s="185"/>
      <c r="G30" s="185"/>
    </row>
    <row r="31" spans="1:7" x14ac:dyDescent="0.2">
      <c r="A31" s="185"/>
      <c r="B31" s="185"/>
      <c r="C31" s="185" t="s">
        <v>172</v>
      </c>
      <c r="D31" s="185"/>
      <c r="E31" s="563" t="s">
        <v>173</v>
      </c>
      <c r="F31" s="563"/>
      <c r="G31" s="185"/>
    </row>
    <row r="32" spans="1:7" x14ac:dyDescent="0.2">
      <c r="A32" s="185"/>
      <c r="B32" s="185"/>
      <c r="C32" s="185" t="s">
        <v>174</v>
      </c>
      <c r="D32" s="185"/>
      <c r="F32" s="185" t="s">
        <v>175</v>
      </c>
      <c r="G32" s="185"/>
    </row>
    <row r="33" spans="1:7" ht="12.75" customHeight="1" x14ac:dyDescent="0.2">
      <c r="A33" s="185"/>
      <c r="B33" s="185"/>
      <c r="C33" s="185"/>
      <c r="D33" s="185"/>
      <c r="F33" s="185" t="s">
        <v>176</v>
      </c>
      <c r="G33" s="185"/>
    </row>
    <row r="34" spans="1:7" ht="12.75" customHeight="1" x14ac:dyDescent="0.2">
      <c r="A34" s="185"/>
      <c r="B34" s="563" t="s">
        <v>177</v>
      </c>
      <c r="C34" s="563"/>
      <c r="D34" s="185"/>
      <c r="F34" s="185" t="s">
        <v>178</v>
      </c>
      <c r="G34" s="185"/>
    </row>
    <row r="35" spans="1:7" ht="12.75" customHeight="1" x14ac:dyDescent="0.2">
      <c r="A35" s="185"/>
      <c r="C35" s="185" t="s">
        <v>179</v>
      </c>
      <c r="D35" s="185"/>
      <c r="F35" s="185" t="s">
        <v>180</v>
      </c>
      <c r="G35" s="185"/>
    </row>
    <row r="36" spans="1:7" ht="12.75" customHeight="1" x14ac:dyDescent="0.2">
      <c r="A36" s="185"/>
      <c r="C36" s="185" t="s">
        <v>181</v>
      </c>
      <c r="D36" s="185"/>
      <c r="G36" s="185"/>
    </row>
    <row r="37" spans="1:7" x14ac:dyDescent="0.2">
      <c r="A37" s="185"/>
      <c r="C37" s="185" t="s">
        <v>182</v>
      </c>
      <c r="D37" s="185"/>
      <c r="E37" s="565" t="s">
        <v>183</v>
      </c>
      <c r="F37" s="565"/>
      <c r="G37" s="185"/>
    </row>
    <row r="38" spans="1:7" ht="12.75" customHeight="1" x14ac:dyDescent="0.2">
      <c r="C38" s="185" t="s">
        <v>184</v>
      </c>
      <c r="D38" s="185"/>
      <c r="E38" s="564" t="s">
        <v>185</v>
      </c>
      <c r="F38" s="564"/>
      <c r="G38" s="185"/>
    </row>
    <row r="39" spans="1:7" ht="12.75" customHeight="1" x14ac:dyDescent="0.2">
      <c r="A39" s="185"/>
      <c r="B39" s="185"/>
      <c r="C39" s="185" t="s">
        <v>186</v>
      </c>
      <c r="D39" s="185"/>
      <c r="F39" s="136" t="s">
        <v>187</v>
      </c>
      <c r="G39" s="185"/>
    </row>
    <row r="40" spans="1:7" ht="12.75" customHeight="1" x14ac:dyDescent="0.2">
      <c r="A40" s="185"/>
      <c r="B40" s="187"/>
      <c r="C40" s="185"/>
      <c r="D40" s="185"/>
      <c r="F40" s="136" t="s">
        <v>95</v>
      </c>
      <c r="G40" s="185"/>
    </row>
    <row r="41" spans="1:7" ht="12.75" customHeight="1" x14ac:dyDescent="0.2">
      <c r="D41" s="185"/>
      <c r="G41" s="185"/>
    </row>
    <row r="42" spans="1:7" x14ac:dyDescent="0.2">
      <c r="C42" s="185"/>
      <c r="D42" s="185"/>
      <c r="F42" s="185"/>
      <c r="G42" s="185"/>
    </row>
    <row r="43" spans="1:7" x14ac:dyDescent="0.2">
      <c r="C43" s="185"/>
      <c r="D43" s="185"/>
      <c r="G43" s="185"/>
    </row>
    <row r="44" spans="1:7" x14ac:dyDescent="0.2">
      <c r="A44" s="185"/>
      <c r="B44" s="133"/>
      <c r="C44" s="133"/>
      <c r="D44" s="133"/>
      <c r="E44" s="133"/>
      <c r="F44" s="133"/>
      <c r="G44" s="185"/>
    </row>
    <row r="45" spans="1:7" x14ac:dyDescent="0.2">
      <c r="A45" s="185"/>
      <c r="B45" s="185"/>
      <c r="C45" s="185"/>
      <c r="E45" s="186"/>
      <c r="F45" s="188"/>
      <c r="G45" s="185"/>
    </row>
    <row r="46" spans="1:7" ht="12.75" customHeight="1" x14ac:dyDescent="0.2">
      <c r="D46" s="187"/>
      <c r="E46" s="187"/>
      <c r="F46" s="187"/>
      <c r="G46" s="185"/>
    </row>
    <row r="47" spans="1:7" ht="12.75" customHeight="1" x14ac:dyDescent="0.2">
      <c r="D47" s="187"/>
      <c r="E47" s="187"/>
      <c r="F47" s="187"/>
      <c r="G47" s="185"/>
    </row>
    <row r="48" spans="1:7" ht="12.75" customHeight="1" x14ac:dyDescent="0.2">
      <c r="D48" s="187"/>
      <c r="E48" s="187"/>
      <c r="F48" s="187"/>
      <c r="G48" s="185"/>
    </row>
    <row r="49" spans="1:7" x14ac:dyDescent="0.2">
      <c r="A49" s="187"/>
      <c r="D49" s="188"/>
      <c r="E49" s="188"/>
      <c r="F49" s="188"/>
      <c r="G49" s="185"/>
    </row>
    <row r="50" spans="1:7" x14ac:dyDescent="0.2">
      <c r="A50" s="187"/>
      <c r="D50" s="188"/>
      <c r="E50" s="188"/>
      <c r="F50" s="188"/>
      <c r="G50" s="185"/>
    </row>
    <row r="51" spans="1:7" x14ac:dyDescent="0.2">
      <c r="A51" s="187"/>
      <c r="D51" s="188"/>
      <c r="E51" s="188"/>
      <c r="F51" s="188"/>
      <c r="G51" s="185"/>
    </row>
    <row r="52" spans="1:7" x14ac:dyDescent="0.2">
      <c r="A52" s="187"/>
      <c r="B52" s="187"/>
      <c r="C52" s="185"/>
      <c r="D52" s="188"/>
      <c r="E52" s="188"/>
      <c r="F52" s="188"/>
      <c r="G52" s="185"/>
    </row>
    <row r="53" spans="1:7" x14ac:dyDescent="0.2">
      <c r="A53" s="187"/>
      <c r="B53" s="187"/>
      <c r="C53" s="185"/>
      <c r="D53" s="188"/>
      <c r="E53" s="188"/>
      <c r="F53" s="188"/>
      <c r="G53" s="185"/>
    </row>
    <row r="54" spans="1:7" x14ac:dyDescent="0.2">
      <c r="A54" s="187"/>
      <c r="B54" s="187"/>
      <c r="C54" s="185"/>
      <c r="D54" s="188"/>
      <c r="E54" s="188"/>
      <c r="F54" s="188"/>
      <c r="G54" s="185"/>
    </row>
    <row r="55" spans="1:7" x14ac:dyDescent="0.2">
      <c r="A55" s="189"/>
      <c r="B55" s="185"/>
      <c r="C55" s="185"/>
      <c r="D55" s="185"/>
      <c r="E55" s="185"/>
      <c r="F55" s="185"/>
      <c r="G55" s="185"/>
    </row>
    <row r="56" spans="1:7" x14ac:dyDescent="0.2">
      <c r="A56" s="185"/>
      <c r="B56" s="185"/>
      <c r="C56" s="185"/>
      <c r="D56" s="185"/>
      <c r="E56" s="185"/>
      <c r="F56" s="185"/>
      <c r="G56" s="185"/>
    </row>
    <row r="57" spans="1:7" x14ac:dyDescent="0.2">
      <c r="A57" s="185"/>
      <c r="B57" s="185"/>
      <c r="C57" s="185"/>
      <c r="D57" s="185"/>
      <c r="E57" s="185"/>
      <c r="F57" s="185"/>
      <c r="G57" s="185"/>
    </row>
    <row r="58" spans="1:7" x14ac:dyDescent="0.2">
      <c r="A58" s="189"/>
      <c r="B58" s="185"/>
      <c r="C58" s="185"/>
      <c r="D58" s="185"/>
      <c r="E58" s="185"/>
      <c r="F58" s="185"/>
      <c r="G58" s="185"/>
    </row>
    <row r="59" spans="1:7" x14ac:dyDescent="0.2">
      <c r="A59" s="185"/>
      <c r="B59" s="185"/>
      <c r="C59" s="133"/>
      <c r="D59" s="185"/>
      <c r="E59" s="185"/>
      <c r="F59" s="185"/>
      <c r="G59" s="185"/>
    </row>
    <row r="60" spans="1:7" x14ac:dyDescent="0.2">
      <c r="A60" s="185"/>
      <c r="B60" s="185"/>
      <c r="C60" s="185"/>
      <c r="D60" s="185"/>
      <c r="E60" s="185"/>
      <c r="F60" s="185"/>
      <c r="G60" s="185"/>
    </row>
    <row r="61" spans="1:7" x14ac:dyDescent="0.2">
      <c r="A61" s="185"/>
      <c r="B61" s="185"/>
      <c r="C61" s="185"/>
      <c r="D61" s="185"/>
      <c r="E61" s="185"/>
      <c r="F61" s="185"/>
      <c r="G61" s="185"/>
    </row>
    <row r="62" spans="1:7" x14ac:dyDescent="0.2">
      <c r="A62" s="185"/>
      <c r="B62" s="185"/>
      <c r="C62" s="185"/>
      <c r="D62" s="185"/>
      <c r="E62" s="185"/>
      <c r="F62" s="185"/>
      <c r="G62" s="185"/>
    </row>
    <row r="63" spans="1:7" x14ac:dyDescent="0.2">
      <c r="A63" s="185"/>
      <c r="B63" s="185"/>
      <c r="C63" s="185"/>
      <c r="D63" s="185"/>
      <c r="E63" s="186"/>
      <c r="F63" s="190"/>
      <c r="G63" s="185"/>
    </row>
    <row r="64" spans="1:7" x14ac:dyDescent="0.2">
      <c r="A64" s="185"/>
      <c r="B64" s="185"/>
      <c r="C64" s="185"/>
      <c r="D64" s="185"/>
      <c r="F64" s="185"/>
      <c r="G64" s="185"/>
    </row>
    <row r="65" spans="1:7" x14ac:dyDescent="0.2">
      <c r="A65" s="185"/>
      <c r="B65" s="185"/>
      <c r="C65" s="185"/>
      <c r="D65" s="185"/>
      <c r="F65" s="191"/>
      <c r="G65" s="185"/>
    </row>
    <row r="66" spans="1:7" x14ac:dyDescent="0.2">
      <c r="A66" s="185"/>
      <c r="B66" s="185"/>
      <c r="C66" s="185"/>
      <c r="D66" s="185"/>
      <c r="F66" s="185"/>
      <c r="G66" s="185"/>
    </row>
    <row r="67" spans="1:7" x14ac:dyDescent="0.2">
      <c r="A67" s="185"/>
      <c r="B67" s="185"/>
      <c r="C67" s="185"/>
      <c r="D67" s="185"/>
      <c r="F67" s="185"/>
      <c r="G67" s="185"/>
    </row>
    <row r="68" spans="1:7" x14ac:dyDescent="0.2">
      <c r="A68" s="185"/>
      <c r="B68" s="185"/>
      <c r="C68" s="185"/>
      <c r="D68" s="185"/>
      <c r="E68" s="185"/>
      <c r="F68" s="185"/>
      <c r="G68" s="185"/>
    </row>
    <row r="69" spans="1:7" x14ac:dyDescent="0.2">
      <c r="A69" s="185"/>
      <c r="B69" s="185"/>
      <c r="C69" s="185"/>
      <c r="D69" s="185"/>
      <c r="E69" s="185"/>
      <c r="F69" s="185"/>
      <c r="G69" s="185"/>
    </row>
  </sheetData>
  <sheetProtection password="E7F0" sheet="1" objects="1" scenarios="1"/>
  <mergeCells count="17">
    <mergeCell ref="E38:F38"/>
    <mergeCell ref="E37:F37"/>
    <mergeCell ref="B34:C34"/>
    <mergeCell ref="B24:C24"/>
    <mergeCell ref="E12:F12"/>
    <mergeCell ref="E24:F24"/>
    <mergeCell ref="E26:F26"/>
    <mergeCell ref="E31:F31"/>
    <mergeCell ref="B22:F22"/>
    <mergeCell ref="B12:C12"/>
    <mergeCell ref="E25:F25"/>
    <mergeCell ref="B2:F2"/>
    <mergeCell ref="B3:F3"/>
    <mergeCell ref="B5:F5"/>
    <mergeCell ref="E11:F11"/>
    <mergeCell ref="B9:F9"/>
    <mergeCell ref="B11:C11"/>
  </mergeCells>
  <phoneticPr fontId="0" type="noConversion"/>
  <dataValidations xWindow="502" yWindow="139" count="1">
    <dataValidation allowBlank="1" showErrorMessage="1" promptTitle="Information Only Page" prompt="This page is for Information only.  It is not a part of the Client's budget." sqref="B2"/>
  </dataValidations>
  <printOptions horizontalCentered="1"/>
  <pageMargins left="0.2" right="0.2" top="0.75" bottom="0.25" header="0" footer="0.25"/>
  <pageSetup orientation="portrait" r:id="rId1"/>
  <headerFooter alignWithMargins="0">
    <oddHeader>&amp;L&amp;8Texas Department of 
Aging and Disability Services&amp;R&amp;8DBMD CDS Budget
May 2010</oddHeader>
    <oddFooter>&amp;R&amp;8Date and Time Created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50</vt:i4>
      </vt:variant>
    </vt:vector>
  </HeadingPairs>
  <TitlesOfParts>
    <vt:vector size="58" baseType="lpstr">
      <vt:lpstr>General Information</vt:lpstr>
      <vt:lpstr>Consumer Information &amp; Approval</vt:lpstr>
      <vt:lpstr>Notes</vt:lpstr>
      <vt:lpstr>Authorized Units &amp; Budget</vt:lpstr>
      <vt:lpstr>ESS, OHR, &amp; Non-Taxable</vt:lpstr>
      <vt:lpstr>Taxable Wage &amp; Compensation</vt:lpstr>
      <vt:lpstr>Quarterly Report</vt:lpstr>
      <vt:lpstr>Definitions</vt:lpstr>
      <vt:lpstr>Auth_SC_Amt</vt:lpstr>
      <vt:lpstr>Budget_Balance</vt:lpstr>
      <vt:lpstr>Consumer_Name</vt:lpstr>
      <vt:lpstr>Days</vt:lpstr>
      <vt:lpstr>DR_LAR</vt:lpstr>
      <vt:lpstr>EADollars</vt:lpstr>
      <vt:lpstr>EAHours</vt:lpstr>
      <vt:lpstr>ESS_Amount</vt:lpstr>
      <vt:lpstr>ESS_Purchases</vt:lpstr>
      <vt:lpstr>ESSforSC</vt:lpstr>
      <vt:lpstr>FICA</vt:lpstr>
      <vt:lpstr>From</vt:lpstr>
      <vt:lpstr>FUTA</vt:lpstr>
      <vt:lpstr>FUTA_Max</vt:lpstr>
      <vt:lpstr>Hab_Dollars</vt:lpstr>
      <vt:lpstr>IHR_Dollars</vt:lpstr>
      <vt:lpstr>Medicaid_Number</vt:lpstr>
      <vt:lpstr>Medicare</vt:lpstr>
      <vt:lpstr>Min_Compensation</vt:lpstr>
      <vt:lpstr>Min_Employee_Comp</vt:lpstr>
      <vt:lpstr>NegotiatedRate</vt:lpstr>
      <vt:lpstr>Non_Taxable</vt:lpstr>
      <vt:lpstr>NURHrs</vt:lpstr>
      <vt:lpstr>OHR_Dollars</vt:lpstr>
      <vt:lpstr>'Authorized Units &amp; Budget'!Print_Area</vt:lpstr>
      <vt:lpstr>'Consumer Information &amp; Approval'!Print_Area</vt:lpstr>
      <vt:lpstr>Definitions!Print_Area</vt:lpstr>
      <vt:lpstr>'ESS, OHR, &amp; Non-Taxable'!Print_Area</vt:lpstr>
      <vt:lpstr>'General Information'!Print_Area</vt:lpstr>
      <vt:lpstr>Notes!Print_Area</vt:lpstr>
      <vt:lpstr>SC_funded_by_ESS</vt:lpstr>
      <vt:lpstr>SC_Funded_Outside_ESS</vt:lpstr>
      <vt:lpstr>SC_Units</vt:lpstr>
      <vt:lpstr>SCS_Rate</vt:lpstr>
      <vt:lpstr>SCTax</vt:lpstr>
      <vt:lpstr>SEDollars</vt:lpstr>
      <vt:lpstr>SEHours</vt:lpstr>
      <vt:lpstr>Subtotal</vt:lpstr>
      <vt:lpstr>SUTA</vt:lpstr>
      <vt:lpstr>SUTA_Max</vt:lpstr>
      <vt:lpstr>Taxable</vt:lpstr>
      <vt:lpstr>Taxable_Funds</vt:lpstr>
      <vt:lpstr>To</vt:lpstr>
      <vt:lpstr>Total_Budget</vt:lpstr>
      <vt:lpstr>TOTAL_ESS_SCS</vt:lpstr>
      <vt:lpstr>Total_Intervener_Dollars</vt:lpstr>
      <vt:lpstr>Total_SCS</vt:lpstr>
      <vt:lpstr>Total_Tax</vt:lpstr>
      <vt:lpstr>TotalOHR</vt:lpstr>
      <vt:lpstr>Weeks</vt:lpstr>
    </vt:vector>
  </TitlesOfParts>
  <Company>Texas Department of Aging and Disability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DADS CDS Attendant Care Budget</dc:title>
  <dc:creator>Sarah E. Hambrick</dc:creator>
  <cp:lastModifiedBy>Rodriguez,Mario (DADS)</cp:lastModifiedBy>
  <cp:lastPrinted>2009-10-15T20:55:29Z</cp:lastPrinted>
  <dcterms:created xsi:type="dcterms:W3CDTF">2001-07-04T15:10:40Z</dcterms:created>
  <dcterms:modified xsi:type="dcterms:W3CDTF">2013-12-27T15:11:24Z</dcterms:modified>
  <cp:category>CDS</cp:category>
</cp:coreProperties>
</file>